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LE_manifest" sheetId="1" state="visible" r:id="rId2"/>
    <sheet name="META_metadata" sheetId="2" state="visible" r:id="rId3"/>
    <sheet name="SIGS_full" sheetId="3" state="visible" r:id="rId4"/>
    <sheet name="SIGS_summary" sheetId="4" state="visible" r:id="rId5"/>
    <sheet name="SIGS_pdfsig" sheetId="5" state="visible" r:id="rId6"/>
    <sheet name="SIGS_mcro_dl" sheetId="6" state="visible" r:id="rId7"/>
    <sheet name="HASH_sha256_full" sheetId="7" state="visible" r:id="rId8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<sst xmlns="http://schemas.openxmlformats.org/spreadsheetml/2006/main" count="31793" uniqueCount="3537">
  <si>
    <t xml:space="preserve">index</t>
  </si>
  <si>
    <t xml:space="preserve">case_id</t>
  </si>
  <si>
    <t xml:space="preserve">cluster_id</t>
  </si>
  <si>
    <t xml:space="preserve">cluster_name</t>
  </si>
  <si>
    <t xml:space="preserve">filing_date</t>
  </si>
  <si>
    <t xml:space="preserve">filing_type</t>
  </si>
  <si>
    <t xml:space="preserve">filename</t>
  </si>
  <si>
    <t xml:space="preserve">doc_sha256</t>
  </si>
  <si>
    <t xml:space="preserve">ots_timestamp</t>
  </si>
  <si>
    <t xml:space="preserve">file_metadata_txt</t>
  </si>
  <si>
    <t xml:space="preserve">file_pdfsigs_txt</t>
  </si>
  <si>
    <t xml:space="preserve">file_objects_zip_folder</t>
  </si>
  <si>
    <t xml:space="preserve">MICHAEL HOWARD</t>
  </si>
  <si>
    <t xml:space="preserve">Find of Fact-Order, Pet Commitment-Dfd Found Incompetent</t>
  </si>
  <si>
    <t xml:space="preserve">efb43b56af627d26150f0eb3f1088dc66025bb52e1eb94b0ae51bb233b1cf218</t>
  </si>
  <si>
    <t xml:space="preserve">Order-Evaluation for Competency to Proceed (Rule 20.01)</t>
  </si>
  <si>
    <t xml:space="preserve">789800c27cc9b9906909e49551f5830b86c19826aa1d758636724f766144daf4</t>
  </si>
  <si>
    <t xml:space="preserve">Returned Mail</t>
  </si>
  <si>
    <t xml:space="preserve">a4e5a95c5d7400509ef57298e3a63f4632a7f7b345ee2c2ea26b85b201b4d2fa</t>
  </si>
  <si>
    <t xml:space="preserve">Findings and Order</t>
  </si>
  <si>
    <t xml:space="preserve">80772c107cad334ea0c3ad3a9a57d8692f0b9601d9292870e07b524f22743f95</t>
  </si>
  <si>
    <t xml:space="preserve">a6d000e299e85278c62289e78d466f5abda6593e0dfd30ca476fc058b41bd770</t>
  </si>
  <si>
    <t xml:space="preserve">c496246769578eb28c75e4bc076ae70ff0418c172e77457cd0dbeec5f0c70bdc</t>
  </si>
  <si>
    <t xml:space="preserve">3b52074e054ae87083b6dfdb4e3c7ece2ba206f19e469621229031fa0b15186e</t>
  </si>
  <si>
    <t xml:space="preserve">Order for Conditional Release</t>
  </si>
  <si>
    <t xml:space="preserve">a80193d829dda03319f483c8b884d046ddf2c3a53b84776b48f474d8f7dd7d8a</t>
  </si>
  <si>
    <t xml:space="preserve">a30d60a59b0b68e8a02b041a572592b52751e1e67df4a9a74fc69c5131bd12a4</t>
  </si>
  <si>
    <t xml:space="preserve">4bb205527acd041538cd2f4fe475918ef09c6982c51c5559b47233879153ba69</t>
  </si>
  <si>
    <t xml:space="preserve">021f558dc99a4750a31adad02b768b2572013a02a27ea39258de8ebd7e8e7a73</t>
  </si>
  <si>
    <t xml:space="preserve">5adf629706e047ec4073e3a13043c160ccd89357878b46404bbe47eb154479ad</t>
  </si>
  <si>
    <t xml:space="preserve">46fbe1933baae8db9e3005129e6e5793a525a791c4b78f18f49852c0bb62a872</t>
  </si>
  <si>
    <t xml:space="preserve">d3b8fa4780aa78b9d0ea64cfeae1225495c3b837650ccd1b351c3a57f4516a99</t>
  </si>
  <si>
    <t xml:space="preserve">644be88c51e1e47e3f43aaca96e951f604a22ad94c08b6bf1d5af201bb727d28</t>
  </si>
  <si>
    <t xml:space="preserve">bab352619bfad34893f29d69133864f812c297bf4f7dc6f224c2a3a6e9bbf6e0</t>
  </si>
  <si>
    <t xml:space="preserve">0c91881b19e6dc0600def03bed72ddb9166e2b379fd1dab8650331ad97e4b56d</t>
  </si>
  <si>
    <t xml:space="preserve">bb298dd052561674857ffef78e47c1a122c05cd70c21a7124b2aefef768554df</t>
  </si>
  <si>
    <t xml:space="preserve">30b8faa24259dc477c18a3324124149c65a28f54ca14ed3c4d9d3896d428c974</t>
  </si>
  <si>
    <t xml:space="preserve">07cac1560ee1659e4c4a579b9574220c8eb54e64ed0554006441a66533d81444</t>
  </si>
  <si>
    <t xml:space="preserve">0ebb87f7b3f53f7dcb8d57f43d003d341b91abe491e1a7d63e300d884ad710a8</t>
  </si>
  <si>
    <t xml:space="preserve">f679426ff16cd3268106dc3a216d4962215520a523fa60f3efdba6804c481981</t>
  </si>
  <si>
    <t xml:space="preserve">bd1cd63688a0a483ce6a81f6c108b8163d50be0129af558594889c6de911f8b4</t>
  </si>
  <si>
    <t xml:space="preserve">6cedfd5a76213f5051de53e261474a30b8bb666c1f56d3f7a69f446776c237ac</t>
  </si>
  <si>
    <t xml:space="preserve">aecfc4ec94639653bf25d0cf26f827a5b71f0692c886598127bad117a3b68468</t>
  </si>
  <si>
    <t xml:space="preserve">93d1646b05b181c0695424c314ee1b032cbf1900e9fd6caeef9daa417fbe2bf0</t>
  </si>
  <si>
    <t xml:space="preserve">a2efbb8c3e58aff207ec7c15048a194e485dcc74bc33c88f080013245afed15b</t>
  </si>
  <si>
    <t xml:space="preserve">c115817e74f75b2d612cc179f7f36a5c49c207a290adbf1bc7e9b1f4f6578dbd</t>
  </si>
  <si>
    <t xml:space="preserve">dc2fbf5edb39d6ae913d8cd25618a30a8e98a0d22be667fe25736c2f3ebc167e</t>
  </si>
  <si>
    <t xml:space="preserve">87c717e7e1555aebdcc6300367d7c4ca3dcba2219c798ce4e7c9827e2473d508</t>
  </si>
  <si>
    <t xml:space="preserve">ebf3a7b90142010bfaad1e4c315a69ba1cad214828aa51cbd09a9816f4dfa7c0</t>
  </si>
  <si>
    <t xml:space="preserve">701242a2aa5177871857b6ee8f52648747c10fe2f42d737281338a02dbb92d6f</t>
  </si>
  <si>
    <t xml:space="preserve">ac1618778e97363f52fce45464e68b1afa4689e5014056afb314808090b99da5</t>
  </si>
  <si>
    <t xml:space="preserve">ebd86d769f80177ad3bdc314dc0732226399d66b7de6397c4e4ccc3e567892c2</t>
  </si>
  <si>
    <t xml:space="preserve">776fa27f4280d2a0990693a44435a651553528a5b0ca7ca33e206f1a9dd4079d</t>
  </si>
  <si>
    <t xml:space="preserve">42bde034fe0766f49b11963d86cd80b1940a6ceb7aae0ef24ec5ffc6e1c443dd</t>
  </si>
  <si>
    <t xml:space="preserve">8a7f46e11db2e6f74e3b2c3c868e99394a29257e5ec8aa4a8f22df6b2e4d12f6</t>
  </si>
  <si>
    <t xml:space="preserve">9cbc0422d2f9cda7f2a7d155d964a4c3fe37e142668f8e0fb41428940309a393</t>
  </si>
  <si>
    <t xml:space="preserve">477f4c84377717bea55031a5140b3ef95886ff34d916fa994349efeaac321cd7</t>
  </si>
  <si>
    <t xml:space="preserve">2e9e4fc3a1a0b965fb292602994e28bf67eff6ddcc70edcfc52ea8c038e3422c</t>
  </si>
  <si>
    <t xml:space="preserve">45f607b973712672f711a2c7590c3ea2a77d0555eca0e0312d753a548f113c59</t>
  </si>
  <si>
    <t xml:space="preserve">ba0f16a67e751fb4408f4e15fd0f947442d9065077429646d51a83fb2962c943</t>
  </si>
  <si>
    <t xml:space="preserve">57c912780159dd1c0cf72002e8411262e4e9de2a6f7ed090893ddfd3204209ed</t>
  </si>
  <si>
    <t xml:space="preserve">11623fc6a6e21d228db895ee53a5d5317fdc482e7e65345aabcd6978d05a7242</t>
  </si>
  <si>
    <t xml:space="preserve">b3a9091ade93c5eaaa57ccbee07f013dfd3fe532ac561ffa46350f18865826ba</t>
  </si>
  <si>
    <t xml:space="preserve">275baa4578729822271cf0a21af9d4cb9fefdb7c389e467951f0cceaf38116d1</t>
  </si>
  <si>
    <t xml:space="preserve">bd4f360b7c3aa25c0ca9d57a58d6f061c4d3a5a94a795119453b2cc2a45abcfe</t>
  </si>
  <si>
    <t xml:space="preserve">cc893e3d531e4d563065929c736008d34e6c6c5900612ebe24fe51c4041578a4</t>
  </si>
  <si>
    <t xml:space="preserve">6912eb72e483c6e9f9e5104ced4bb0a18ab9effb217c03f27fa89323d5fe7a10</t>
  </si>
  <si>
    <t xml:space="preserve">47ec34ac1ebaccc821c3c0b1035b7d84a08ad40edf6fe01d17761a02007c63c0</t>
  </si>
  <si>
    <t xml:space="preserve">4b4a3e32799464d30d8bd83643264d3463419b402a640c34fc835a11afb74a2a</t>
  </si>
  <si>
    <t xml:space="preserve">86085fff758d8b234ff3584bcd88b7e5687a26da86a38742b834763384fcde2e</t>
  </si>
  <si>
    <t xml:space="preserve">6f3961cda1ffed55e81906f20f3c762f3aa3390a46de1d9c13085640104b3e8e</t>
  </si>
  <si>
    <t xml:space="preserve">fee026f29ce2ddc5c5ddc4cb2f1dc41838390621988fc80279f00dcb08671d36</t>
  </si>
  <si>
    <t xml:space="preserve">fd2fed484bdcbdabc8ea45015f596a1ceb491d9ec90e9e5d7ad19967146c12d2</t>
  </si>
  <si>
    <t xml:space="preserve">ebcfb5505e8874ee3ff163589ed067a42581d3d1c1070d67a36c1582337ede4f</t>
  </si>
  <si>
    <t xml:space="preserve">2561d7df4e23343dc5b9b96ff5efee4482f75565e423249859fcfda269062260</t>
  </si>
  <si>
    <t xml:space="preserve">9b1726469744f78863b931aeb9d8508d6a67d67f95c3d90d056447d6200233ac</t>
  </si>
  <si>
    <t xml:space="preserve">606573cdf1b0281b4ac10071488afaa1059bf6260bf760e2c958c6a3365e3594</t>
  </si>
  <si>
    <t xml:space="preserve">5d31f650af0bbcb07671897a54be0eb046e354726a47bd66938c4ce7fa6e50b9</t>
  </si>
  <si>
    <t xml:space="preserve">add304b8c8abc83bd46a306b4854052fcac0d94447509abd842f92adec26f1d0</t>
  </si>
  <si>
    <t xml:space="preserve">a8d157c6632f8425b47a86eaacdd453e96d861c065676028b6f320b8b2357407</t>
  </si>
  <si>
    <t xml:space="preserve">Finding of Incompetency and Order</t>
  </si>
  <si>
    <t xml:space="preserve">31a4b1985a3f23b4326848879136cd3e348a782b4f70199ea4f1f5994a28d70f</t>
  </si>
  <si>
    <t xml:space="preserve">Notice of Case Reassignment</t>
  </si>
  <si>
    <t xml:space="preserve">985c3558cca09e9f79ea3e9b04f3ea35adf4b76fce668d8abbe6f311408dc924</t>
  </si>
  <si>
    <t xml:space="preserve">8301254b1a989ed2754115097d30d2e1221dfbcb0247b34c3430c0d0f82ed4f9</t>
  </si>
  <si>
    <t xml:space="preserve">a826aa6fba71348c59046707aea6071d3f6fe27b68d96e0d62a52966bc1f3ec5</t>
  </si>
  <si>
    <t xml:space="preserve">e9a004742aef2eba7a25c740eecbfe3dbfd337b72582702a04392b7ab03a1fb8</t>
  </si>
  <si>
    <t xml:space="preserve">a951d9ae584c043471c89df47c74925757e2cca60649992e6dae044d8e31f1db</t>
  </si>
  <si>
    <t xml:space="preserve">d41b9c3b7d0a56617cc276cd7e90f3923f3c5059d1618d51bb8c2bb7eecb9594</t>
  </si>
  <si>
    <t xml:space="preserve">22b3a416c9be0318a1042a0c8ca00137d980f72e39a2b89c9c4044382ab4d922</t>
  </si>
  <si>
    <t xml:space="preserve">4e72dac82f30a3fbaaa8a84437d4fe72094819d717702e14806a7c345ddb76d6</t>
  </si>
  <si>
    <t xml:space="preserve">01d017667c122dcebe31dcb12d49993531ca3f54dcd2f21fefc3399e0b4d8005</t>
  </si>
  <si>
    <t xml:space="preserve">aaf48b0c91413731ba842e8f1c9e680ca765484ce3665c6a3d8ff53762085d3c</t>
  </si>
  <si>
    <t xml:space="preserve">4d8d65397ed884d1e2964cac10415df44a4df60c56ec8d4604454144d203a692</t>
  </si>
  <si>
    <t xml:space="preserve">0657f17a28a4a7f04ea4bcf16174a88a3ee57c2eb4b3d5a4a23088e2bffe3d82</t>
  </si>
  <si>
    <t xml:space="preserve">014c74fd41625b9f35b107d366af35ee43fe854511d673da4f2ebedbae20fd56</t>
  </si>
  <si>
    <t xml:space="preserve">2752a26867b29045e6c518b5c6b73962f0766ddc9c2461fb73b73ebef50dc543</t>
  </si>
  <si>
    <t xml:space="preserve">34fe511a0c64e56e07f09b5726f857994c606d9210a052c64d590c97e89cc718</t>
  </si>
  <si>
    <t xml:space="preserve">4b5db8d1fae02e722383f5ad3fd9764b26d77188d606fdb741e05f0bbcfc7000</t>
  </si>
  <si>
    <t xml:space="preserve">80fdb5e60e7c75e4f34cf873739a175d519324b42173b803e9325e1efb4d4446</t>
  </si>
  <si>
    <t xml:space="preserve">1af3bad147fe1cd795085922780ccfbdfeba57084739afba5fea427829e7c627</t>
  </si>
  <si>
    <t xml:space="preserve">0bff4154dd374aebc9f181fabbbd37b173b1496b998998f00ae11250ca9ca067</t>
  </si>
  <si>
    <t xml:space="preserve">5b1f8339f795e9df2113d2ed33f0db499c3ac003c94d046a2be0a2209646f14a</t>
  </si>
  <si>
    <t xml:space="preserve">dfb84700f3fe4be8ee65cfff8d4797deec82e0278aa4f5d79af4ecfe7178089d</t>
  </si>
  <si>
    <t xml:space="preserve">45055594beacc9b3863626c5ef7f89665a12deb272db94cdb3d5cfab3485bf0e</t>
  </si>
  <si>
    <t xml:space="preserve">28ae292e38570a5fe9b684cccc36a75b765df0782d65c8e5c9e18c7780e99963</t>
  </si>
  <si>
    <t xml:space="preserve">dbf81bf2e8a76a44ef09c1863c0fab3a535ff46dfa454672088d1c1e39421a95</t>
  </si>
  <si>
    <t xml:space="preserve">4f60c38cdc7710b15c673120184883279eb15664a77dc394481c1395852980ae</t>
  </si>
  <si>
    <t xml:space="preserve">a568c5ea8f1984bd9549130a0bfcb52cec36bc5deba20dc181e1021a28364ef3</t>
  </si>
  <si>
    <t xml:space="preserve">0803cf8296f4a53ccfff25bae691fd55291ff033c5a0bff3b337e00ad11fcef9</t>
  </si>
  <si>
    <t xml:space="preserve">0c865e4137329e802c48f97911cdd49b916b1f0c8dfd20d51cdce31d9d5020e3</t>
  </si>
  <si>
    <t xml:space="preserve">eeef0964033214e85e9ae024ccf81017eabd9d6f4701a315be33647f073ea1b7</t>
  </si>
  <si>
    <t xml:space="preserve">84ddbc38d3e6fd7bba8e8c535af6a65cc7756cbfba0529a1b1c5e642fbf62327</t>
  </si>
  <si>
    <t xml:space="preserve">8cf89aeb04cb5121cf59aa50334cc225e7457ac373e2d024a5e5d5d6b4e0e68a</t>
  </si>
  <si>
    <t xml:space="preserve">2020749595dbbf084e96ac28b7dc788073f6fe67a490ec94a70d966b61fb66e0</t>
  </si>
  <si>
    <t xml:space="preserve">3bfb19661effd272356f56b28c5e08449768efad48a61ac4ab248da98fc624be</t>
  </si>
  <si>
    <t xml:space="preserve">713a91c511b8518c4472a5ae480fd97dbdcda727345919b169b8f349c2d98e6f</t>
  </si>
  <si>
    <t xml:space="preserve">aa2f0d2a3a39de8fd793b64349a85db21b708ace6db9ecee270c0ff198206ac5</t>
  </si>
  <si>
    <t xml:space="preserve">bc466c54d7c2874fb0e83a5a05bd21a2b126ca52e47f0691101e663c820b39ce</t>
  </si>
  <si>
    <t xml:space="preserve">193cf6b4c4cf3047c0938a48ec72353250ff87f29133e40ecd191b32314feb85</t>
  </si>
  <si>
    <t xml:space="preserve">de6baba2cc53f6b27a604d6561d7ca7164e76266c7bf3cc7accc23e82ad2f028</t>
  </si>
  <si>
    <t xml:space="preserve">07b3a880397aee8d4ff9c6d7ce5b774443fdd3b1c0684ed6dfa3d2158d2a2d08</t>
  </si>
  <si>
    <t xml:space="preserve">e363f43a9a0b3fb4ef7ed6d7044e250bab1ec4dd99e06a44457345eab726bb62</t>
  </si>
  <si>
    <t xml:space="preserve">995eac30bd82a71c4f1e7e9161ff04a1536ba7915ca87bce81102ac514b74e5a</t>
  </si>
  <si>
    <t xml:space="preserve">1554920fce704d43535097c98e920b2f50ce5e7860f91622ed535f6cb9d12793</t>
  </si>
  <si>
    <t xml:space="preserve">fddc627488af6235453ef3db50fb7343319268bd115ee2a6e7a6e3ac4aea83cf</t>
  </si>
  <si>
    <t xml:space="preserve">27d86e79df4dbe354b7dba4be6fdf47d8aab93fb707aa8e1aeda0826e7753a00</t>
  </si>
  <si>
    <t xml:space="preserve">23cd920dcca2f4cd9f629fd3a83ca7a0ab0a5d5857c8db53e547afe4990ded92</t>
  </si>
  <si>
    <t xml:space="preserve">93c2af5de0f72616ad3c4fdde0ddd81096798697271ec4820a468551188ffb14</t>
  </si>
  <si>
    <t xml:space="preserve">135263f5ef6cac507e8aa02aadcdaf0bf585e5814c44b9ae1874e806cebec612</t>
  </si>
  <si>
    <t xml:space="preserve">b7c1b863c341d5bfcdd3067c995c98f4b9502acbfe9bbf43a04ad5db4c2c4206</t>
  </si>
  <si>
    <t xml:space="preserve">2a9e44f57ce1d0157ac28679a0c551daf3a4b07649e94743af7de0e9244f1ae4</t>
  </si>
  <si>
    <t xml:space="preserve">710800159598e7ffd5f3588e4bf16f8a642970b0523eeb9a7d9f1732488aaf2a</t>
  </si>
  <si>
    <t xml:space="preserve">ef1fc4c7e1dcaa7d4cbebbfb5115d1da5a4ab5ef9954b8fbf960a43917661df8</t>
  </si>
  <si>
    <t xml:space="preserve">Notice of Intent to Prosecute</t>
  </si>
  <si>
    <t xml:space="preserve">2bad854d27469cab48e827c53b267e2429d866fb0ec82566f7cc902c3fcf4154</t>
  </si>
  <si>
    <t xml:space="preserve">d19c3218f7d415aee4dd79dd1f64444d77767ae477259f948b873295a98d66fe</t>
  </si>
  <si>
    <t xml:space="preserve">45eb60ceb7556f66f4eb120dbf93785ef1c0f09ce435652491a8ac1b4a7e15b3</t>
  </si>
  <si>
    <t xml:space="preserve">80a377fd3dc59df0ae576fa992e8c5d33612c499faa60b98716d6282a7b645c2</t>
  </si>
  <si>
    <t xml:space="preserve">52b53ba2b6966aa2d14cf052c24a8e7d533cb4583b3c365ea6b3386c5fa27be9</t>
  </si>
  <si>
    <t xml:space="preserve">6c70497ca6b11e50e02809cd2abd5ef6cd6c7f0554a6e5ae7295a32cd28c0339</t>
  </si>
  <si>
    <t xml:space="preserve">0ed4445fe82e1774cfd09892dde3f7397662c12f809de88257c501116ada7bda</t>
  </si>
  <si>
    <t xml:space="preserve">85e1d5fa1053faa78666b5586621b15d48e04ac0faecac89aabded3518232918</t>
  </si>
  <si>
    <t xml:space="preserve">5cac49b7e97b0593cb71928716bf21ecfba42db3a170e5f7d600662bac3d5899</t>
  </si>
  <si>
    <t xml:space="preserve">d4d830d762b45ce0bc69e7e64106c605125bfb2b7a86ffbcf5140ebb8fb9302d</t>
  </si>
  <si>
    <t xml:space="preserve">Demand or Request for Discovery</t>
  </si>
  <si>
    <t xml:space="preserve">faf9202282d7d9d6c53cae9e42716815a42fd8e8bf86d78fac89ecf921d0c80d</t>
  </si>
  <si>
    <t xml:space="preserve">846f6df18c03cb1e09dab035e0f81bb9d7960952ef08ee756cbf3d409aba3a4d</t>
  </si>
  <si>
    <t xml:space="preserve">85f502ab3dacb47178d8f78672e4769aec86e0170bca4d93de98d294a36c2f3d</t>
  </si>
  <si>
    <t xml:space="preserve">58e5e3ccce59b25beb0496de18b1578e83e7a9c4f641508a347d1408fd14d63f</t>
  </si>
  <si>
    <t xml:space="preserve">1288294e4dff95e2534342b72a5709dfe1800897adec4690e6107f0c4c777f51</t>
  </si>
  <si>
    <t xml:space="preserve">6c113a37be53afad4889060af8888d25df45476d327cd6d2281bed1bb145d845</t>
  </si>
  <si>
    <t xml:space="preserve">5d2a0be88a24f2ccf3ee4640e3b4f7baceecf8c1037a88b1fbeb21933259ae2b</t>
  </si>
  <si>
    <t xml:space="preserve">11584592a5a19a59ac21d5b583e4b045194be8e7d146f87e1705615ffd57c17f</t>
  </si>
  <si>
    <t xml:space="preserve">8db061b5fe69677d795fdd1b7dd26f6da863c5c471e85a7f0da3745754452607</t>
  </si>
  <si>
    <t xml:space="preserve">29e50f17b472a29bf639aa2f1104886f1f821f2548ab763f2883f6bf11a86f66</t>
  </si>
  <si>
    <t xml:space="preserve">15bbefabc2dca8616eeb9904b7c797f85429594140e3344b53f850d7683b5f86</t>
  </si>
  <si>
    <t xml:space="preserve">d20eb73893319ef9ff3935730f9db3a6015f65498b3e52f53fe4f82ea61b0a36</t>
  </si>
  <si>
    <t xml:space="preserve">59fec9b0a9a58d3ed71718caee93876bacec325e26d8276f59558bb4b03da9b7</t>
  </si>
  <si>
    <t xml:space="preserve">02576738fcba990549aa0bfc31bd6c089ced1c3bb988cf16177ce980e21c1a94</t>
  </si>
  <si>
    <t xml:space="preserve">d982abaa2084e1eee8ac07474c2695d044b5f3be637e81423b96b6472ad96301</t>
  </si>
  <si>
    <t xml:space="preserve">c96c167bc2ac40d5653980de06d029c199cb82ecd4bde1cb19db4a76f85757ed</t>
  </si>
  <si>
    <t xml:space="preserve">24e152236a5a3533160bbe4684d960287f1bae0de61eaaf404d64595e95b367e</t>
  </si>
  <si>
    <t xml:space="preserve">b9405f74ac9d9bca4cbbcbe6da10a5ac43e3596e82226765136a5fcecdbceef2</t>
  </si>
  <si>
    <t xml:space="preserve">6b1da08c186c2e4c98ac87b1f86b59b84b1190dbfe768eabbf1252215e55e5d2</t>
  </si>
  <si>
    <t xml:space="preserve">bb80dbfd51eb2e1a83a6f3316eb590720cb02fa8614525d5b8aba60a8b38171f</t>
  </si>
  <si>
    <t xml:space="preserve">2c943bdf49d79c81fe12275fece3fbcbf17335435bf645856ddfa3fc366176b7</t>
  </si>
  <si>
    <t xml:space="preserve">ffc3a0b270e961a4faf73de500085ba3a51bd7a3ceda7de82c686f31451427f1</t>
  </si>
  <si>
    <t xml:space="preserve">b059e2994a849bb8d53e276ab3c6f923353f0d79f5ac28cc9979f0e456e6b851</t>
  </si>
  <si>
    <t xml:space="preserve">3fe6b0263837b5ec0a130c5a6d5c232d9b8bd51d41c8a20bf62846f8a8abc1e6</t>
  </si>
  <si>
    <t xml:space="preserve">d45bb4fc25d6cbf5525b6620124b755240604821991ad12024afda4fcba06b6b</t>
  </si>
  <si>
    <t xml:space="preserve">86f19566213e58cf3c4ed35ac4600ed14b95d13fe3b705bdbf89531d29a656bb</t>
  </si>
  <si>
    <t xml:space="preserve">5760cf1746fa2bc0c99cf6897361cb8e3ece92ef55b11d014cbff5c1d98989f9</t>
  </si>
  <si>
    <t xml:space="preserve">dd009bc36bb949306b0a0c8376b2bf1399809e7b481d54dea182751cb4fc773b</t>
  </si>
  <si>
    <t xml:space="preserve">b3a042ea9c972552fe0f9f3f153617ac16cd626351d8de45e90bf7a2b73f39fb</t>
  </si>
  <si>
    <t xml:space="preserve">006a731a0f7102edf20f2f09e8716de34867f48b843997d8e6d63b4ffd1f8a76</t>
  </si>
  <si>
    <t xml:space="preserve">2a18d0b1f79155f5912fb0fae045b461e3f51872a9b561952827c4da1f63f34f</t>
  </si>
  <si>
    <t xml:space="preserve">277e03c2026903684edf30c0be43ad18492df21fad55eba68190b0c9d77fe9e4</t>
  </si>
  <si>
    <t xml:space="preserve">509a5eb1b2eb6a8e32c6e6f2eb9c13b64eb6c9c2b996f3f2566b951fd0f0275e</t>
  </si>
  <si>
    <t xml:space="preserve">be89340f31b13a590728fc1565f7c81c5755f456468d105eff4741c8733de2dd</t>
  </si>
  <si>
    <t xml:space="preserve">2b1234556dc262f496763f51f80a77a6f9312ec2c588f6ab99853235cb698993</t>
  </si>
  <si>
    <t xml:space="preserve">2e1f59a1e57f17d6edab1e798aa979a5006033e6d5792321db239da4e9e0004e</t>
  </si>
  <si>
    <t xml:space="preserve">c11b4699330c39e3dfa7382f0dc040b0b4a6c0cb7edacc78ac036fe1dc400add</t>
  </si>
  <si>
    <t xml:space="preserve">df79a42a968bfaba13d02d27e3f86aae04e49d15aa411facb767f3fb01f9b955</t>
  </si>
  <si>
    <t xml:space="preserve">a835f72a4cfa22b414c7b50064960a0bf618c206e34d343638adb4bce89c2fd4</t>
  </si>
  <si>
    <t xml:space="preserve">91cb29c5ca3b809f7166c45dba5f33019c5fb628ac2e1f673f32ac109a1f3d08</t>
  </si>
  <si>
    <t xml:space="preserve">29864e159caf6905f2590593f187534f701181ddcfb873add1f80894b14753c3</t>
  </si>
  <si>
    <t xml:space="preserve">84fbc8e7e7eb052db9697718d4b56d7f6deb656151b33ab00d7153e2b861ed9f</t>
  </si>
  <si>
    <t xml:space="preserve">f55916b9df935a9ecc6c835caf6d4fb09d7dc990066be8b2e23611c4b0291318</t>
  </si>
  <si>
    <t xml:space="preserve">88373e7e30b4627d0c4edf798bc924fbdcb927616eec572a0173765482532e34</t>
  </si>
  <si>
    <t xml:space="preserve">2e88e00f02fdf4dd8e2d5a5e305c56662fadd7a5268410c80a97dd1baee4a608</t>
  </si>
  <si>
    <t xml:space="preserve">dbb7f3771437c42d810447e8f7c2c8f2f5eec7bbd63ff1395672630e153abf28</t>
  </si>
  <si>
    <t xml:space="preserve">89249c83dfc990487db46a969b5212f2b8a993fa3c1fd2470b6cbaf50a40a11d</t>
  </si>
  <si>
    <t xml:space="preserve">a49b261fe9c03cff3cf87d05d9f05633daa3173697f1b38fc6bef1d5502f9e6b</t>
  </si>
  <si>
    <t xml:space="preserve">97ceaa5d6415adb413564777b96a6a1e49c5a1547faa2da2b4b6a8dc0c7a749c</t>
  </si>
  <si>
    <t xml:space="preserve">92748ae468ab6d4d92d0af0a2ffb86ea70d962bf5bd94d7eecf5554653677112</t>
  </si>
  <si>
    <t xml:space="preserve">65649f012ef7f7ff035d64a0e89023b5f72e7bd9dee3961303b3fda2cd02abd6</t>
  </si>
  <si>
    <t xml:space="preserve">8cf61f57db139c2cf174134376a8bb9153476d13bc0337fad7776a8d5bd2648b</t>
  </si>
  <si>
    <t xml:space="preserve">65b418e75cc349802e4f09a581d7821af35156c612a8bc39fd68470c9b8f5251</t>
  </si>
  <si>
    <t xml:space="preserve">4f96f9c653cf266032e9f9cacf52fadfffc3f96b8713d823bc62a383bda316d7</t>
  </si>
  <si>
    <t xml:space="preserve">4c81333ae5be07aaf0984d3e5d9f969d5f8608050f3bcbe1b5fe11c3f42c4a1b</t>
  </si>
  <si>
    <t xml:space="preserve">cb59302f6a239527e15eba7219ac0c747df0233b423dfbb499147ff652b0db63</t>
  </si>
  <si>
    <t xml:space="preserve">a3c947c4bffceea69c6f88a87e019467ee584b25118e3f29861835c154b36ed2</t>
  </si>
  <si>
    <t xml:space="preserve">9eba3d79afefb09dfea7cf1f27a512d2d39ce952b57f432fe6e216b1334a8a63</t>
  </si>
  <si>
    <t xml:space="preserve">15606ce9ebab0d95302a6dcee632689bc063eb7b1ee61e9e9763fc11be3fd425</t>
  </si>
  <si>
    <t xml:space="preserve">b22887997226d0d44d6abc753bcfc9e0eda4ed89b65ca6f49a3a3040992fefa1</t>
  </si>
  <si>
    <t xml:space="preserve">69c18149730381040598bccc0a9ca091ef7628aeef1d34f3727f3a526bf0ab5d</t>
  </si>
  <si>
    <t xml:space="preserve">94946e806d2c3873a77b62b226d84816a18984e4fd0bc1fa991a93d090cdf62e</t>
  </si>
  <si>
    <t xml:space="preserve">39857e07349d53749fdd662725113ccb5958ca199fad43c8d054caf80c3cef86</t>
  </si>
  <si>
    <t xml:space="preserve">adc6ac2237ef2f268ebfae6dac8af88818a3301150050e829730f843380981ad</t>
  </si>
  <si>
    <t xml:space="preserve">258a22a3f02af3e0e8762cd3d12bd8c7dadfc66ec9bbeba70a1e384504f91d90</t>
  </si>
  <si>
    <t xml:space="preserve">c5b29e16f03b34c8c13bd4c014b8fe90b1cf27978c5b164af2ece25e4d51373b</t>
  </si>
  <si>
    <t xml:space="preserve">263ed071ac2d03549def5a292ea633da4064447c197136d5822062a08ebcd605</t>
  </si>
  <si>
    <t xml:space="preserve">e52eca37ec17ec32a19cbf88191aa60b6ee0e054ed14390c127ed6976491bb73</t>
  </si>
  <si>
    <t xml:space="preserve">75a1c72c79a55ee0daf921ce9090fde48e534812143daf7e36a9520cb52d6bcc</t>
  </si>
  <si>
    <t xml:space="preserve">77e6fcc9d195f236ece44719ba1132b5ea95719bdc417df6782131161d9d1b45</t>
  </si>
  <si>
    <t xml:space="preserve">13d5dba90999aa1e1cec239a957d7d947e8f50fe1e354c69d5dd982150f89332</t>
  </si>
  <si>
    <t xml:space="preserve">99d9f7ebe34d6113a3f9b78dde9a7d920bb855cbaabd5ffccc09463129d4cd7e</t>
  </si>
  <si>
    <t xml:space="preserve">8cec73ac0ec3f677f81d41804f8777d01f9c9bb50336548259da4d77dd5aab76</t>
  </si>
  <si>
    <t xml:space="preserve">27db2422d0a7139426b493322b6403945bedd0896f11015d4518a20ca5c7ee50</t>
  </si>
  <si>
    <t xml:space="preserve">91eed5d7a4a425dfc9b386ee547019bbfda5f29500cd8e3a0442cdcb67d35370</t>
  </si>
  <si>
    <t xml:space="preserve">a000901d08072afa3da37e4af561d3e9083fae0e98b99052169de85f3903c066</t>
  </si>
  <si>
    <t xml:space="preserve">77bd12ccedfa8b25d8b5a398777367ab9c881a0fb7835e44c790d3a429948546</t>
  </si>
  <si>
    <t xml:space="preserve">d6bb9f81ab79f7bf3694c0a85c3b72c1bc85047248511f001fce2e38d1851f16</t>
  </si>
  <si>
    <t xml:space="preserve">efd3382f69d49f988685938112b22da09a63277a2176fbf657b3fd977b2a4dfc</t>
  </si>
  <si>
    <t xml:space="preserve">47ddcb1102a31f4edeaf0be0a3cb69c7d180c6b8e5439080c4148bf8e53c1876</t>
  </si>
  <si>
    <t xml:space="preserve">cecacbcfe51fd6efc7d70633dc52e42d3f3c924a67b64cd9c61bc036211e1f88</t>
  </si>
  <si>
    <t xml:space="preserve">d5ae3d21c88acf9c1eee2bca5ae4111ac98a66ca66f5401c75aa871f4cb3cee0</t>
  </si>
  <si>
    <t xml:space="preserve">af0802418b448c7adcccd776c1846d7615d6aa4cde4262e2e9509845d9ac4241</t>
  </si>
  <si>
    <t xml:space="preserve">16a13bab58cd58355e33f4bdb389b703cd0020c6962abc3f1eb581b2979ddeb7</t>
  </si>
  <si>
    <t xml:space="preserve">d9f744f5e97be5c19b406c17ee0c52f0ab3b68ad8e0481976ee1b8a394f758c8</t>
  </si>
  <si>
    <t xml:space="preserve">41666cb59d1f3721dea05b4f7d1eae7632830498a02d70aa7b31d4bcfa0e6818</t>
  </si>
  <si>
    <t xml:space="preserve">6adb5250dc3f9697e0d4102c91e8c1f56312d3b9cfe9588c278626f5b337ff88</t>
  </si>
  <si>
    <t xml:space="preserve">11c84f5e517c14566d66301267e5772390e6e2e69a3afbf8648fd2897e4d0b8a</t>
  </si>
  <si>
    <t xml:space="preserve">9c872233475e0d0522aac7edbe13e8d39e66b77e83c3ccd00c34915e3246f922</t>
  </si>
  <si>
    <t xml:space="preserve">f6ae521f278060cf1646ecdd8a83dab71638508a4e574735cebbda2d58f9d73f</t>
  </si>
  <si>
    <t xml:space="preserve">44fadeb8b425d6bef57eca5dc1389ff53e58bc4e7ab12237cf2140aad3e6bbee</t>
  </si>
  <si>
    <t xml:space="preserve">46ec60de8aba8de3c75be5cd441e83cc7dfb6b385c6d2bc5dfd6f16d6c171349</t>
  </si>
  <si>
    <t xml:space="preserve">d49766c791b20edcf5b46bdf2418f73f86659d6c90c10da4bc76c9d00a8ec373</t>
  </si>
  <si>
    <t xml:space="preserve">b142154ea899d5036da1d1c2cfd01ef2bcfe64ae76701a7c4461e7273a632e1e</t>
  </si>
  <si>
    <t xml:space="preserve">079eebff9edf992ce8307ce6b09a80e328c77c0ffeb99fdbdc8e43a3b889edc3</t>
  </si>
  <si>
    <t xml:space="preserve">c1ba8357272b9eb66c7d4d5f3012175819f9e98a9a79de394daf9af29bae81cf</t>
  </si>
  <si>
    <t xml:space="preserve">cce1e9c3bdac29c00ab5a32b43581e577e9cb10f73375558b2fd5ffc7ad217de</t>
  </si>
  <si>
    <t xml:space="preserve">f15e17e1e37bf8ab7ce717a1149597847301b34d1ab8c0dd343f76a96edd7fb1</t>
  </si>
  <si>
    <t xml:space="preserve">15d048955c95a4af0e1954027ab66a3ba8fa4689333f19cdf14b88f7d2481236</t>
  </si>
  <si>
    <t xml:space="preserve">1322f24448f86eee02054f4385cc189a39a92ee7f9d3aa0c5e401beefb5baa86</t>
  </si>
  <si>
    <t xml:space="preserve">d7be2d053ce320eb21cc2551f4acfdfb553c7a6dca7d2c7f4713bfde22b9503b</t>
  </si>
  <si>
    <t xml:space="preserve">6a5ad9a772e0457cb3645b146016d7e0b9079b2ff0878444a9a63d789a502a57</t>
  </si>
  <si>
    <t xml:space="preserve">78ccb246e649a96c7fa42e16381f32cbf72355a7cc7f299224c7586f2481ebba</t>
  </si>
  <si>
    <t xml:space="preserve">56cd923a0b5b134855ac09b11fa2eec90297b2808f4fca02b75b350cc2cd01c8</t>
  </si>
  <si>
    <t xml:space="preserve">eecd7b2000d70938489802870ae0987eee8a3977372d2c5e566cffd1a7bffc37</t>
  </si>
  <si>
    <t xml:space="preserve">66ac4a750278cd07ba78c1bd1fd4d2f6f82cad7a870740de082dd6007b4d01f9</t>
  </si>
  <si>
    <t xml:space="preserve">43102c52d1c1d910a8714faa36ee7075c51281cd7c7b5b4bc672e93298b1c5f8</t>
  </si>
  <si>
    <t xml:space="preserve">6a1e0c224e75e961a264f2db45e54bbb807686874d89d336c33cb414c237cb9c</t>
  </si>
  <si>
    <t xml:space="preserve">408bf9e2a9cbf041cb06028248c2fa76d9c28ec63461ebe6170e65f43965692f</t>
  </si>
  <si>
    <t xml:space="preserve">b4845f19b76c2704e184a26a226cde1398d2ed713475d9867872000364785af3</t>
  </si>
  <si>
    <t xml:space="preserve">526edde80394b3745999922e42af92d310ebd0565ca0dc585aa74b3eead4c20f</t>
  </si>
  <si>
    <t xml:space="preserve">96422f9f9deae62716ac6a1023efd5e42ee14ec75787828ccccb491e2c9621a0</t>
  </si>
  <si>
    <t xml:space="preserve">608e0b31084a9d7ed93d2d44b4761cc024a421b7b1e3d9690a7c86543627e68d</t>
  </si>
  <si>
    <t xml:space="preserve">63fa8732653bac821ba77c7ddca8ac74a079606155b11720db9b26f0f463391d</t>
  </si>
  <si>
    <t xml:space="preserve">c640402d367a51757bd2717a335de713970c24bd644e4c90254519e6ca110997</t>
  </si>
  <si>
    <t xml:space="preserve">09ac0c819856e8b204648c5474b491df3fa9e6bc9956c75f3799cf88357733ed</t>
  </si>
  <si>
    <t xml:space="preserve">a1d6933b8c25177cf3a4daa1b84280dd0e608f864f59c9ef23a77661cecf659a</t>
  </si>
  <si>
    <t xml:space="preserve">4299e48cc2d986b5c4a5add9195169963b1fec7ff5062c1654aaec5e0192f669</t>
  </si>
  <si>
    <t xml:space="preserve">494f18d6c3c4bdc42add0a66ea44e0dc222a31c2b1c3f41bb1c07a6788167f74</t>
  </si>
  <si>
    <t xml:space="preserve">ff551ec7a174f5dac75b4cf0d52fd634da77b2e8185b2df54a0f8f70535d2ec5</t>
  </si>
  <si>
    <t xml:space="preserve">f50b5179a9a2eb9c31088abb2773ad1d9892bb5b49c934e298de349b3a67a7e8</t>
  </si>
  <si>
    <t xml:space="preserve">AYAN HERSI</t>
  </si>
  <si>
    <t xml:space="preserve">3eb724972288866f62b86bdd4f23ad621780cd662921bdba4b8cd4a0f6be441e</t>
  </si>
  <si>
    <t xml:space="preserve">5eaa4824a6dc897bfdfdc7fb2304a0d0d00830345beef4abeb6b22d1fc9f279a</t>
  </si>
  <si>
    <t xml:space="preserve">dfc56004a8703cf1e2daa0dff7f812e30fa0762d599d73b91eb16a983a2231bb</t>
  </si>
  <si>
    <t xml:space="preserve">23cddf1b762330907c5997fd4201ed5c0eae6eddef678fe6c3d084bcc2abb511</t>
  </si>
  <si>
    <t xml:space="preserve">49f5ee563104f2523b4405f030ddfff202df91af33789a476b0a88e7ea8c0bbc</t>
  </si>
  <si>
    <t xml:space="preserve">c6fffa7a0c406c0a53f5915ebd965bc0eb460e56f5224986872528a7c199deea</t>
  </si>
  <si>
    <t xml:space="preserve">ed0fe28309b10d3badb6d4848ca30db46f821b4e8ecefdf4d6acef17a4116b58</t>
  </si>
  <si>
    <t xml:space="preserve">2eb241c6ca7456890526a157ff5fee9c476fbe59fb892ea3bfeafa612db60b7e</t>
  </si>
  <si>
    <t xml:space="preserve">e6d5bd75fde18efb07d93063323a753a37318edc7c1a665f5bf71fada4166965</t>
  </si>
  <si>
    <t xml:space="preserve">91c8cf4ed369b0ea758715dcbb7f835a8a02447126a568f3610f4c15fbe7ce9c</t>
  </si>
  <si>
    <t xml:space="preserve">9954b12bd9d548fb11c93b245c5e8a1a0e501ae415d5ca7ce0f8c2177281aa24</t>
  </si>
  <si>
    <t xml:space="preserve">eab84f52e30f4cb78164ff9d0be02e1bbee9ea44ff7db53b2b24c7a630e0fbc9</t>
  </si>
  <si>
    <t xml:space="preserve">e327ca73a0c1594d744f5be33957e0e9d590f05b8c41934cb66a85655dc7b9ba</t>
  </si>
  <si>
    <t xml:space="preserve">4e0f16d4e7f19a83c2537c8e2f44900f70d79ac7f2ab6f6241d45b487d46c918</t>
  </si>
  <si>
    <t xml:space="preserve">073b4f63dcec8cf193cf83ee0940e8a1194ca247a5d6a85822de1f23304d7cb5</t>
  </si>
  <si>
    <t xml:space="preserve">c397f7678daaeb46f444f9dcf7549badfe6285ac21c2b642900d2b0775b107d9</t>
  </si>
  <si>
    <t xml:space="preserve">4580cf529408634b1363d5a21fab9453532c9911dca16462927290b13066c8d0</t>
  </si>
  <si>
    <t xml:space="preserve">2711ea3ed4b3b638a11a6ef63974143d6eec05dbbeec10ec4af01c6421817c2d</t>
  </si>
  <si>
    <t xml:space="preserve">59b1ccf4356ff3300d22cfdfca5b9596c6b00cf08cfb3a0b4d472fed25c4fe23</t>
  </si>
  <si>
    <t xml:space="preserve">e15247c231d2e3c503c85e96a9e0e54966506b8296031f9e2c2da670ddfad708</t>
  </si>
  <si>
    <t xml:space="preserve">67d9fd5315fc08bef231ed6d99a74db4252bf8da2b8247fecebf5a646c84b208</t>
  </si>
  <si>
    <t xml:space="preserve">7a51473aa2198855bc95981f85c7b7deab5ee7840c62ae2aea8c06fc00614830</t>
  </si>
  <si>
    <t xml:space="preserve">9efb38348ae29442d1b054a4bd100c5ebfe95cf9e9e06da0103ab28c9770c757</t>
  </si>
  <si>
    <t xml:space="preserve">b33b39e91ca1c186fb5f287b755b13c6a6aff311aa5264801caef5b14a41130d</t>
  </si>
  <si>
    <t xml:space="preserve">555fd8a249f0637867757cf352d5d80139a32529918cd6f8cb8ce9d79e91d732</t>
  </si>
  <si>
    <t xml:space="preserve">d1ce7eafe77bbf7f871cd9e60aee103d7119a28cf4bcfd06b12168169d0025dd</t>
  </si>
  <si>
    <t xml:space="preserve">65036031bc4a9964cfdeb2bd4dce94f04b815d90015e83b6bb215a2d02ae62a8</t>
  </si>
  <si>
    <t xml:space="preserve">2963eaa98585a0c063c466cf9e58db6f788a05d5ec5942f1cfdb80e8babb7c93</t>
  </si>
  <si>
    <t xml:space="preserve">c78d188b98f8256e313aeaea990824128dcad9a0e2a855547ea6ed3e17809d10</t>
  </si>
  <si>
    <t xml:space="preserve">7f8564586f015a79e5c4ef493e3a11f901b495aad19b694e4cfb7e70e98ff87b</t>
  </si>
  <si>
    <t xml:space="preserve">ef5985c6736f324f18541110f9991636ed3e8c7b76dde25f9e4f8cb293b89516</t>
  </si>
  <si>
    <t xml:space="preserve">c8ef26d972103d215b26799f96de15e0915b4a6fa80677da916ac83484ec6472</t>
  </si>
  <si>
    <t xml:space="preserve">c6778e4acbbd6839a459d699500154f40d25209c32ad70379cad26b18743c885</t>
  </si>
  <si>
    <t xml:space="preserve">bf7a73acc382d90c745e65cb1fbd8e2cd6df871c77a46dd08610d0db96ebb0c0</t>
  </si>
  <si>
    <t xml:space="preserve">5546ece2b4845adccac15ea623f62215d5e9c6412b9d0b5e36b79d31e65e1425</t>
  </si>
  <si>
    <t xml:space="preserve">5ad8abf759edc39c855a0fbc970f5a2343cdb7271948c94ae8ab91f12c2be743</t>
  </si>
  <si>
    <t xml:space="preserve">c85272906c161c8477b49e737eba32f31f6670f9462a56007d21248cb165a771</t>
  </si>
  <si>
    <t xml:space="preserve">1fd0fbaebd768bfbba68749b661fca5e61f0e50955f54526bcc843a9a939d4a6</t>
  </si>
  <si>
    <t xml:space="preserve">1e897ae695039b19d44cb33af737990dae2fd6970222d49af30f9681d1240936</t>
  </si>
  <si>
    <t xml:space="preserve">d147be45dd6ae46e0a654a87dc7cbcbafb80105620d87fee7a32fe8e0a92e749</t>
  </si>
  <si>
    <t xml:space="preserve">0990064300aed10963b8478ca19738bbdbbeda8d85bf1a8bddf4e2a1ee721f52</t>
  </si>
  <si>
    <t xml:space="preserve">dfd5e54b8baf41b38dde4795f31bd669f86a4c2eea49fc4808fd5b2e82f91d0e</t>
  </si>
  <si>
    <t xml:space="preserve">be6da3a931c3d8f259241169ffd1fcd276639e4cc76894a501a41f24db979b35</t>
  </si>
  <si>
    <t xml:space="preserve">747cf6eb8bdeaba8a0cfa663d2daeda1e7bda1488cf8483ee1e9a98a8e5ebc0a</t>
  </si>
  <si>
    <t xml:space="preserve">951f61ba083d0cc32eec8b32fcdcecca4580540f36dc2428ddd77c0385fb9dac</t>
  </si>
  <si>
    <t xml:space="preserve">590ed4321f5f92848bb038035eb4c72bb8e4304272f3234a6bea6909e8eefab1</t>
  </si>
  <si>
    <t xml:space="preserve">6dba663a1d94e2a0e4b31c1fe9bef8208a0791e41e69e7864cc203f00066df4b</t>
  </si>
  <si>
    <t xml:space="preserve">4ddc0ce6e87c8b09f5446d58b152d8d744d1ed724db71ed0a8af75d487ac3f6f</t>
  </si>
  <si>
    <t xml:space="preserve">d24031eace237668391850046fe9cb31955ca592f16bdb0911fdd51eb878751f</t>
  </si>
  <si>
    <t xml:space="preserve">9fcf92cdb47b2260675aaac4ccde3f94fad157e8d44773ef8758de3f784e456e</t>
  </si>
  <si>
    <t xml:space="preserve">e2d1147fd3b2b10ee95976fd3ae7a972a521b6c97945f0d7e43ffa9a3a7104fc</t>
  </si>
  <si>
    <t xml:space="preserve">53778d979010aea15db6afe03d76a20c8553aa03843a70544cf7efe7773d9a17</t>
  </si>
  <si>
    <t xml:space="preserve">5cebe98c31cca61144f180edfb1477ba69334570b02fe27699e23d016ed25dc1</t>
  </si>
  <si>
    <t xml:space="preserve">bdfa9d0342e4adceed27672ac4894362246bec94cae55ce78d29591887422401</t>
  </si>
  <si>
    <t xml:space="preserve">e782983163676397bc1e783d5b1aacef85d4e496863adceb50ae134ed10f086f</t>
  </si>
  <si>
    <t xml:space="preserve">7af5306cdc99557f38653a353a44a999be9772e61ae5fddffb96e5d463f437ce</t>
  </si>
  <si>
    <t xml:space="preserve">99e427f80ec299934d0497b4274c5603b362a71630e844cc9872de1d70fce48c</t>
  </si>
  <si>
    <t xml:space="preserve">bd7b999e1ff58d35a3b79cb79852df81c61a8090347f814c1a8e462d94db6ced</t>
  </si>
  <si>
    <t xml:space="preserve">400eee662adc6764934976268b3c379ef3596c8f7898f5a427bfc1a92bce809b</t>
  </si>
  <si>
    <t xml:space="preserve">aba251926e08e6b016c1ebb9a3abfa288d675d6748ceb87ad78226773602603a</t>
  </si>
  <si>
    <t xml:space="preserve">4d3002ed7a44d133480b19fd2ad93e2a1b968253eb81c54ece8ea190d6060e9e</t>
  </si>
  <si>
    <t xml:space="preserve">34901807496d75c686d9c5265bab1823e3a6598266100855a6723a0be5587d49</t>
  </si>
  <si>
    <t xml:space="preserve">2172388957adce5db1d41d7dae0053cd6581ce171e8ba38d1b0ac4e43f444078</t>
  </si>
  <si>
    <t xml:space="preserve">6f0f0ef42723331db387be30f502c0ef264cde89d8acf97222813dd1a49d1459</t>
  </si>
  <si>
    <t xml:space="preserve">81b2866ffefaeed5dff5d7fd012677d5f18f600586e485bf81b2517b19e2699a</t>
  </si>
  <si>
    <t xml:space="preserve">07f60bc1c2f4d950c40cf74e1fd5e6a5d3726cb3eef39b88e2691ef4022ba2fe</t>
  </si>
  <si>
    <t xml:space="preserve">e316fcbefc808bb656532d743d3817bdfe37e5dd80b3bd41610aad95e02e667f</t>
  </si>
  <si>
    <t xml:space="preserve">f0491d7c02acace4a7c08165fecee59572124bd7e5a1181f65625e0b02551982</t>
  </si>
  <si>
    <t xml:space="preserve">49b05f3b2163ffb5cbd51f45006a66b649b79f1c7225fe154fa196178b48a756</t>
  </si>
  <si>
    <t xml:space="preserve">84bdf55a95d51eab5a27cbb92207993d5c0c4b1098f5bfecea4240c5d29c028c</t>
  </si>
  <si>
    <t xml:space="preserve">4f8ce18d68e5af19078c77de0b29b54d81152f0b820fe5d4e80f039cac223107</t>
  </si>
  <si>
    <t xml:space="preserve">8ff47243633e07a2fe89409e604baf931d9f6928dfc398340f72a1f9fcf53816</t>
  </si>
  <si>
    <t xml:space="preserve">38516b3b377fe5f4d356ad6a209fbfe5345b4e146736f0d37b8e454a506942a9</t>
  </si>
  <si>
    <t xml:space="preserve">60d77372a57aee50968256637eb4df5f3b5eb0353a9f864f39d2574f0d39e2f4</t>
  </si>
  <si>
    <t xml:space="preserve">3997fba8a5c5f7078a4da77ba18b0486aa5a479648e5c620b67b73943af84129</t>
  </si>
  <si>
    <t xml:space="preserve">2ac6eb020de5da3ee1057678507b9912c8cc8df90a4284c97acab42e53fa8309</t>
  </si>
  <si>
    <t xml:space="preserve">60733e74939053b1e4c3b30807fcd47aa8b01c651cee59590731613c55ea4e8a</t>
  </si>
  <si>
    <t xml:space="preserve">94d6fbcee7f782f787d45add88adcfd671827ecf0ca2390c34a8eb22d58f2109</t>
  </si>
  <si>
    <t xml:space="preserve">3151f559d31d4b27df192b76536006573e092ddf7b6da1d0be9959ed5e3e099a</t>
  </si>
  <si>
    <t xml:space="preserve">a7319db54334b5d3a747eb95061948943984637d5b3308435762cd3855a7017d</t>
  </si>
  <si>
    <t xml:space="preserve">62b83df9a6f03eb67499a512d2066e9a60e7e383c4a2a87b7396547e5f23ffc5</t>
  </si>
  <si>
    <t xml:space="preserve">8c119821d09d2876aaa5bdeb4a2cbb29cde96784010ff7775835ea07b8dcbeb2</t>
  </si>
  <si>
    <t xml:space="preserve">cb8fe6f410d9dadd8edb62a85ec96f8eedac16d46002726920aa84cb3def2d24</t>
  </si>
  <si>
    <t xml:space="preserve">3d1ec86857ee04caaedbb455e52eb19c3f41067f7a89ff44045ce906bc383672</t>
  </si>
  <si>
    <t xml:space="preserve">9ade255c349354a926b80507f770e979a3197586ea1058eb790c55a35dd295fd</t>
  </si>
  <si>
    <t xml:space="preserve">cb308b92c1bad1071e14ebd0726506e980b0169b4de3855906d897be71563941</t>
  </si>
  <si>
    <t xml:space="preserve">584b6e078608b3db7a1948a6d707f60313a8ba717d0ac36c472c5e27a135d05b</t>
  </si>
  <si>
    <t xml:space="preserve">f75dce01ed9aeea5df280a4863ace2ebecb12c4f4af3785a72426269d12462ea</t>
  </si>
  <si>
    <t xml:space="preserve">ce3f162277032a059230ee3f9f56de124b634a0132d2414db653b0d439092b4a</t>
  </si>
  <si>
    <t xml:space="preserve">cb05502c7c4ac32609b5d97d968f05e2c4b5250cee84dfd9fd5bb05bf84ee313</t>
  </si>
  <si>
    <t xml:space="preserve">87b035fdaea80c85972f8a22e6fe3a9ddacd2b44dcb940b6329441cdebb9c5fd</t>
  </si>
  <si>
    <t xml:space="preserve">630afa36b002a8c78f37af0c2471662ba9b77ec4807c02cf9bcfc96a949da01b</t>
  </si>
  <si>
    <t xml:space="preserve">22e210f9abf05d0f4a200102b5cd7b196737b1f5f90925b4eadce3d786af7ade</t>
  </si>
  <si>
    <t xml:space="preserve">f598a3983b60d52cb3ada836d1ec564e5fe9637ea54ce9d4715203b763ee7423</t>
  </si>
  <si>
    <t xml:space="preserve">36fa7949591e8a349569579d241efdca81b1ed3bc0ecad30eda14a04aa00c6ff</t>
  </si>
  <si>
    <t xml:space="preserve">2567cccfe5a7c30100098e278cbb85fe7442199a1ab2c0c9111bc24a3d7b5380</t>
  </si>
  <si>
    <t xml:space="preserve">7e99e6b89b8f7e5a2628d5a2109d3a6467e43eeccfebdb4358010c937c5c0fba</t>
  </si>
  <si>
    <t xml:space="preserve">151e4c48359372b4954d5f8a7573c22a0fa8ebb3e82c112c4023dae5980494df</t>
  </si>
  <si>
    <t xml:space="preserve">82896a119463e97c945981fe5cfb79384577f58a5e93d28778bb6c13860614cc</t>
  </si>
  <si>
    <t xml:space="preserve">b1ba20a171eaaa08cd8bde03469995d9bb10002d30ee2d8ef421943b335db644</t>
  </si>
  <si>
    <t xml:space="preserve">c99ea7707b831bc3f42757e02de8f489598e48ef77e8b4572043795b44c883e7</t>
  </si>
  <si>
    <t xml:space="preserve">5af12ff86ee461e1eb0a939fde64e6753dbe03d24229f95dea1fdaf896f53801</t>
  </si>
  <si>
    <t xml:space="preserve">85c7a1c4e8bef12ec6571e30b1e2325dca3ea908b9cd6129ec069e4bfe9b77d8</t>
  </si>
  <si>
    <t xml:space="preserve">6374f57a52b18e78ff0eac9adea58aeed174dde310eae075ef4fd790af7a5b65</t>
  </si>
  <si>
    <t xml:space="preserve">73208f7f66eb83fde6dbd640938a7ada6b06118211aa3d49c2b6cba6edc4ab2d</t>
  </si>
  <si>
    <t xml:space="preserve">740bd70112ac82d98ddcbdf251dd05e8a9abff5913574e0e9694e02c88ac417c</t>
  </si>
  <si>
    <t xml:space="preserve">9a858609017b06683846962a9943505e0ec2acf487a0c81e4bbe9b9e14a7a88d</t>
  </si>
  <si>
    <t xml:space="preserve">7685a4fec694f5a098b3f1c0cae3afbbc8e80df346bc657c58aa4e11b32268a3</t>
  </si>
  <si>
    <t xml:space="preserve">d05accd47371a07eb773283eaa7050e255bbd8c299c9a30e27c798ee4e227afa</t>
  </si>
  <si>
    <t xml:space="preserve">730944be9fd13c79b4a713f5e95cf84599d846dbd781af021d93b852f7e8555a</t>
  </si>
  <si>
    <t xml:space="preserve">dd4ab8bfa93ecf8e9c6714e9de5bf22582498f36c7cb05e7bcad130a0566bab9</t>
  </si>
  <si>
    <t xml:space="preserve">75763063260549d63994a0a212c1227825e59a613b9d2d50a8d736abefaee4d6</t>
  </si>
  <si>
    <t xml:space="preserve">40404aca2032297479ccab6ef3b8b7d3ee88e008388bc4f2e8ddedb3741f013b</t>
  </si>
  <si>
    <t xml:space="preserve">b70cf3fbc21ffda8f0decb8b4d305e9a50cbf245a69ae94abdd42117b09f0aa2</t>
  </si>
  <si>
    <t xml:space="preserve">bbb9945dec449ee63a2e60bea3ac62f1a7e3a524fb12e65a14c043ef717ea0b5</t>
  </si>
  <si>
    <t xml:space="preserve">bce8f263ad7ea81282154cd1c95fb45151ec90a637011bb93c043355eaeaf4d8</t>
  </si>
  <si>
    <t xml:space="preserve">b262c84d911b1e11c4c9f8c6540c48b9cce3966f3abab6c96c06ec35c9f3b965</t>
  </si>
  <si>
    <t xml:space="preserve">e29c7cac4e6497c59a335f7f310d207353e5485c0846be8a13d883471f23efdb</t>
  </si>
  <si>
    <t xml:space="preserve">fbd02397776e7a32a05fa056251538e6dcb2e473accfacccca80e64b624c8030</t>
  </si>
  <si>
    <t xml:space="preserve">9abd3fe1d8f854ad4fe4fdad89485acd3918789ae3a56c6b2ccf9b0145b4d9b0</t>
  </si>
  <si>
    <t xml:space="preserve">2153a229c4634dd1f6b8d663604e1b48d40888ebe172c6a6e54b6fe7089e6b11</t>
  </si>
  <si>
    <t xml:space="preserve">3808703f35b54f1305379fee303ac6c95acec167d9992c23040d6eba2eb570d9</t>
  </si>
  <si>
    <t xml:space="preserve">ba159d1e24552c9e1f687c1d9b9837cd159b06c06d3ae3372f7b6b73c777be7d</t>
  </si>
  <si>
    <t xml:space="preserve">60819f84332bbf63de1ae200e07a09b0010f43a29289c14b393c44ee1929b0c6</t>
  </si>
  <si>
    <t xml:space="preserve">877c96dbb24f832e3c67d2c76937d724a4fc69e8623b9838ca1f6d6588f29c4b</t>
  </si>
  <si>
    <t xml:space="preserve">b8dbfd9e8646ab76786fbae48e2693e65ef1ec6581c57f2b8b9191ac54b4fa14</t>
  </si>
  <si>
    <t xml:space="preserve">ca258a9f0c9fb9f4bdaacea10104fbf633ed577f057702b25e23c5a6dd50347e</t>
  </si>
  <si>
    <t xml:space="preserve">0b9467b5e3b00f14cccad2115b2381a1c0cc1662c1a392d3e9b86f4fa74b23e5</t>
  </si>
  <si>
    <t xml:space="preserve">d88342011c529e88dfb8ab0761783c9cbb54c6f41688e1ec7145071b7ebd0959</t>
  </si>
  <si>
    <t xml:space="preserve">6a71c95584e5ac74664b8054cb9336c85080b423172038573335a74fe174d224</t>
  </si>
  <si>
    <t xml:space="preserve">29e0035495434fa8bd25368b283bc9a2fae0aa48bbd80bb5757f3f669ca5e414</t>
  </si>
  <si>
    <t xml:space="preserve">e0d0e7a5ff635939e941b5b727a2c4d782225f6bbb2ee060e156d9117628ebc8</t>
  </si>
  <si>
    <t xml:space="preserve">a7661de37a1c3cc35518fc0247452e8af360e9e77a9eff4cae2a6992ad5d74cb</t>
  </si>
  <si>
    <t xml:space="preserve">9bb91eb03dcedd96e3e202c12370b1676b56a962545520e54833697b1f9fe461</t>
  </si>
  <si>
    <t xml:space="preserve">ad668e5a802eb345ca16eac426b5abfd6d44e924bddb14baca4fa3e1e8350ebb</t>
  </si>
  <si>
    <t xml:space="preserve">26dd1c0a924bc21fb80bdbc685b627df2544b601aaf7f37c8cd72e77beb48744</t>
  </si>
  <si>
    <t xml:space="preserve">52ac1b195a547a8a88980f5a524d0c96b6ffed679b9b68a28ea5c6209a6d28a6</t>
  </si>
  <si>
    <t xml:space="preserve">ac5c657a8479c662d68b5e78e4d4e884f60bca3326d8367152a62dc9a384d4a0</t>
  </si>
  <si>
    <t xml:space="preserve">5960c8cb7c1c745e63a1bdf8239a264c72da737371cae348b50fc0b2a13fea8a</t>
  </si>
  <si>
    <t xml:space="preserve">e1c19816bebc3cd87402dd6b8d4990067dab6ac961ccf23bd74ddb069854f73b</t>
  </si>
  <si>
    <t xml:space="preserve">9e459e1ecae9233209b62b61596fc64d73ee484fa5d9248fe8c612c3f04b17d5</t>
  </si>
  <si>
    <t xml:space="preserve">01a4392eb8435efd86a5d2763f1e3eecba620426032ceef1e7638b5c36a2a7fe</t>
  </si>
  <si>
    <t xml:space="preserve">a69d741bc9cd563b2783ad5df8ccb2304771ecdad789798febb2703b20989463</t>
  </si>
  <si>
    <t xml:space="preserve">45f352b9baf8c6b74ce1bcf8f8f9c803d512f2f238ec7294c67942c3013f09ab</t>
  </si>
  <si>
    <t xml:space="preserve">aa772e97f9bc7f3ae8cba2c8dfb857121ca6bbe3d3b84911198c8675565e09f5</t>
  </si>
  <si>
    <t xml:space="preserve">0abeacf186bc97cda9d848357fc3e8da39875238f16a2d8f76a91d84fe026ea8</t>
  </si>
  <si>
    <t xml:space="preserve">9c0b0a7569320f2ee652fbd222d0c740febb115b307bbc8702d57d5cfb01581f</t>
  </si>
  <si>
    <t xml:space="preserve">d24359b41e9da9afa2309a7af63517456b23b7f7bf3b90b750f3b076f3b7b178</t>
  </si>
  <si>
    <t xml:space="preserve">cd90fdb4d0452f0302a28f418b4d9ae2f01db43bd09480c3b9e9e1ec5725724a</t>
  </si>
  <si>
    <t xml:space="preserve">a44109e6bd174519bf2f449538f61b23293e33d4c43a3d1c4d2d29b5a6437871</t>
  </si>
  <si>
    <t xml:space="preserve">7ed3ed1bd254465ccc356c1758db1189d13a5e72b4938b26dc384ff70818463b</t>
  </si>
  <si>
    <t xml:space="preserve">2ea11a07b2fea2e974be86c46b453508dcb7c34f1cc6dc2b7997617e36621394</t>
  </si>
  <si>
    <t xml:space="preserve">1f5ee1c64b7878cb0bf952ddcfbc68b0dd235b8ccc89c22c1e4ff85fda1c2fab</t>
  </si>
  <si>
    <t xml:space="preserve">f7501f0db3fab57280dd68ae417e681e15adab2598d3c2f4b415073c574058aa</t>
  </si>
  <si>
    <t xml:space="preserve">f33b81f7fb2ab697972a989ae4edd0a816a2ed99c3977341c9704d88bf063c3f</t>
  </si>
  <si>
    <t xml:space="preserve">08073417cf6c0b21e8c090af7c61cba3cce7604a8632eab87cffd09d1fa47b4f</t>
  </si>
  <si>
    <t xml:space="preserve">dfd6393439336b19d934d06482c4b8bd22b8c265ed977c21b8cfbe8ed4dbb129</t>
  </si>
  <si>
    <t xml:space="preserve">4d244f34858dec2f9fbc8e7967a3b5dc3f2ae66f68118c663a7f42ba44079e82</t>
  </si>
  <si>
    <t xml:space="preserve">fc9795250aab9007a9c200efd8d59bfd0cfc3b996a5afb1b7a9fa0dce2acd17a</t>
  </si>
  <si>
    <t xml:space="preserve">02300c46ee390ae8ff5a5aaf80f9c8bc536a469428c2acf576dc0b4b615c8019</t>
  </si>
  <si>
    <t xml:space="preserve">0d951c006cab1dc42095049c84eb4a06439cb5a1b869148b012b02f0105e12a2</t>
  </si>
  <si>
    <t xml:space="preserve">37e54df1e0ac25e4ef84249bc885e21888a7ee8277aed46799c01e5c55feab58</t>
  </si>
  <si>
    <t xml:space="preserve">6f4a2fb104af954f8fc530e4f1e54520ce0db63dd7835531f4233503e3b8fb94</t>
  </si>
  <si>
    <t xml:space="preserve">4f2f75003f938a22545e7eec3bc2af29e46f412be73f18539a5f6333f660373b</t>
  </si>
  <si>
    <t xml:space="preserve">9905ec4b54f4910cc43225c4842b8da3c4041cb0c5ab8faae2d505a202c39a74</t>
  </si>
  <si>
    <t xml:space="preserve">5b511065e63387a3227514a6dc585d6ba22565c75ad51d28d2881ad308785a62</t>
  </si>
  <si>
    <t xml:space="preserve">a5fc172df6cc1785de347378c7a2ed93b24d6c472db024810b75ecd3466f0260</t>
  </si>
  <si>
    <t xml:space="preserve">0d6b3b4cd5e0049799756684148361c0d1df6b634d89ae55c4e9cca7ae1c9f33</t>
  </si>
  <si>
    <t xml:space="preserve">5f40f04d555b3642ec1108fb217a5289feaaaf8b680d1932f1ddf2a5df096c84</t>
  </si>
  <si>
    <t xml:space="preserve">e6f85ce125d3d3241af0f88c39cc9d44fd907c0c836de8dd85738d888740cbd4</t>
  </si>
  <si>
    <t xml:space="preserve">92778d1bcb8ce923afd40fce934db5f9af9721402873646d4598fe0dea42c5f9</t>
  </si>
  <si>
    <t xml:space="preserve">5dd30d5bd397e696280049dca3cc96d065a333c9277d1033ea47e702e96dcbb6</t>
  </si>
  <si>
    <t xml:space="preserve">ca88a29132f1873df3dcaafcf1ed2cf8cc22622eed033b785f2cf47e6e1cb04d</t>
  </si>
  <si>
    <t xml:space="preserve">4b9eb455e1242e9268edf5ce6dbae3865796cdfa97e6ff3c9f7e1da4d288b239</t>
  </si>
  <si>
    <t xml:space="preserve">4a4a84577f8b6f6ff7ec390a6908f460d3966c3da988857e92851a8e3037257c</t>
  </si>
  <si>
    <t xml:space="preserve">67043bff06358542a3683ab2a603f4f0f4c91feaab57ee79da88c5c221586595</t>
  </si>
  <si>
    <t xml:space="preserve">ceedc37322264f56de987e3a93f0e40bab964b3cfb2689c36e68fedfe59a0504</t>
  </si>
  <si>
    <t xml:space="preserve">author</t>
  </si>
  <si>
    <t xml:space="preserve">creator</t>
  </si>
  <si>
    <t xml:space="preserve">creator_tool</t>
  </si>
  <si>
    <t xml:space="preserve">producer</t>
  </si>
  <si>
    <t xml:space="preserve">xmp_toolkit</t>
  </si>
  <si>
    <t xml:space="preserve">odyssey_efile_date</t>
  </si>
  <si>
    <t xml:space="preserve">create_date</t>
  </si>
  <si>
    <t xml:space="preserve">create_date_n_days_after_efile_date</t>
  </si>
  <si>
    <t xml:space="preserve">metadata_date</t>
  </si>
  <si>
    <t xml:space="preserve">metadata_date_n_days_after_efile_date</t>
  </si>
  <si>
    <t xml:space="preserve">last_modified_date</t>
  </si>
  <si>
    <t xml:space="preserve">filename_timestamp</t>
  </si>
  <si>
    <t xml:space="preserve">document_id</t>
  </si>
  <si>
    <t xml:space="preserve">instance_id</t>
  </si>
  <si>
    <t xml:space="preserve">company</t>
  </si>
  <si>
    <t xml:space="preserve">doc_title</t>
  </si>
  <si>
    <t xml:space="preserve">file_size_bytes</t>
  </si>
  <si>
    <t xml:space="preserve">pdf_version</t>
  </si>
  <si>
    <t xml:space="preserve">n_pdf_pages</t>
  </si>
  <si>
    <t xml:space="preserve">tagged_pdf</t>
  </si>
  <si>
    <t xml:space="preserve">Hemmings, Randall; Hemmings; Randall</t>
  </si>
  <si>
    <t xml:space="preserve">Hemmings, Randall, Hemmings, Randall</t>
  </si>
  <si>
    <t xml:space="preserve">Microsoft® Word 2013</t>
  </si>
  <si>
    <t xml:space="preserve">Microsoft® Word 2013; modified using iText® 7.1.16 ©2000-2021 iText Group NV (Minnesota Judicial Branch; licensed version)</t>
  </si>
  <si>
    <t xml:space="preserve">Adobe XMP Core 5.1.0-jc003</t>
  </si>
  <si>
    <t xml:space="preserve">2020:01:13 14:32:18-06:00</t>
  </si>
  <si>
    <t xml:space="preserve">2020:01:14 08:29:39-06:00</t>
  </si>
  <si>
    <t xml:space="preserve">2025:11:26 17:46:52-06:00</t>
  </si>
  <si>
    <t xml:space="preserve">uuid:d1672836-c99b-47e1-a344-5a277a178e9c</t>
  </si>
  <si>
    <t xml:space="preserve">uuid:e8587be3-60f1-4b2f-b1b4-86f618ff8e3b</t>
  </si>
  <si>
    <t xml:space="preserve">True</t>
  </si>
  <si>
    <t xml:space="preserve">GdPicture Managed PDF Plugin</t>
  </si>
  <si>
    <t xml:space="preserve">GdPicture Managed PDF Plugin Ver. 4.5; modified using iText® 7.1.16 ©2000-2021 iText Group NV (Minnesota Judicial Branch; licensed version)</t>
  </si>
  <si>
    <t xml:space="preserve">2020:03:18 13:18:39-05:00</t>
  </si>
  <si>
    <t xml:space="preserve">2025:11:26 17:49:14-06:00</t>
  </si>
  <si>
    <t xml:space="preserve">uuid: 2E6EA59C8FC54C3B1326854E701585F2</t>
  </si>
  <si>
    <t xml:space="preserve">RICOH Aficio MP 301</t>
  </si>
  <si>
    <t xml:space="preserve">RICOH Aficio MP 301; modified using iText® 7.1.16 ©2000-2021 iText Group NV (Minnesota Judicial Branch; licensed version)</t>
  </si>
  <si>
    <t xml:space="preserve">2020:05:19 14:28:59-03:30</t>
  </si>
  <si>
    <t xml:space="preserve">2020:05:19 15:05:40-05:00</t>
  </si>
  <si>
    <t xml:space="preserve">2025:11:26 17:49:53-06:00</t>
  </si>
  <si>
    <t xml:space="preserve">uuid:697c13d5-1661-4d2d-ba3b-b5da2eabff2c</t>
  </si>
  <si>
    <t xml:space="preserve">uuid:5b0082bd-2ca5-4246-96c9-f99fce90cfd3</t>
  </si>
  <si>
    <t xml:space="preserve">2020:09:30 09:24:51-03:30</t>
  </si>
  <si>
    <t xml:space="preserve">2020:09:30 09:22:55-05:00</t>
  </si>
  <si>
    <t xml:space="preserve">2025:11:26 17:47:21-06:00</t>
  </si>
  <si>
    <t xml:space="preserve">uuid:a17ef689-9755-4212-8eab-41a0516e34be</t>
  </si>
  <si>
    <t xml:space="preserve">uuid:081e68ca-b741-447c-88b6-b74a03c199d7</t>
  </si>
  <si>
    <t xml:space="preserve">2021:01:29 14:37:53-06:00</t>
  </si>
  <si>
    <t xml:space="preserve">2021:01:29 15:19:21-06:00</t>
  </si>
  <si>
    <t xml:space="preserve">2025:11:26 17:49:27-06:00</t>
  </si>
  <si>
    <t xml:space="preserve">uuid:8dc529a6-40be-4d5b-b56c-26fa89fdadf8</t>
  </si>
  <si>
    <t xml:space="preserve">uuid:6565c3c1-d48d-4739-9627-8aef90ee7cfe</t>
  </si>
  <si>
    <t xml:space="preserve">GdPicture.NET</t>
  </si>
  <si>
    <t xml:space="preserve">GdPicture.NET; modified using iText® 7.1.16 ©2000-2021 iText Group NV (Minnesota Judicial Branch; licensed version)</t>
  </si>
  <si>
    <t xml:space="preserve">2021:07:19 16:14:12-05:00</t>
  </si>
  <si>
    <t xml:space="preserve">2025:11:26 17:49:38-06:00</t>
  </si>
  <si>
    <t xml:space="preserve">uuid: 410DEFCD66AB111B9BC7E2D169CADBAF</t>
  </si>
  <si>
    <t xml:space="preserve">Judith Cole</t>
  </si>
  <si>
    <t xml:space="preserve">2021:08:31 09:25:34-05:00</t>
  </si>
  <si>
    <t xml:space="preserve">2021:08:31 10:25:46-05:00</t>
  </si>
  <si>
    <t xml:space="preserve">2025:11:26 17:47:31-06:00</t>
  </si>
  <si>
    <t xml:space="preserve">uuid:999cfbc6-aa89-427a-ac7c-31e744cb57e0</t>
  </si>
  <si>
    <t xml:space="preserve">uuid:c7de2954-ed4f-4806-a435-dc2745f131f2</t>
  </si>
  <si>
    <t xml:space="preserve">State of Minnesota,</t>
  </si>
  <si>
    <t xml:space="preserve">2021:09:21 15:52:03-03:30</t>
  </si>
  <si>
    <t xml:space="preserve">2021:09:21 15:48:55-05:00</t>
  </si>
  <si>
    <t xml:space="preserve">2025:11:26 17:47:57-06:00</t>
  </si>
  <si>
    <t xml:space="preserve">uuid:daa96713-7da1-4ff7-a0ac-171e0bec648f</t>
  </si>
  <si>
    <t xml:space="preserve">uuid:18449276-fed9-40b5-a212-9983aac12b45</t>
  </si>
  <si>
    <t xml:space="preserve">2021:09:21 15:52:03-02:30</t>
  </si>
  <si>
    <t xml:space="preserve">2021:09:29 13:06:17-05:00</t>
  </si>
  <si>
    <t xml:space="preserve">2025:11:26 17:47:46-06:00</t>
  </si>
  <si>
    <t xml:space="preserve">uuid:31d55f0d-eeb7-4f25-bee1-a658cdf72ab7</t>
  </si>
  <si>
    <t xml:space="preserve">Microsoft® Word for Microsoft 365</t>
  </si>
  <si>
    <t xml:space="preserve">Microsoft® Word for Microsoft 365; modified using iText® 7.1.16 ©2000-2021 iText Group NV (Minnesota Judicial Branch; licensed version)</t>
  </si>
  <si>
    <t xml:space="preserve">2021:12:13 09:28:55-06:00</t>
  </si>
  <si>
    <t xml:space="preserve">2021:12:13 16:29:59-06:00</t>
  </si>
  <si>
    <t xml:space="preserve">2025:11:26 17:48:20-06:00</t>
  </si>
  <si>
    <t xml:space="preserve">uuid:D47B84BE-A0C1-4918-B52B-DA1BC89CC6E4</t>
  </si>
  <si>
    <t xml:space="preserve">uuid:1211e9b6-a170-41de-93fd-0e9631c2ccaa</t>
  </si>
  <si>
    <t xml:space="preserve">2021:12:28 15:23:25-06:00</t>
  </si>
  <si>
    <t xml:space="preserve">2025:11:26 17:48:32-06:00</t>
  </si>
  <si>
    <t xml:space="preserve">uuid: 0D4B84AB310D4379342DD133163BDB68</t>
  </si>
  <si>
    <t xml:space="preserve">2022:01:31 16:35:00-06:00</t>
  </si>
  <si>
    <t xml:space="preserve">2022:02:01 12:10:09-06:00</t>
  </si>
  <si>
    <t xml:space="preserve">2025:11:26 17:47:09-06:00</t>
  </si>
  <si>
    <t xml:space="preserve">uuid:4787227C-E053-4070-B85C-6764EA2A9D19</t>
  </si>
  <si>
    <t xml:space="preserve">uuid:50b6ad14-eaf1-4202-8088-41fe126aa36d</t>
  </si>
  <si>
    <t xml:space="preserve">JohnsonCN</t>
  </si>
  <si>
    <t xml:space="preserve">PScript5.dll Version 5.2.2</t>
  </si>
  <si>
    <t xml:space="preserve">Acrobat Distiller 22.0 (Windows); modified using iText® 7.1.16 ©2000-2021 iText Group NV (Minnesota Judicial Branch; licensed version)</t>
  </si>
  <si>
    <t xml:space="preserve">2022:05:11 14:20:27-05:00</t>
  </si>
  <si>
    <t xml:space="preserve">2022:05:11 15:32:52-05:00</t>
  </si>
  <si>
    <t xml:space="preserve">2025:11:26 17:48:46-06:00</t>
  </si>
  <si>
    <t xml:space="preserve">uuid:3d3c36d8-a37b-4383-9ab2-6f954ce6e8e2</t>
  </si>
  <si>
    <t xml:space="preserve">uuid:5708a691-8026-4dbd-89f4-0f4297573267</t>
  </si>
  <si>
    <t xml:space="preserve">Microsoft Word - Document in Unnamed</t>
  </si>
  <si>
    <t xml:space="preserve">Sanders, Olivia; Sanders; Olivia</t>
  </si>
  <si>
    <t xml:space="preserve">Sanders, Olivia, Sanders, Olivia</t>
  </si>
  <si>
    <t xml:space="preserve">2022:11:30 10:46:14-06:00</t>
  </si>
  <si>
    <t xml:space="preserve">2022:11:30 10:46:56-06:00</t>
  </si>
  <si>
    <t xml:space="preserve">2025:11:26 17:48:59-06:00</t>
  </si>
  <si>
    <t xml:space="preserve">uuid:EF44DEB0-46D1-46F6-9FEA-E6399F55B481</t>
  </si>
  <si>
    <t xml:space="preserve">uuid:01f1bcb2-5ee1-4020-bbd7-dd19249b80d6</t>
  </si>
  <si>
    <t xml:space="preserve">2025:11:26 17:50:27-06:00</t>
  </si>
  <si>
    <t xml:space="preserve">2020:03:18 13:16:22-05:00</t>
  </si>
  <si>
    <t xml:space="preserve">2025:11:26 17:53:10-06:00</t>
  </si>
  <si>
    <t xml:space="preserve">uuid: DEE5B1C26E46B8316292ADF34580C1C0</t>
  </si>
  <si>
    <t xml:space="preserve">2020:05:19 14:55:02-05:00</t>
  </si>
  <si>
    <t xml:space="preserve">2025:11:26 17:53:39-06:00</t>
  </si>
  <si>
    <t xml:space="preserve">uuid:a654fd15-b6de-4ff0-9d97-6e52376e77a2</t>
  </si>
  <si>
    <t xml:space="preserve">2025:11:26 17:50:56-06:00</t>
  </si>
  <si>
    <t xml:space="preserve">2021:01:29 15:18:19-06:00</t>
  </si>
  <si>
    <t xml:space="preserve">2025:11:26 17:53:21-06:00</t>
  </si>
  <si>
    <t xml:space="preserve">uuid:6d7a2b86-7649-45cd-8697-1c8adbaa8d69</t>
  </si>
  <si>
    <t xml:space="preserve">2021:07:19 15:47:00-05:00</t>
  </si>
  <si>
    <t xml:space="preserve">2025:11:26 17:51:55-06:00</t>
  </si>
  <si>
    <t xml:space="preserve">uuid: 3160DE368D8116835A3B9223EAA94B0A</t>
  </si>
  <si>
    <t xml:space="preserve">2025:11:26 17:51:05-06:00</t>
  </si>
  <si>
    <t xml:space="preserve">2025:11:26 17:51:24-06:00</t>
  </si>
  <si>
    <t xml:space="preserve">2025:11:26 17:51:38-06:00</t>
  </si>
  <si>
    <t xml:space="preserve">2021:12:13 15:12:58-06:00</t>
  </si>
  <si>
    <t xml:space="preserve">2025:11:26 17:52:09-06:00</t>
  </si>
  <si>
    <t xml:space="preserve">uuid:dd22da8c-ae86-48be-a1bc-cf5593ace844</t>
  </si>
  <si>
    <t xml:space="preserve">2021:12:28 15:06:06-06:00</t>
  </si>
  <si>
    <t xml:space="preserve">2025:11:26 17:52:20-06:00</t>
  </si>
  <si>
    <t xml:space="preserve">uuid: 7C76DBA74838293E59C93068CA16367D</t>
  </si>
  <si>
    <t xml:space="preserve">2025:11:26 17:50:42-06:00</t>
  </si>
  <si>
    <t xml:space="preserve">2022:05:11 15:28:15-05:00</t>
  </si>
  <si>
    <t xml:space="preserve">2025:11:26 17:52:32-06:00</t>
  </si>
  <si>
    <t xml:space="preserve">uuid:9721e7b0-74c2-48a9-b1b2-4803c2c9144e</t>
  </si>
  <si>
    <t xml:space="preserve">2025:11:26 17:52:45-06:00</t>
  </si>
  <si>
    <t xml:space="preserve">2025:11:26 17:54:08-06:00</t>
  </si>
  <si>
    <t xml:space="preserve">2020:03:18 13:17:20-05:00</t>
  </si>
  <si>
    <t xml:space="preserve">2025:11:26 17:56:35-06:00</t>
  </si>
  <si>
    <t xml:space="preserve">uuid: 64856DA9BB1C64A55E84E3BCEC0FCCE0</t>
  </si>
  <si>
    <t xml:space="preserve">2020:05:19 15:04:34-05:00</t>
  </si>
  <si>
    <t xml:space="preserve">2025:11:26 17:57:00-06:00</t>
  </si>
  <si>
    <t xml:space="preserve">uuid:38450f03-9525-4043-a58f-48811de8b794</t>
  </si>
  <si>
    <t xml:space="preserve">2025:11:26 17:54:34-06:00</t>
  </si>
  <si>
    <t xml:space="preserve">2021:01:29 15:18:33-06:00</t>
  </si>
  <si>
    <t xml:space="preserve">2025:11:26 17:56:45-06:00</t>
  </si>
  <si>
    <t xml:space="preserve">uuid:3c0ba4e3-0085-486f-9b9e-8cd5e03cf806</t>
  </si>
  <si>
    <t xml:space="preserve">2021:07:19 15:49:37-05:00</t>
  </si>
  <si>
    <t xml:space="preserve">2025:11:26 17:55:28-06:00</t>
  </si>
  <si>
    <t xml:space="preserve">uuid: 07D28F5FA58C5FC690C10CAED187CD2C</t>
  </si>
  <si>
    <t xml:space="preserve">2025:11:26 17:54:46-06:00</t>
  </si>
  <si>
    <t xml:space="preserve">2025:11:26 17:55:13-06:00</t>
  </si>
  <si>
    <t xml:space="preserve">2025:11:26 17:55:01-06:00</t>
  </si>
  <si>
    <t xml:space="preserve">2021:12:13 16:29:14-06:00</t>
  </si>
  <si>
    <t xml:space="preserve">2025:11:26 17:55:41-06:00</t>
  </si>
  <si>
    <t xml:space="preserve">uuid:ad653e09-fa20-49c9-b7f2-f151c32005ed</t>
  </si>
  <si>
    <t xml:space="preserve">2021:12:28 15:10:27-06:00</t>
  </si>
  <si>
    <t xml:space="preserve">2025:11:26 17:55:53-06:00</t>
  </si>
  <si>
    <t xml:space="preserve">uuid: 081C52C323395B89F27805A131451C81</t>
  </si>
  <si>
    <t xml:space="preserve">2025:11:26 17:54:23-06:00</t>
  </si>
  <si>
    <t xml:space="preserve">2022:05:11 15:27:44-05:00</t>
  </si>
  <si>
    <t xml:space="preserve">2025:11:26 17:56:04-06:00</t>
  </si>
  <si>
    <t xml:space="preserve">uuid:9cc80092-c6b5-43de-8b5a-0a558f221324</t>
  </si>
  <si>
    <t xml:space="preserve">2025:11:26 17:56:15-06:00</t>
  </si>
  <si>
    <t xml:space="preserve">2025:11:26 17:57:47-06:00</t>
  </si>
  <si>
    <t xml:space="preserve">2021:01:29 15:27:12-06:00</t>
  </si>
  <si>
    <t xml:space="preserve">2025:11:26 17:59:43-06:00</t>
  </si>
  <si>
    <t xml:space="preserve">uuid:abe0f6fa-7c40-425f-9d80-60763648c069</t>
  </si>
  <si>
    <t xml:space="preserve">2021:07:19 16:16:08-05:00</t>
  </si>
  <si>
    <t xml:space="preserve">2025:11:26 17:58:43-06:00</t>
  </si>
  <si>
    <t xml:space="preserve">uuid: B4FF61823C8CA14DE2C4928C6AE549C4</t>
  </si>
  <si>
    <t xml:space="preserve">2025:11:26 17:57:59-06:00</t>
  </si>
  <si>
    <t xml:space="preserve">2025:11:26 17:58:19-06:00</t>
  </si>
  <si>
    <t xml:space="preserve">2025:11:26 17:58:28-06:00</t>
  </si>
  <si>
    <t xml:space="preserve">2021:12:13 16:42:06-06:00</t>
  </si>
  <si>
    <t xml:space="preserve">2025:11:26 17:58:54-06:00</t>
  </si>
  <si>
    <t xml:space="preserve">uuid:fa605fb7-e692-4921-9ee9-dbbaf76eecd5</t>
  </si>
  <si>
    <t xml:space="preserve">2021:12:28 15:36:52-06:00</t>
  </si>
  <si>
    <t xml:space="preserve">2025:11:26 17:59:07-06:00</t>
  </si>
  <si>
    <t xml:space="preserve">uuid: 529FEDAF3D2BE1C66EBD33357FD0F082</t>
  </si>
  <si>
    <t xml:space="preserve">2025:11:26 17:57:36-06:00</t>
  </si>
  <si>
    <t xml:space="preserve">2022:05:11 15:43:54-05:00</t>
  </si>
  <si>
    <t xml:space="preserve">2025:11:26 17:59:18-06:00</t>
  </si>
  <si>
    <t xml:space="preserve">uuid:25dd32a2-216b-4f44-b884-9a37dba05bb9</t>
  </si>
  <si>
    <t xml:space="preserve">2025:11:26 17:59:28-06:00</t>
  </si>
  <si>
    <t xml:space="preserve">2021:07:19 16:16:54-05:00</t>
  </si>
  <si>
    <t xml:space="preserve">2025:11:26 18:01:53-06:00</t>
  </si>
  <si>
    <t xml:space="preserve">uuid: A307A78C5A15B32D2A52BBD9F6049951</t>
  </si>
  <si>
    <t xml:space="preserve">2025:11:26 18:00:48-06:00</t>
  </si>
  <si>
    <t xml:space="preserve">2025:11:26 18:01:38-06:00</t>
  </si>
  <si>
    <t xml:space="preserve">2025:11:26 18:01:14-06:00</t>
  </si>
  <si>
    <t xml:space="preserve">2021:12:13 16:43:02-06:00</t>
  </si>
  <si>
    <t xml:space="preserve">2025:11:26 18:02:04-06:00</t>
  </si>
  <si>
    <t xml:space="preserve">uuid:7e749040-a455-42d4-8b71-03d506562155</t>
  </si>
  <si>
    <t xml:space="preserve">2021:12:28 15:38:39-06:00</t>
  </si>
  <si>
    <t xml:space="preserve">2025:11:26 18:02:16-06:00</t>
  </si>
  <si>
    <t xml:space="preserve">uuid: 820ABECB26C5A197556C35D324D15E22</t>
  </si>
  <si>
    <t xml:space="preserve">2025:11:26 18:00:37-06:00</t>
  </si>
  <si>
    <t xml:space="preserve">2022:05:11 15:47:32-05:00</t>
  </si>
  <si>
    <t xml:space="preserve">2025:11:26 18:02:25-06:00</t>
  </si>
  <si>
    <t xml:space="preserve">uuid:4d7426ae-a54b-4a73-a901-0620a7893399</t>
  </si>
  <si>
    <t xml:space="preserve">2025:11:26 18:02:37-06:00</t>
  </si>
  <si>
    <t xml:space="preserve">barbj</t>
  </si>
  <si>
    <t xml:space="preserve">2023:05:02 15:04:10-05:00</t>
  </si>
  <si>
    <t xml:space="preserve">2023:05:02 17:39:29-05:00</t>
  </si>
  <si>
    <t xml:space="preserve">2025:11:26 18:00:22-06:00</t>
  </si>
  <si>
    <t xml:space="preserve">uuid:F8935E9F-1938-4C50-8602-0B60A75FA2BA</t>
  </si>
  <si>
    <t xml:space="preserve">uuid:931d65af-a8e0-4887-a832-801548257472</t>
  </si>
  <si>
    <t xml:space="preserve">Incompetent (Felony IC)</t>
  </si>
  <si>
    <t xml:space="preserve">lakee</t>
  </si>
  <si>
    <t xml:space="preserve">Acrobat Distiller 23.0 (Windows); modified using iText® 7.1.16 ©2000-2021 iText Group NV (Minnesota Judicial Branch; licensed version)</t>
  </si>
  <si>
    <t xml:space="preserve">2023:06:21 14:17:44-05:00</t>
  </si>
  <si>
    <t xml:space="preserve">2025:11:26 18:01:02-06:00</t>
  </si>
  <si>
    <t xml:space="preserve">uuid:e060f277-db12-4a00-8f33-0d61b898a0a8</t>
  </si>
  <si>
    <t xml:space="preserve">uuid:791c62bc-f53e-48d3-9436-86c40f796b36</t>
  </si>
  <si>
    <t xml:space="preserve">Odyssey Merge Batch Print Job</t>
  </si>
  <si>
    <t xml:space="preserve">Perry, Dolores; Perry; Dolores</t>
  </si>
  <si>
    <t xml:space="preserve">Perry, Dolores, Perry, Dolores</t>
  </si>
  <si>
    <t xml:space="preserve">2023:08:18 19:18:43-05:00</t>
  </si>
  <si>
    <t xml:space="preserve">2023:08:22 07:49:46-05:00</t>
  </si>
  <si>
    <t xml:space="preserve">2025:11:26 18:02:49-06:00</t>
  </si>
  <si>
    <t xml:space="preserve">uuid:5444473A-96FB-4344-BBC7-EBB54D652096</t>
  </si>
  <si>
    <t xml:space="preserve">uuid:fe19c5af-5ec4-4697-942b-ce717742c1a8</t>
  </si>
  <si>
    <t xml:space="preserve">2024:04:30 15:52:28-05:00</t>
  </si>
  <si>
    <t xml:space="preserve">2025:11:26 18:01:28-06:00</t>
  </si>
  <si>
    <t xml:space="preserve">uuid:3b22581c-ad4e-4784-80f4-3faf0aba353f</t>
  </si>
  <si>
    <t xml:space="preserve">uuid:557f775c-5cdb-4603-b1c2-89f335a689fc</t>
  </si>
  <si>
    <t xml:space="preserve">2025:11:26 18:03:01-06:00</t>
  </si>
  <si>
    <t xml:space="preserve">uuid:be021c8a-4577-432c-b477-db7779ce7d0c</t>
  </si>
  <si>
    <t xml:space="preserve">uuid:7745dfb7-fb5d-476f-b402-2a864a0f7ffd</t>
  </si>
  <si>
    <t xml:space="preserve">2024:05:02 08:09:51-03:30</t>
  </si>
  <si>
    <t xml:space="preserve">2024:05:03 13:58:24Z</t>
  </si>
  <si>
    <t xml:space="preserve">2025:11:26 18:03:14-06:00</t>
  </si>
  <si>
    <t xml:space="preserve">uuid:f1405d4d-bdf0-4845-8b05-da63de34c17a</t>
  </si>
  <si>
    <t xml:space="preserve">uuid:566419de-8876-4618-9465-d8baacee4cd3</t>
  </si>
  <si>
    <t xml:space="preserve">2020:05:19 15:50:22-05:00</t>
  </si>
  <si>
    <t xml:space="preserve">2025:11:26 18:07:06-06:00</t>
  </si>
  <si>
    <t xml:space="preserve">uuid:44225131-8ef8-44b2-ad1b-5c0dc0577b1a</t>
  </si>
  <si>
    <t xml:space="preserve">2025:11:26 18:04:08-06:00</t>
  </si>
  <si>
    <t xml:space="preserve">2021:01:29 15:23:37-06:00</t>
  </si>
  <si>
    <t xml:space="preserve">2025:11:26 18:06:51-06:00</t>
  </si>
  <si>
    <t xml:space="preserve">uuid:9b361141-8a0f-4583-a8bf-dc9ccc886c76</t>
  </si>
  <si>
    <t xml:space="preserve">2021:07:19 15:56:04-05:00</t>
  </si>
  <si>
    <t xml:space="preserve">2025:11:26 18:05:34-06:00</t>
  </si>
  <si>
    <t xml:space="preserve">uuid: E2D068AEC791C3F6D83371765A1C5A32</t>
  </si>
  <si>
    <t xml:space="preserve">2025:11:26 18:04:17-06:00</t>
  </si>
  <si>
    <t xml:space="preserve">2025:11:26 18:05:09-06:00</t>
  </si>
  <si>
    <t xml:space="preserve">2025:11:26 18:05:18-06:00</t>
  </si>
  <si>
    <t xml:space="preserve">2021:12:13 16:39:57-06:00</t>
  </si>
  <si>
    <t xml:space="preserve">2025:11:26 18:05:44-06:00</t>
  </si>
  <si>
    <t xml:space="preserve">uuid:7c6867ac-1a74-40c0-9ca5-a936df079698</t>
  </si>
  <si>
    <t xml:space="preserve">2021:12:28 15:26:35-06:00</t>
  </si>
  <si>
    <t xml:space="preserve">2025:11:26 18:05:55-06:00</t>
  </si>
  <si>
    <t xml:space="preserve">uuid: 69B723FA2A731ECE5FAD018C90B89030</t>
  </si>
  <si>
    <t xml:space="preserve">2025:11:26 18:03:57-06:00</t>
  </si>
  <si>
    <t xml:space="preserve">2022:05:11 15:37:18-05:00</t>
  </si>
  <si>
    <t xml:space="preserve">2025:11:26 18:06:05-06:00</t>
  </si>
  <si>
    <t xml:space="preserve">uuid:3248d154-22d5-4134-bd06-6068b3abd5af</t>
  </si>
  <si>
    <t xml:space="preserve">2025:11:26 18:06:18-06:00</t>
  </si>
  <si>
    <t xml:space="preserve">2025:11:26 18:03:43-06:00</t>
  </si>
  <si>
    <t xml:space="preserve">2025:11:26 18:04:44-06:00</t>
  </si>
  <si>
    <t xml:space="preserve">uuid:41a7277e-2b0e-4bb6-9a8f-1f816bf40c4d</t>
  </si>
  <si>
    <t xml:space="preserve">uuid:56e7aa99-a80e-411d-a7ca-6a078b41a09d</t>
  </si>
  <si>
    <t xml:space="preserve">2025:11:26 18:06:31-06:00</t>
  </si>
  <si>
    <t xml:space="preserve">2020:03:18 13:11:57-05:00</t>
  </si>
  <si>
    <t xml:space="preserve">2025:11:26 18:10:31-06:00</t>
  </si>
  <si>
    <t xml:space="preserve">uuid: 5F04B67EA80DACF7B9EBD49710254492</t>
  </si>
  <si>
    <t xml:space="preserve">2020:05:19 15:56:06-05:00</t>
  </si>
  <si>
    <t xml:space="preserve">2025:11:26 18:10:56-06:00</t>
  </si>
  <si>
    <t xml:space="preserve">uuid:63eb6aaf-8f48-49b4-93ab-d4349db3a096</t>
  </si>
  <si>
    <t xml:space="preserve">2025:11:26 18:08:06-06:00</t>
  </si>
  <si>
    <t xml:space="preserve">2021:01:29 15:25:34-06:00</t>
  </si>
  <si>
    <t xml:space="preserve">2025:11:26 18:10:45-06:00</t>
  </si>
  <si>
    <t xml:space="preserve">uuid:a62d52f5-0991-4bae-b3f6-22d830734bce</t>
  </si>
  <si>
    <t xml:space="preserve">2021:07:19 16:15:00-05:00</t>
  </si>
  <si>
    <t xml:space="preserve">2025:11:26 18:09:20-06:00</t>
  </si>
  <si>
    <t xml:space="preserve">uuid: 3C3F4536FBDB4828ABC1329BFF454CF8</t>
  </si>
  <si>
    <t xml:space="preserve">2025:11:26 18:08:21-06:00</t>
  </si>
  <si>
    <t xml:space="preserve">2025:11:26 18:08:57-06:00</t>
  </si>
  <si>
    <t xml:space="preserve">2025:11:26 18:09:05-06:00</t>
  </si>
  <si>
    <t xml:space="preserve">2021:12:13 16:40:55-06:00</t>
  </si>
  <si>
    <t xml:space="preserve">2025:11:26 18:09:30-06:00</t>
  </si>
  <si>
    <t xml:space="preserve">uuid:222da570-7e42-49ca-bf6d-335662dd7966</t>
  </si>
  <si>
    <t xml:space="preserve">2021:12:28 15:35:14-06:00</t>
  </si>
  <si>
    <t xml:space="preserve">2025:11:26 18:09:47-06:00</t>
  </si>
  <si>
    <t xml:space="preserve">uuid: 67398DF2F26E1A624ED8A091C667E20A</t>
  </si>
  <si>
    <t xml:space="preserve">2025:11:26 18:07:55-06:00</t>
  </si>
  <si>
    <t xml:space="preserve">2022:05:11 15:39:39-05:00</t>
  </si>
  <si>
    <t xml:space="preserve">2025:11:26 18:09:58-06:00</t>
  </si>
  <si>
    <t xml:space="preserve">uuid:4bb18fdd-ab54-4455-b4ad-29059067455a</t>
  </si>
  <si>
    <t xml:space="preserve">2025:11:26 18:10:07-06:00</t>
  </si>
  <si>
    <t xml:space="preserve">2025:11:26 18:07:41-06:00</t>
  </si>
  <si>
    <t xml:space="preserve">2025:11:26 18:08:34-06:00</t>
  </si>
  <si>
    <t xml:space="preserve">uuid:a31a51a1-7744-45f2-ab55-a64d2e178d2d</t>
  </si>
  <si>
    <t xml:space="preserve">uuid:b69f2f33-3da3-4ea6-9dcb-f92a812cf0a7</t>
  </si>
  <si>
    <t xml:space="preserve">2025:11:26 18:10:21-06:00</t>
  </si>
  <si>
    <t xml:space="preserve">2025:11:26 18:11:25-06:00</t>
  </si>
  <si>
    <t xml:space="preserve">2020:03:18 13:15:12-05:00</t>
  </si>
  <si>
    <t xml:space="preserve">2025:11:26 18:13:38-06:00</t>
  </si>
  <si>
    <t xml:space="preserve">uuid: 8302784C4C0C447C0D6B9626831DA096</t>
  </si>
  <si>
    <t xml:space="preserve">2020:05:19 15:47:27-05:00</t>
  </si>
  <si>
    <t xml:space="preserve">2025:11:26 18:14:00-06:00</t>
  </si>
  <si>
    <t xml:space="preserve">uuid:a75c2b66-f8fa-4a4a-b5f1-0f45b6d34b28</t>
  </si>
  <si>
    <t xml:space="preserve">2025:11:26 18:11:51-06:00</t>
  </si>
  <si>
    <t xml:space="preserve">2021:01:29 15:19:47-06:00</t>
  </si>
  <si>
    <t xml:space="preserve">2025:11:26 18:13:48-06:00</t>
  </si>
  <si>
    <t xml:space="preserve">uuid:f5281060-4bc8-4bbc-ab49-a08d2c813905</t>
  </si>
  <si>
    <t xml:space="preserve">2021:07:19 15:53:34-05:00</t>
  </si>
  <si>
    <t xml:space="preserve">2025:11:26 18:12:40-06:00</t>
  </si>
  <si>
    <t xml:space="preserve">uuid: 3583F6139180942CF07208A2B5FA75C0</t>
  </si>
  <si>
    <t xml:space="preserve">2025:11:26 18:12:01-06:00</t>
  </si>
  <si>
    <t xml:space="preserve">2025:11:26 18:12:26-06:00</t>
  </si>
  <si>
    <t xml:space="preserve">2025:11:26 18:12:22-06:00</t>
  </si>
  <si>
    <t xml:space="preserve">2021:12:13 16:38:54-06:00</t>
  </si>
  <si>
    <t xml:space="preserve">2025:11:26 18:12:55-06:00</t>
  </si>
  <si>
    <t xml:space="preserve">uuid:0beab3d0-7cd8-4232-bb9d-4f791d484837</t>
  </si>
  <si>
    <t xml:space="preserve">2021:12:28 15:28:14-06:00</t>
  </si>
  <si>
    <t xml:space="preserve">2025:11:26 18:13:05-06:00</t>
  </si>
  <si>
    <t xml:space="preserve">uuid: 55F20DB5B62698F63570A9D18807DD53</t>
  </si>
  <si>
    <t xml:space="preserve">2025:11:26 18:11:39-06:00</t>
  </si>
  <si>
    <t xml:space="preserve">2022:05:11 15:36:38-05:00</t>
  </si>
  <si>
    <t xml:space="preserve">2025:11:26 18:13:15-06:00</t>
  </si>
  <si>
    <t xml:space="preserve">uuid:3dae2659-0a3f-4a7e-8cc4-3ea9c959f426</t>
  </si>
  <si>
    <t xml:space="preserve">2025:11:26 18:13:26-06:00</t>
  </si>
  <si>
    <t xml:space="preserve">2021:07:19 16:02:47-05:00</t>
  </si>
  <si>
    <t xml:space="preserve">2025:11:26 18:15:24-06:00</t>
  </si>
  <si>
    <t xml:space="preserve">uuid: 8A0C8121BBC29295B9427882CF741E5E</t>
  </si>
  <si>
    <t xml:space="preserve">Johnston, Heidi L.; Johnston; Heidi L.</t>
  </si>
  <si>
    <t xml:space="preserve">Johnston, Heidi L., Johnston, Heidi L.</t>
  </si>
  <si>
    <t xml:space="preserve">Acrobat PDFMaker 20 for Word</t>
  </si>
  <si>
    <t xml:space="preserve">Adobe PDF Library 20.13.98; modified using iText® 7.1.16 ©2000-2021 iText Group NV (Minnesota Judicial Branch; licensed version)</t>
  </si>
  <si>
    <t xml:space="preserve">2021:08:30 11:52:36-05:00</t>
  </si>
  <si>
    <t xml:space="preserve">2021:08:31 13:24:17-05:00</t>
  </si>
  <si>
    <t xml:space="preserve">2025:11:26 18:14:52-06:00</t>
  </si>
  <si>
    <t xml:space="preserve">uuid:eefeaf5d-2ca6-4f10-adf1-f63e2b290bb8</t>
  </si>
  <si>
    <t xml:space="preserve">uuid:733584d2-8235-43ca-a090-805326049df6</t>
  </si>
  <si>
    <t xml:space="preserve">Document Assembly Blank File</t>
  </si>
  <si>
    <t xml:space="preserve">2025:11:26 18:14:37-06:00</t>
  </si>
  <si>
    <t xml:space="preserve">2025:11:26 18:15:10-06:00</t>
  </si>
  <si>
    <t xml:space="preserve">2025:11:26 18:15:05-06:00</t>
  </si>
  <si>
    <t xml:space="preserve">2021:12:13 16:46:15-06:00</t>
  </si>
  <si>
    <t xml:space="preserve">2025:11:26 18:15:35-06:00</t>
  </si>
  <si>
    <t xml:space="preserve">uuid:1ea99138-9bd4-4e48-992b-0e624f2c76c3</t>
  </si>
  <si>
    <t xml:space="preserve">2021:12:28 15:44:02-06:00</t>
  </si>
  <si>
    <t xml:space="preserve">2025:11:26 18:15:45-06:00</t>
  </si>
  <si>
    <t xml:space="preserve">uuid: EBA894FD6036F44FCA2A431A8BE3075F</t>
  </si>
  <si>
    <t xml:space="preserve">2025:11:26 18:14:27-06:00</t>
  </si>
  <si>
    <t xml:space="preserve">2022:05:11 15:56:01-05:00</t>
  </si>
  <si>
    <t xml:space="preserve">2025:11:26 18:16:00-06:00</t>
  </si>
  <si>
    <t xml:space="preserve">uuid:6b03b3ad-9799-4e98-834b-85583106788a</t>
  </si>
  <si>
    <t xml:space="preserve">2025:11:26 18:16:09-06:00</t>
  </si>
  <si>
    <t xml:space="preserve">2021:07:19 16:04:10-05:00</t>
  </si>
  <si>
    <t xml:space="preserve">2025:11:26 18:18:06-06:00</t>
  </si>
  <si>
    <t xml:space="preserve">uuid: 163735C9ECA7DA17BBE6F83115686E90</t>
  </si>
  <si>
    <t xml:space="preserve">Lynn M. Schultz</t>
  </si>
  <si>
    <t xml:space="preserve">Acrobat PDFMaker 21 for Word</t>
  </si>
  <si>
    <t xml:space="preserve">Adobe PDF Library 21.5.80; modified using iText® 7.1.16 ©2000-2021 iText Group NV (Minnesota Judicial Branch; licensed version)</t>
  </si>
  <si>
    <t xml:space="preserve">2021:07:27 11:02:01-05:00</t>
  </si>
  <si>
    <t xml:space="preserve">2021:07:28 08:48:57-05:00</t>
  </si>
  <si>
    <t xml:space="preserve">2025:11:26 18:16:46-06:00</t>
  </si>
  <si>
    <t xml:space="preserve">uuid:caa2a9a7-0a8a-44ab-84a2-1959ab2758b6</t>
  </si>
  <si>
    <t xml:space="preserve">uuid:5f4947cd-ea30-408d-8812-cde26ae8e4a6</t>
  </si>
  <si>
    <t xml:space="preserve">Hennepin County Government Ctr</t>
  </si>
  <si>
    <t xml:space="preserve">STATE OF MINNESOTA                                                   DISTRICT COURT</t>
  </si>
  <si>
    <t xml:space="preserve">2025:11:26 18:17:21-06:00</t>
  </si>
  <si>
    <t xml:space="preserve">2025:11:26 18:17:47-06:00</t>
  </si>
  <si>
    <t xml:space="preserve">2025:11:26 18:17:54-06:00</t>
  </si>
  <si>
    <t xml:space="preserve">2021:12:13 16:47:20-06:00</t>
  </si>
  <si>
    <t xml:space="preserve">2025:11:26 18:18:16-06:00</t>
  </si>
  <si>
    <t xml:space="preserve">uuid:a7ada620-d36e-46f2-a04c-65286dd6aead</t>
  </si>
  <si>
    <t xml:space="preserve">2021:12:28 15:45:37-06:00</t>
  </si>
  <si>
    <t xml:space="preserve">2025:11:26 18:18:24-06:00</t>
  </si>
  <si>
    <t xml:space="preserve">uuid: F0300A194DD09324D8C8E64A9FD81CCB</t>
  </si>
  <si>
    <t xml:space="preserve">2025:11:26 18:17:10-06:00</t>
  </si>
  <si>
    <t xml:space="preserve">2022:05:11 16:06:58-05:00</t>
  </si>
  <si>
    <t xml:space="preserve">2025:11:26 18:18:34-06:00</t>
  </si>
  <si>
    <t xml:space="preserve">uuid:8491bce6-156a-4305-8939-e7fe849ed71c</t>
  </si>
  <si>
    <t xml:space="preserve">2025:11:26 18:18:47-06:00</t>
  </si>
  <si>
    <t xml:space="preserve">2025:11:26 18:16:58-06:00</t>
  </si>
  <si>
    <t xml:space="preserve">2025:11:26 18:18:56-06:00</t>
  </si>
  <si>
    <t xml:space="preserve">2025:11:26 18:17:38-06:00</t>
  </si>
  <si>
    <t xml:space="preserve">2025:11:26 18:19:06-06:00</t>
  </si>
  <si>
    <t xml:space="preserve">2021:07:19 16:06:36-05:00</t>
  </si>
  <si>
    <t xml:space="preserve">2025:11:26 18:21:22-06:00</t>
  </si>
  <si>
    <t xml:space="preserve">uuid: 88D47228E28EA4C4E9B059D513372212</t>
  </si>
  <si>
    <t xml:space="preserve">2021:07:27 11:03:47-05:00</t>
  </si>
  <si>
    <t xml:space="preserve">2021:07:28 08:49:00-05:00</t>
  </si>
  <si>
    <t xml:space="preserve">2025:11:26 18:19:35-06:00</t>
  </si>
  <si>
    <t xml:space="preserve">uuid:8ae5e8d5-5ea7-41ac-a184-6e6d8a7839c5</t>
  </si>
  <si>
    <t xml:space="preserve">uuid:f9d553dd-ee8f-4870-9f16-d6f8074e0f21</t>
  </si>
  <si>
    <t xml:space="preserve">2025:11:26 18:20:09-06:00</t>
  </si>
  <si>
    <t xml:space="preserve">2025:11:26 18:21:02-06:00</t>
  </si>
  <si>
    <t xml:space="preserve">2025:11:26 18:21:10-06:00</t>
  </si>
  <si>
    <t xml:space="preserve">2021:12:13 16:48:44-06:00</t>
  </si>
  <si>
    <t xml:space="preserve">2025:11:26 18:21:32-06:00</t>
  </si>
  <si>
    <t xml:space="preserve">uuid:5cc54120-8988-45dc-9682-f8ba247c8584</t>
  </si>
  <si>
    <t xml:space="preserve">2021:12:28 15:47:36-06:00</t>
  </si>
  <si>
    <t xml:space="preserve">2025:11:26 18:21:44-06:00</t>
  </si>
  <si>
    <t xml:space="preserve">uuid: 328ACA94ED6B7A05937700DA99EE6499</t>
  </si>
  <si>
    <t xml:space="preserve">2025:11:26 18:19:58-06:00</t>
  </si>
  <si>
    <t xml:space="preserve">2022:05:11 16:08:59-05:00</t>
  </si>
  <si>
    <t xml:space="preserve">2025:11:26 18:21:54-06:00</t>
  </si>
  <si>
    <t xml:space="preserve">uuid:9d6e5dd8-985a-4ec7-a0bc-442fe4e8dfc4</t>
  </si>
  <si>
    <t xml:space="preserve">2025:11:26 18:22:03-06:00</t>
  </si>
  <si>
    <t xml:space="preserve">2025:11:26 18:19:46-06:00</t>
  </si>
  <si>
    <t xml:space="preserve">2025:11:26 18:20:23-06:00</t>
  </si>
  <si>
    <t xml:space="preserve">uuid:c9c73bb9-b37b-465d-a743-ab24f04b497e</t>
  </si>
  <si>
    <t xml:space="preserve">uuid:20f567ba-27ba-4933-b41c-6a98e266c3b0</t>
  </si>
  <si>
    <t xml:space="preserve">2025:11:26 18:22:13-06:00</t>
  </si>
  <si>
    <t xml:space="preserve">2025:11:26 18:20:51-06:00</t>
  </si>
  <si>
    <t xml:space="preserve">2025:11:26 18:22:21-06:00</t>
  </si>
  <si>
    <t xml:space="preserve">2021:07:19 16:07:58-05:00</t>
  </si>
  <si>
    <t xml:space="preserve">2025:11:26 18:24:30-06:00</t>
  </si>
  <si>
    <t xml:space="preserve">uuid: F3B26F1CEFB6C4C984B2B0735E5FF962</t>
  </si>
  <si>
    <t xml:space="preserve">2021:07:27 11:04:36-05:00</t>
  </si>
  <si>
    <t xml:space="preserve">2021:07:28 08:49:26-05:00</t>
  </si>
  <si>
    <t xml:space="preserve">2025:11:26 18:22:48-06:00</t>
  </si>
  <si>
    <t xml:space="preserve">uuid:1914f4fb-e879-409d-b9bc-052261bffddc</t>
  </si>
  <si>
    <t xml:space="preserve">uuid:43875173-c8fd-4482-875e-88db8e726e61</t>
  </si>
  <si>
    <t xml:space="preserve">2025:11:26 18:23:26-06:00</t>
  </si>
  <si>
    <t xml:space="preserve">2025:11:26 18:24:11-06:00</t>
  </si>
  <si>
    <t xml:space="preserve">2025:11:26 18:24:18-06:00</t>
  </si>
  <si>
    <t xml:space="preserve">2021:12:13 16:49:42-06:00</t>
  </si>
  <si>
    <t xml:space="preserve">2025:11:26 18:24:39-06:00</t>
  </si>
  <si>
    <t xml:space="preserve">uuid:5eceda7c-f603-4c25-a475-2e81dc42c00a</t>
  </si>
  <si>
    <t xml:space="preserve">2021:12:28 15:48:54-06:00</t>
  </si>
  <si>
    <t xml:space="preserve">2025:11:26 18:24:48-06:00</t>
  </si>
  <si>
    <t xml:space="preserve">uuid: E8085853C3ADEBF3DCB8D550D10557C3</t>
  </si>
  <si>
    <t xml:space="preserve">2025:11:26 18:23:14-06:00</t>
  </si>
  <si>
    <t xml:space="preserve">2022:05:11 16:13:44-05:00</t>
  </si>
  <si>
    <t xml:space="preserve">2025:11:26 18:24:57-06:00</t>
  </si>
  <si>
    <t xml:space="preserve">uuid:541b9c73-9682-4027-96e3-c53ad3c6c14b</t>
  </si>
  <si>
    <t xml:space="preserve">2025:11:26 18:25:05-06:00</t>
  </si>
  <si>
    <t xml:space="preserve">2025:11:26 18:23:00-06:00</t>
  </si>
  <si>
    <t xml:space="preserve">2025:11:26 18:23:39-06:00</t>
  </si>
  <si>
    <t xml:space="preserve">uuid:cc39494e-7073-4445-9f2b-bc72a8fc92cf</t>
  </si>
  <si>
    <t xml:space="preserve">uuid:a44d8a10-c5c3-457f-8e71-22cba1236b30</t>
  </si>
  <si>
    <t xml:space="preserve">2025:11:26 18:25:14-06:00</t>
  </si>
  <si>
    <t xml:space="preserve">2025:11:26 18:24:04-06:00</t>
  </si>
  <si>
    <t xml:space="preserve">2025:11:26 18:25:22-06:00</t>
  </si>
  <si>
    <t xml:space="preserve">2021:07:19 16:09:06-05:00</t>
  </si>
  <si>
    <t xml:space="preserve">2025:11:26 18:27:23-06:00</t>
  </si>
  <si>
    <t xml:space="preserve">uuid: 95250B6E9B4B76589D1E7D230503CCA5</t>
  </si>
  <si>
    <t xml:space="preserve">2021:07:27 11:05:02-05:00</t>
  </si>
  <si>
    <t xml:space="preserve">2021:07:28 08:49:33-05:00</t>
  </si>
  <si>
    <t xml:space="preserve">2025:11:26 18:25:50-06:00</t>
  </si>
  <si>
    <t xml:space="preserve">uuid:b977c66d-f0d2-4ebe-a857-a1f1b87acc4c</t>
  </si>
  <si>
    <t xml:space="preserve">uuid:4bd7c933-6ca8-4748-b17d-2f777dc94354</t>
  </si>
  <si>
    <t xml:space="preserve">2025:11:26 18:26:24-06:00</t>
  </si>
  <si>
    <t xml:space="preserve">2025:11:26 18:27:04-06:00</t>
  </si>
  <si>
    <t xml:space="preserve">2025:11:26 18:27:09-06:00</t>
  </si>
  <si>
    <t xml:space="preserve">2021:12:13 16:50:52-06:00</t>
  </si>
  <si>
    <t xml:space="preserve">2025:11:26 18:27:32-06:00</t>
  </si>
  <si>
    <t xml:space="preserve">uuid:d5d180b8-4404-4730-94f0-c81209974a24</t>
  </si>
  <si>
    <t xml:space="preserve">2021:12:28 15:50:23-06:00</t>
  </si>
  <si>
    <t xml:space="preserve">2025:11:26 18:27:39-06:00</t>
  </si>
  <si>
    <t xml:space="preserve">uuid: 7F0F3B7333DB1B9A4889352077656220</t>
  </si>
  <si>
    <t xml:space="preserve">2025:11:26 18:26:15-06:00</t>
  </si>
  <si>
    <t xml:space="preserve">2022:05:11 16:16:39-05:00</t>
  </si>
  <si>
    <t xml:space="preserve">2025:11:26 18:27:49-06:00</t>
  </si>
  <si>
    <t xml:space="preserve">uuid:fdd22df1-8f7d-40ff-8d0c-39e84db3f1ae</t>
  </si>
  <si>
    <t xml:space="preserve">2025:11:26 18:27:56-06:00</t>
  </si>
  <si>
    <t xml:space="preserve">2025:11:26 18:26:02-06:00</t>
  </si>
  <si>
    <t xml:space="preserve">2025:11:26 18:26:38-06:00</t>
  </si>
  <si>
    <t xml:space="preserve">uuid:a4c47219-255b-4ec6-b62b-795c86ca7ed4</t>
  </si>
  <si>
    <t xml:space="preserve">uuid:e17e9932-f7f6-456d-8d3e-c71895b05afb</t>
  </si>
  <si>
    <t xml:space="preserve">2025:11:26 18:28:04-06:00</t>
  </si>
  <si>
    <t xml:space="preserve">2025:11:26 18:26:56-06:00</t>
  </si>
  <si>
    <t xml:space="preserve">2025:11:26 18:28:15-06:00</t>
  </si>
  <si>
    <t xml:space="preserve">2021:07:19 16:10:04-05:00</t>
  </si>
  <si>
    <t xml:space="preserve">2025:11:26 18:30:16-06:00</t>
  </si>
  <si>
    <t xml:space="preserve">uuid: D0CC93CDC34887369B996A10A4843572</t>
  </si>
  <si>
    <t xml:space="preserve">2021:07:27 11:05:55-05:00</t>
  </si>
  <si>
    <t xml:space="preserve">2021:07:28 08:49:25-05:00</t>
  </si>
  <si>
    <t xml:space="preserve">2025:11:26 18:28:44-06:00</t>
  </si>
  <si>
    <t xml:space="preserve">uuid:92511554-7a2a-45ec-b9fd-99a310f1c340</t>
  </si>
  <si>
    <t xml:space="preserve">uuid:16586217-6f2f-4534-a74b-e6f2b0873daf</t>
  </si>
  <si>
    <t xml:space="preserve">2025:11:26 18:29:17-06:00</t>
  </si>
  <si>
    <t xml:space="preserve">2025:11:26 18:29:55-06:00</t>
  </si>
  <si>
    <t xml:space="preserve">2025:11:26 18:30:06-06:00</t>
  </si>
  <si>
    <t xml:space="preserve">2021:12:13 16:51:41-06:00</t>
  </si>
  <si>
    <t xml:space="preserve">2025:11:26 18:30:25-06:00</t>
  </si>
  <si>
    <t xml:space="preserve">uuid:511609c2-c99f-4ab2-a387-342106cae83d</t>
  </si>
  <si>
    <t xml:space="preserve">2021:12:28 15:52:58-06:00</t>
  </si>
  <si>
    <t xml:space="preserve">2025:11:26 18:30:32-06:00</t>
  </si>
  <si>
    <t xml:space="preserve">uuid: FEB29F2AEC2220E41069D03DE68F4813</t>
  </si>
  <si>
    <t xml:space="preserve">2025:11:26 18:29:06-06:00</t>
  </si>
  <si>
    <t xml:space="preserve">2022:05:11 16:15:00-05:00</t>
  </si>
  <si>
    <t xml:space="preserve">2025:11:26 18:30:40-06:00</t>
  </si>
  <si>
    <t xml:space="preserve">uuid:c84b0cb5-5bc4-46b9-859c-a3623677e6c9</t>
  </si>
  <si>
    <t xml:space="preserve">2025:11:26 18:30:48-06:00</t>
  </si>
  <si>
    <t xml:space="preserve">2023:03:21 12:45:58-05:00</t>
  </si>
  <si>
    <t xml:space="preserve">2025:11:26 18:31:17-06:00</t>
  </si>
  <si>
    <t xml:space="preserve">uuid: F4E2BA482E2AF7287BBEE281478D2EE2</t>
  </si>
  <si>
    <t xml:space="preserve">2025:11:26 18:28:54-06:00</t>
  </si>
  <si>
    <t xml:space="preserve">2025:11:26 18:29:28-06:00</t>
  </si>
  <si>
    <t xml:space="preserve">uuid:4fa3224f-b8e4-4210-bdf6-b14e6e50d935</t>
  </si>
  <si>
    <t xml:space="preserve">uuid:4d234c13-8152-45d9-a0c5-c11c78dbfc1f</t>
  </si>
  <si>
    <t xml:space="preserve">2025:11:26 18:30:56-06:00</t>
  </si>
  <si>
    <t xml:space="preserve">2025:11:26 18:29:47-06:00</t>
  </si>
  <si>
    <t xml:space="preserve">2025:11:26 18:31:05-06:00</t>
  </si>
  <si>
    <t xml:space="preserve">2021:07:19 16:11:03-05:00</t>
  </si>
  <si>
    <t xml:space="preserve">2025:11:26 18:33:15-06:00</t>
  </si>
  <si>
    <t xml:space="preserve">uuid: 7F03F2315DDB9BFAE61AC1EB9A785C31</t>
  </si>
  <si>
    <t xml:space="preserve">2021:07:27 11:06:29-05:00</t>
  </si>
  <si>
    <t xml:space="preserve">2021:07:28 08:49:46-05:00</t>
  </si>
  <si>
    <t xml:space="preserve">2025:11:26 18:31:45-06:00</t>
  </si>
  <si>
    <t xml:space="preserve">uuid:dd75f26a-74a1-4aca-b397-f648d3510975</t>
  </si>
  <si>
    <t xml:space="preserve">uuid:620a4d59-56d0-491f-be2a-7d482e19f01c</t>
  </si>
  <si>
    <t xml:space="preserve">2025:11:26 18:32:18-06:00</t>
  </si>
  <si>
    <t xml:space="preserve">2025:11:26 18:32:58-06:00</t>
  </si>
  <si>
    <t xml:space="preserve">2025:11:26 18:33:04-06:00</t>
  </si>
  <si>
    <t xml:space="preserve">2021:12:13 16:52:53-06:00</t>
  </si>
  <si>
    <t xml:space="preserve">2025:11:26 18:33:22-06:00</t>
  </si>
  <si>
    <t xml:space="preserve">uuid:be1a1f9f-b714-4b4a-9af9-f14ae51c6cbb</t>
  </si>
  <si>
    <t xml:space="preserve">2021:12:28 15:54:04-06:00</t>
  </si>
  <si>
    <t xml:space="preserve">2025:11:26 18:33:30-06:00</t>
  </si>
  <si>
    <t xml:space="preserve">uuid: 4D8795FFD8E6CDBEF85F064853459EBD</t>
  </si>
  <si>
    <t xml:space="preserve">2025:11:26 18:32:08-06:00</t>
  </si>
  <si>
    <t xml:space="preserve">2022:05:11 16:15:40-05:00</t>
  </si>
  <si>
    <t xml:space="preserve">2025:11:26 18:33:39-06:00</t>
  </si>
  <si>
    <t xml:space="preserve">uuid:b73141af-93ba-4cb8-9529-5a7250f17181</t>
  </si>
  <si>
    <t xml:space="preserve">2025:11:26 18:33:47-06:00</t>
  </si>
  <si>
    <t xml:space="preserve">2023:03:21 12:43:35-05:00</t>
  </si>
  <si>
    <t xml:space="preserve">2025:11:26 18:34:17-06:00</t>
  </si>
  <si>
    <t xml:space="preserve">uuid: 5D631DB5CE11647D03FA09C649FF5BAC</t>
  </si>
  <si>
    <t xml:space="preserve">2025:11:26 18:31:56-06:00</t>
  </si>
  <si>
    <t xml:space="preserve">2025:11:26 18:32:31-06:00</t>
  </si>
  <si>
    <t xml:space="preserve">uuid:310cb2c7-ff41-4bdf-b26b-651298196b27</t>
  </si>
  <si>
    <t xml:space="preserve">uuid:703e0162-5a2a-4b8e-818e-efa402b9cee5</t>
  </si>
  <si>
    <t xml:space="preserve">2025:11:26 18:33:55-06:00</t>
  </si>
  <si>
    <t xml:space="preserve">2025:11:26 18:32:50-06:00</t>
  </si>
  <si>
    <t xml:space="preserve">2025:11:26 18:34:04-06:00</t>
  </si>
  <si>
    <t xml:space="preserve">2021:07:19 16:12:18-05:00</t>
  </si>
  <si>
    <t xml:space="preserve">2025:11:26 18:36:06-06:00</t>
  </si>
  <si>
    <t xml:space="preserve">uuid: 7A8637D6722EFB760728AE68A66964D4</t>
  </si>
  <si>
    <t xml:space="preserve">2021:07:27 11:06:52-05:00</t>
  </si>
  <si>
    <t xml:space="preserve">2021:07:28 08:51:23-05:00</t>
  </si>
  <si>
    <t xml:space="preserve">2025:11:26 18:34:46-06:00</t>
  </si>
  <si>
    <t xml:space="preserve">uuid:cf9d0a5e-01f8-49a6-9f25-29cc759f3dc1</t>
  </si>
  <si>
    <t xml:space="preserve">uuid:344960e0-3f16-4137-bdd7-ea4a6656fcc8</t>
  </si>
  <si>
    <t xml:space="preserve">2025:11:26 18:35:17-06:00</t>
  </si>
  <si>
    <t xml:space="preserve">2025:11:26 18:35:50-06:00</t>
  </si>
  <si>
    <t xml:space="preserve">2025:11:26 18:35:55-06:00</t>
  </si>
  <si>
    <t xml:space="preserve">2021:12:13 16:53:57-06:00</t>
  </si>
  <si>
    <t xml:space="preserve">2025:11:26 18:36:15-06:00</t>
  </si>
  <si>
    <t xml:space="preserve">uuid:bdee7657-4d9b-46e6-96db-89460dfbafa9</t>
  </si>
  <si>
    <t xml:space="preserve">2021:12:28 15:55:44-06:00</t>
  </si>
  <si>
    <t xml:space="preserve">2025:11:26 18:36:23-06:00</t>
  </si>
  <si>
    <t xml:space="preserve">uuid: CAFCE7B5B9E2A52D8EA065C9A2137CF8</t>
  </si>
  <si>
    <t xml:space="preserve">2025:11:26 18:35:09-06:00</t>
  </si>
  <si>
    <t xml:space="preserve">2022:05:11 16:19:48-05:00</t>
  </si>
  <si>
    <t xml:space="preserve">2025:11:26 18:36:32-06:00</t>
  </si>
  <si>
    <t xml:space="preserve">uuid:7d2f6897-ebce-44e2-8546-e0b057fc80df</t>
  </si>
  <si>
    <t xml:space="preserve">2025:11:26 18:36:39-06:00</t>
  </si>
  <si>
    <t xml:space="preserve">2023:03:21 12:41:05-05:00</t>
  </si>
  <si>
    <t xml:space="preserve">2025:11:26 18:37:08-06:00</t>
  </si>
  <si>
    <t xml:space="preserve">uuid: 537F28AE2F6111F8297CFB4593E10446</t>
  </si>
  <si>
    <t xml:space="preserve">2025:11:26 18:34:57-06:00</t>
  </si>
  <si>
    <t xml:space="preserve">2023:06:21 14:17:45-05:00</t>
  </si>
  <si>
    <t xml:space="preserve">2025:11:26 18:35:28-06:00</t>
  </si>
  <si>
    <t xml:space="preserve">uuid:7312fafd-30b2-42f6-8f85-38a5e2fed52d</t>
  </si>
  <si>
    <t xml:space="preserve">uuid:9d279236-82ed-44b6-a987-c1cfc830c9d2</t>
  </si>
  <si>
    <t xml:space="preserve">2025:11:26 18:36:47-06:00</t>
  </si>
  <si>
    <t xml:space="preserve">2025:11:26 18:35:43-06:00</t>
  </si>
  <si>
    <t xml:space="preserve">2025:11:26 18:36:55-06:00</t>
  </si>
  <si>
    <t xml:space="preserve">2021:07:19 16:13:00-05:00</t>
  </si>
  <si>
    <t xml:space="preserve">2025:11:26 18:38:57-06:00</t>
  </si>
  <si>
    <t xml:space="preserve">uuid: A065FB631A8B2DCC74975AFE824E5B91</t>
  </si>
  <si>
    <t xml:space="preserve">2021:07:27 11:07:18-05:00</t>
  </si>
  <si>
    <t xml:space="preserve">2021:07:28 08:51:41-05:00</t>
  </si>
  <si>
    <t xml:space="preserve">2025:11:26 18:37:38-06:00</t>
  </si>
  <si>
    <t xml:space="preserve">uuid:9553cd44-aedd-48e2-9720-59b1e798178e</t>
  </si>
  <si>
    <t xml:space="preserve">uuid:bf187551-43c3-4323-99a8-a97fa0515374</t>
  </si>
  <si>
    <t xml:space="preserve">2025:11:26 18:38:08-06:00</t>
  </si>
  <si>
    <t xml:space="preserve">2025:11:26 18:38:41-06:00</t>
  </si>
  <si>
    <t xml:space="preserve">2025:11:26 18:38:46-06:00</t>
  </si>
  <si>
    <t xml:space="preserve">2021:12:13 16:54:57-06:00</t>
  </si>
  <si>
    <t xml:space="preserve">2025:11:26 18:39:05-06:00</t>
  </si>
  <si>
    <t xml:space="preserve">uuid:744a9d50-2c0e-49dd-950d-22ab928843a7</t>
  </si>
  <si>
    <t xml:space="preserve">2021:12:28 15:57:03-06:00</t>
  </si>
  <si>
    <t xml:space="preserve">2025:11:26 18:39:13-06:00</t>
  </si>
  <si>
    <t xml:space="preserve">uuid: 298F20C5BC993795CFD783CAFB157A29</t>
  </si>
  <si>
    <t xml:space="preserve">2025:11:26 18:38:00-06:00</t>
  </si>
  <si>
    <t xml:space="preserve">2022:05:11 16:23:11-05:00</t>
  </si>
  <si>
    <t xml:space="preserve">2025:11:26 18:39:20-06:00</t>
  </si>
  <si>
    <t xml:space="preserve">uuid:667927bb-d3ee-4783-b21c-a27c6cc0a2de</t>
  </si>
  <si>
    <t xml:space="preserve">2025:11:26 18:39:26-06:00</t>
  </si>
  <si>
    <t xml:space="preserve">2025:11:26 18:37:49-06:00</t>
  </si>
  <si>
    <t xml:space="preserve">2025:11:26 18:38:20-06:00</t>
  </si>
  <si>
    <t xml:space="preserve">uuid:eaaf65cc-8f1c-4a96-8c65-72d659f50266</t>
  </si>
  <si>
    <t xml:space="preserve">uuid:27bbf27b-b5e1-4bde-be43-1bcf88bedf2d</t>
  </si>
  <si>
    <t xml:space="preserve">2025:11:26 18:39:33-06:00</t>
  </si>
  <si>
    <t xml:space="preserve">2025:11:26 18:38:32-06:00</t>
  </si>
  <si>
    <t xml:space="preserve">2025:11:26 18:39:41-06:00</t>
  </si>
  <si>
    <t xml:space="preserve">Adobe Acrobat 22.1</t>
  </si>
  <si>
    <t xml:space="preserve">Adobe Acrobat 22.1 Image Conversion Plug-in; modified using iText® 7.1.16 ©2000-2021 iText Group NV (Minnesota Judicial Branch; licensed version)</t>
  </si>
  <si>
    <t xml:space="preserve">2022:06:23 10:33:44-05:00</t>
  </si>
  <si>
    <t xml:space="preserve">2022:06:23 10:33:52-05:00</t>
  </si>
  <si>
    <t xml:space="preserve">2025:11:26 16:46:33-06:00</t>
  </si>
  <si>
    <t xml:space="preserve">uuid:e000175f-3095-449d-a0fb-1e41021a8bdb</t>
  </si>
  <si>
    <t xml:space="preserve">uuid:b8017a9c-42a0-41f0-b6dc-eba301c67ed6</t>
  </si>
  <si>
    <t xml:space="preserve">Adobe Acrobat 22.2</t>
  </si>
  <si>
    <t xml:space="preserve">Adobe Acrobat 22.2 Image Conversion Plug-in; modified using iText® 7.1.16 ©2000-2021 iText Group NV (Minnesota Judicial Branch; licensed version)</t>
  </si>
  <si>
    <t xml:space="preserve">2022:10:06 16:08:51-05:00</t>
  </si>
  <si>
    <t xml:space="preserve">2022:10:06 16:08:56-05:00</t>
  </si>
  <si>
    <t xml:space="preserve">2025:11:26 16:45:00-06:00</t>
  </si>
  <si>
    <t xml:space="preserve">uuid:efdb473a-d812-42f6-a606-a35113b38ba2</t>
  </si>
  <si>
    <t xml:space="preserve">uuid:bb8fed53-55df-4dde-9d28-c6a925a335bd</t>
  </si>
  <si>
    <t xml:space="preserve">Adobe Acrobat 22.3</t>
  </si>
  <si>
    <t xml:space="preserve">Adobe Acrobat 22.3 Image Conversion Plug-in; modified using iText® 7.1.16 ©2000-2021 iText Group NV (Minnesota Judicial Branch; licensed version)</t>
  </si>
  <si>
    <t xml:space="preserve">2022:11:10 09:27:15-06:00</t>
  </si>
  <si>
    <t xml:space="preserve">2022:11:10 09:27:31-06:00</t>
  </si>
  <si>
    <t xml:space="preserve">2025:11:26 16:47:15-06:00</t>
  </si>
  <si>
    <t xml:space="preserve">uuid:68085a43-ed26-441f-8894-a4b88a78d27e</t>
  </si>
  <si>
    <t xml:space="preserve">uuid:0f0b717b-4130-48b5-979c-68e6710c1bc5</t>
  </si>
  <si>
    <t xml:space="preserve">2023:04:07 14:25:29-05:00</t>
  </si>
  <si>
    <t xml:space="preserve">2025:11:26 16:47:29-06:00</t>
  </si>
  <si>
    <t xml:space="preserve">uuid: 492C5C3A4C8E10A319D40951DFA75D67</t>
  </si>
  <si>
    <t xml:space="preserve">2023:09:25 13:30:46-05:00</t>
  </si>
  <si>
    <t xml:space="preserve">2025:11:26 16:46:56-06:00</t>
  </si>
  <si>
    <t xml:space="preserve">uuid:7e0a96fe-2714-421e-892d-997935f83adb</t>
  </si>
  <si>
    <t xml:space="preserve">uuid:39d987f0-e744-444a-a804-4362231a2a35</t>
  </si>
  <si>
    <t xml:space="preserve">2025:11:26 16:49:17-06:00</t>
  </si>
  <si>
    <t xml:space="preserve">2025:11:26 16:49:04-06:00</t>
  </si>
  <si>
    <t xml:space="preserve">2025:11:26 16:48:35-06:00</t>
  </si>
  <si>
    <t xml:space="preserve">2023:04:07 14:23:13-05:00</t>
  </si>
  <si>
    <t xml:space="preserve">2025:11:26 16:48:50-06:00</t>
  </si>
  <si>
    <t xml:space="preserve">uuid: 89011EEBE2D7DBFB5503B2EEF2D31E7B</t>
  </si>
  <si>
    <t xml:space="preserve">2025:11:26 16:48:23-06:00</t>
  </si>
  <si>
    <t xml:space="preserve">2025:11:26 16:50:07-06:00</t>
  </si>
  <si>
    <t xml:space="preserve">2025:11:26 16:49:49-06:00</t>
  </si>
  <si>
    <t xml:space="preserve">2025:11:26 16:50:32-06:00</t>
  </si>
  <si>
    <t xml:space="preserve">2023:04:07 14:29:18-05:00</t>
  </si>
  <si>
    <t xml:space="preserve">2025:11:26 16:50:43-06:00</t>
  </si>
  <si>
    <t xml:space="preserve">uuid: 2CD10E6035B452702B69B9A7DD86ED32</t>
  </si>
  <si>
    <t xml:space="preserve">2025:11:26 16:50:20-06:00</t>
  </si>
  <si>
    <t xml:space="preserve">2025:11:26 16:52:00-06:00</t>
  </si>
  <si>
    <t xml:space="preserve">2025:11:26 16:51:45-06:00</t>
  </si>
  <si>
    <t xml:space="preserve">2025:11:26 16:51:12-06:00</t>
  </si>
  <si>
    <t xml:space="preserve">2023:04:07 14:32:01-05:00</t>
  </si>
  <si>
    <t xml:space="preserve">2025:11:26 16:51:23-06:00</t>
  </si>
  <si>
    <t xml:space="preserve">uuid: 4F464BA311D138A7C74798ED360E3F3F</t>
  </si>
  <si>
    <t xml:space="preserve">2025:11:26 16:51:33-06:00</t>
  </si>
  <si>
    <t xml:space="preserve">2025:11:26 16:52:39-06:00</t>
  </si>
  <si>
    <t xml:space="preserve">2025:11:26 16:52:51-06:00</t>
  </si>
  <si>
    <t xml:space="preserve">2025:11:26 16:53:17-06:00</t>
  </si>
  <si>
    <t xml:space="preserve">2023:04:07 14:36:06-05:00</t>
  </si>
  <si>
    <t xml:space="preserve">2025:11:26 16:53:26-06:00</t>
  </si>
  <si>
    <t xml:space="preserve">uuid: D809345F34BB55394E37B3359910062F</t>
  </si>
  <si>
    <t xml:space="preserve">2025:11:26 16:53:06-06:00</t>
  </si>
  <si>
    <t xml:space="preserve">2022:06:23 10:33:13-05:00</t>
  </si>
  <si>
    <t xml:space="preserve">2025:11:26 16:54:39-06:00</t>
  </si>
  <si>
    <t xml:space="preserve">uuid: BA5BA0CF9D5BA09E81217C96304B53CE</t>
  </si>
  <si>
    <t xml:space="preserve">2025:11:26 16:54:28-06:00</t>
  </si>
  <si>
    <t xml:space="preserve">2025:11:26 16:53:52-06:00</t>
  </si>
  <si>
    <t xml:space="preserve">2023:04:07 14:38:52-05:00</t>
  </si>
  <si>
    <t xml:space="preserve">2025:11:26 16:54:03-06:00</t>
  </si>
  <si>
    <t xml:space="preserve">uuid: 22E7AC799C4FC681C0F3AF7C2630F231</t>
  </si>
  <si>
    <t xml:space="preserve">2025:11:26 16:54:14-06:00</t>
  </si>
  <si>
    <t xml:space="preserve">2021:12:28 14:22:50-06:00</t>
  </si>
  <si>
    <t xml:space="preserve">2025:11:26 18:41:12-06:00</t>
  </si>
  <si>
    <t xml:space="preserve">uuid: 022EB861BA2B98F37CB7795B79AABEFA</t>
  </si>
  <si>
    <t xml:space="preserve">2025:11:26 18:40:20-06:00</t>
  </si>
  <si>
    <t xml:space="preserve">2022:05:11 16:24:34-05:00</t>
  </si>
  <si>
    <t xml:space="preserve">2025:11:26 18:41:21-06:00</t>
  </si>
  <si>
    <t xml:space="preserve">uuid:5f742423-e323-4e2f-85d1-9788bf88a942</t>
  </si>
  <si>
    <t xml:space="preserve">2025:11:26 18:41:31-06:00</t>
  </si>
  <si>
    <t xml:space="preserve">2023:03:21 12:37:56-05:00</t>
  </si>
  <si>
    <t xml:space="preserve">2025:11:26 18:41:52-06:00</t>
  </si>
  <si>
    <t xml:space="preserve">uuid: 18136E83904DB58F2DF5FE48D4E2F8BA</t>
  </si>
  <si>
    <t xml:space="preserve">2025:11:26 18:40:08-06:00</t>
  </si>
  <si>
    <t xml:space="preserve">2025:11:26 18:40:31-06:00</t>
  </si>
  <si>
    <t xml:space="preserve">uuid:879ccbe6-36fa-4f22-a8c9-9fb63efaa7c8</t>
  </si>
  <si>
    <t xml:space="preserve">uuid:70ba29ec-7ea8-45a9-9863-bd8237fcafa0</t>
  </si>
  <si>
    <t xml:space="preserve">2025:11:26 18:41:39-06:00</t>
  </si>
  <si>
    <t xml:space="preserve">2025:11:26 18:40:49-06:00</t>
  </si>
  <si>
    <t xml:space="preserve">2025:11:26 18:41:02-06:00</t>
  </si>
  <si>
    <t xml:space="preserve">2021:07:19 16:17:43-05:00</t>
  </si>
  <si>
    <t xml:space="preserve">2025:11:26 18:43:09-06:00</t>
  </si>
  <si>
    <t xml:space="preserve">uuid: 677AC5F07A287753A27E1AB109EEFE50</t>
  </si>
  <si>
    <t xml:space="preserve">2021:08:30 11:57:37-05:00</t>
  </si>
  <si>
    <t xml:space="preserve">2021:08:31 13:30:44-05:00</t>
  </si>
  <si>
    <t xml:space="preserve">2025:11:26 18:42:42-06:00</t>
  </si>
  <si>
    <t xml:space="preserve">uuid:5bc325c9-d69d-4876-983b-78aed8236da2</t>
  </si>
  <si>
    <t xml:space="preserve">uuid:2cd41a9b-d4d6-46cd-8ee3-c21c02fef8d7</t>
  </si>
  <si>
    <t xml:space="preserve">2025:11:26 18:42:28-06:00</t>
  </si>
  <si>
    <t xml:space="preserve">2025:11:26 18:42:57-06:00</t>
  </si>
  <si>
    <t xml:space="preserve">2025:11:26 18:42:53-06:00</t>
  </si>
  <si>
    <t xml:space="preserve">2021:12:13 16:44:10-06:00</t>
  </si>
  <si>
    <t xml:space="preserve">2025:11:26 18:43:18-06:00</t>
  </si>
  <si>
    <t xml:space="preserve">uuid:9e5f8dd9-682b-489a-814f-aeee73981f8a</t>
  </si>
  <si>
    <t xml:space="preserve">2021:12:28 15:40:03-06:00</t>
  </si>
  <si>
    <t xml:space="preserve">2025:11:26 18:43:26-06:00</t>
  </si>
  <si>
    <t xml:space="preserve">uuid: E2FE8E5881F54E092641F8214EB0AF9B</t>
  </si>
  <si>
    <t xml:space="preserve">2025:11:26 18:42:18-06:00</t>
  </si>
  <si>
    <t xml:space="preserve">2022:05:11 15:55:38-05:00</t>
  </si>
  <si>
    <t xml:space="preserve">2025:11:26 18:43:33-06:00</t>
  </si>
  <si>
    <t xml:space="preserve">uuid:5a58924d-f0e0-4550-a081-5409354f8064</t>
  </si>
  <si>
    <t xml:space="preserve">2025:11:26 18:43:40-06:00</t>
  </si>
  <si>
    <t xml:space="preserve">2021:07:19 16:01:48-05:00</t>
  </si>
  <si>
    <t xml:space="preserve">2025:11:26 18:44:52-06:00</t>
  </si>
  <si>
    <t xml:space="preserve">uuid: ADE9217C2B9399F87EB703CB249B9B2E</t>
  </si>
  <si>
    <t xml:space="preserve">2021:08:30 11:55:30-05:00</t>
  </si>
  <si>
    <t xml:space="preserve">2021:08:31 13:27:33-05:00</t>
  </si>
  <si>
    <t xml:space="preserve">2025:11:26 18:44:24-06:00</t>
  </si>
  <si>
    <t xml:space="preserve">uuid:799fcde0-6a0d-4b65-88f1-cca63445c527</t>
  </si>
  <si>
    <t xml:space="preserve">uuid:eb99345d-b9c2-47f4-ac5b-b9e7d74f3ae4</t>
  </si>
  <si>
    <t xml:space="preserve">2025:11:26 18:44:13-06:00</t>
  </si>
  <si>
    <t xml:space="preserve">2025:11:26 18:44:40-06:00</t>
  </si>
  <si>
    <t xml:space="preserve">2025:11:26 18:44:34-06:00</t>
  </si>
  <si>
    <t xml:space="preserve">2021:12:13 16:45:21-06:00</t>
  </si>
  <si>
    <t xml:space="preserve">2025:11:26 18:45:00-06:00</t>
  </si>
  <si>
    <t xml:space="preserve">uuid:7fe9ed0b-ad6b-4028-8eee-c87d1cb3930f</t>
  </si>
  <si>
    <t xml:space="preserve">2021:12:28 15:42:27-06:00</t>
  </si>
  <si>
    <t xml:space="preserve">2025:11:26 18:45:09-06:00</t>
  </si>
  <si>
    <t xml:space="preserve">uuid: 848B90F04E6E1018A6EFD85B015D0276</t>
  </si>
  <si>
    <t xml:space="preserve">2025:11:26 18:44:06-06:00</t>
  </si>
  <si>
    <t xml:space="preserve">2022:05:11 15:56:29-05:00</t>
  </si>
  <si>
    <t xml:space="preserve">2025:11:26 18:45:19-06:00</t>
  </si>
  <si>
    <t xml:space="preserve">uuid:6422c188-bd50-411d-9f58-faaa29f6658a</t>
  </si>
  <si>
    <t xml:space="preserve">2025:11:26 18:45:25-06:00</t>
  </si>
  <si>
    <t xml:space="preserve">2025:11:26 16:55:10-06:00</t>
  </si>
  <si>
    <t xml:space="preserve">2025:11:26 16:55:20-06:00</t>
  </si>
  <si>
    <t xml:space="preserve">2025:11:26 16:56:03-06:00</t>
  </si>
  <si>
    <t xml:space="preserve">2023:04:07 14:14:51-05:00</t>
  </si>
  <si>
    <t xml:space="preserve">2025:11:26 16:56:13-06:00</t>
  </si>
  <si>
    <t xml:space="preserve">uuid: D6C0462B82FCB9674AF1F779345D4181</t>
  </si>
  <si>
    <t xml:space="preserve">2025:11:26 16:55:44-06:00</t>
  </si>
  <si>
    <t xml:space="preserve">2025:11:26 16:57:16-06:00</t>
  </si>
  <si>
    <t xml:space="preserve">2025:11:26 16:56:40-06:00</t>
  </si>
  <si>
    <t xml:space="preserve">2023:04:07 15:09:45-05:00</t>
  </si>
  <si>
    <t xml:space="preserve">2025:11:26 16:56:50-06:00</t>
  </si>
  <si>
    <t xml:space="preserve">uuid: CBC63BA7B0FCA536B702E04049E35FAF</t>
  </si>
  <si>
    <t xml:space="preserve">2023:09:26 09:48:29-03:30</t>
  </si>
  <si>
    <t xml:space="preserve">2023:09:26 10:41:56-05:00</t>
  </si>
  <si>
    <t xml:space="preserve">2025:11:26 16:56:59-06:00</t>
  </si>
  <si>
    <t xml:space="preserve">uuid:da246807-abf7-46bd-a7dc-1b24133d3dca</t>
  </si>
  <si>
    <t xml:space="preserve">uuid:78dabc8b-569b-4de0-8256-8b4675319e09</t>
  </si>
  <si>
    <t xml:space="preserve">RICOH MP 305+</t>
  </si>
  <si>
    <t xml:space="preserve">RICOH MP 305+; modified using iText® 7.1.16 ©2000-2021 iText Group NV (Minnesota Judicial Branch; licensed version)</t>
  </si>
  <si>
    <t xml:space="preserve">2022:07:19 14:51:16-05:00</t>
  </si>
  <si>
    <t xml:space="preserve">2022:07:19 14:51:24-05:00</t>
  </si>
  <si>
    <t xml:space="preserve">2025:11:26 18:46:37-06:00</t>
  </si>
  <si>
    <t xml:space="preserve">uuid:0f41f8f5-2c43-455e-8f9b-e58d19bdbe20</t>
  </si>
  <si>
    <t xml:space="preserve">uuid:2ab45809-f93f-48a2-8160-a3d811181fbe</t>
  </si>
  <si>
    <t xml:space="preserve">2025:11:26 18:46:44-06:00</t>
  </si>
  <si>
    <t xml:space="preserve">2023:03:21 12:32:04-05:00</t>
  </si>
  <si>
    <t xml:space="preserve">2025:11:26 18:47:08-06:00</t>
  </si>
  <si>
    <t xml:space="preserve">uuid: 611338AE5E64D304A302C7CCE2080A36</t>
  </si>
  <si>
    <t xml:space="preserve">2025:11:26 18:45:50-06:00</t>
  </si>
  <si>
    <t xml:space="preserve">2025:11:26 18:46:02-06:00</t>
  </si>
  <si>
    <t xml:space="preserve">uuid:08dc962d-89df-47f5-871b-09748c42ab25</t>
  </si>
  <si>
    <t xml:space="preserve">uuid:0dc9a355-8f4f-45fe-9959-1a159d4df9ef</t>
  </si>
  <si>
    <t xml:space="preserve">2025:11:26 18:46:52-06:00</t>
  </si>
  <si>
    <t xml:space="preserve">2025:11:26 18:46:15-06:00</t>
  </si>
  <si>
    <t xml:space="preserve">2025:11:26 18:46:29-06:00</t>
  </si>
  <si>
    <t xml:space="preserve">2025:11:26 18:48:00-06:00</t>
  </si>
  <si>
    <t xml:space="preserve">2025:11:26 18:47:49-06:00</t>
  </si>
  <si>
    <t xml:space="preserve">2023:03:21 12:29:55-05:00</t>
  </si>
  <si>
    <t xml:space="preserve">2025:11:26 18:48:12-06:00</t>
  </si>
  <si>
    <t xml:space="preserve">uuid: B0C871C7F5574D9A3F900949A05ADE61</t>
  </si>
  <si>
    <t xml:space="preserve">2025:11:26 18:47:37-06:00</t>
  </si>
  <si>
    <t xml:space="preserve">2025:11:26 18:50:32-06:00</t>
  </si>
  <si>
    <t xml:space="preserve">2025:11:26 18:50:21-06:00</t>
  </si>
  <si>
    <t xml:space="preserve">2025:11:26 18:48:39-06:00</t>
  </si>
  <si>
    <t xml:space="preserve">2025:11:26 16:57:40-06:00</t>
  </si>
  <si>
    <t xml:space="preserve">2025:11:26 16:58:03-06:00</t>
  </si>
  <si>
    <t xml:space="preserve">2023:04:07 15:12:52-05:00</t>
  </si>
  <si>
    <t xml:space="preserve">2025:11:26 16:58:13-06:00</t>
  </si>
  <si>
    <t xml:space="preserve">uuid: 2BA5ED8A59BC473C5FEDC1DA4A313D18</t>
  </si>
  <si>
    <t xml:space="preserve">2025:11:26 16:57:52-06:00</t>
  </si>
  <si>
    <t xml:space="preserve">2022:06:21 11:10:20-05:00</t>
  </si>
  <si>
    <t xml:space="preserve">2025:11:26 17:00:18-06:00</t>
  </si>
  <si>
    <t xml:space="preserve">uuid: A5CAFBFFE6703F449886D9D1AE5BA69D</t>
  </si>
  <si>
    <t xml:space="preserve">2025:11:26 17:00:26-06:00</t>
  </si>
  <si>
    <t xml:space="preserve">2022:06:23 13:49:27-05:00</t>
  </si>
  <si>
    <t xml:space="preserve">2025:11:26 17:00:30-06:00</t>
  </si>
  <si>
    <t xml:space="preserve">uuid: 20EF3E7706B55D1BCF325E664703E50E</t>
  </si>
  <si>
    <t xml:space="preserve">2025:11:26 16:59:35-06:00</t>
  </si>
  <si>
    <t xml:space="preserve">2025:11:26 16:58:58-06:00</t>
  </si>
  <si>
    <t xml:space="preserve">2023:04:07 14:42:04-05:00</t>
  </si>
  <si>
    <t xml:space="preserve">2025:11:26 16:59:08-06:00</t>
  </si>
  <si>
    <t xml:space="preserve">uuid: F05763BE0F87A73D4AB8FB0811FADF8A</t>
  </si>
  <si>
    <t xml:space="preserve">2025:11:26 16:59:19-06:00</t>
  </si>
  <si>
    <t xml:space="preserve">2025:11:26 17:01:18-06:00</t>
  </si>
  <si>
    <t xml:space="preserve">2023:04:07 15:17:39-05:00</t>
  </si>
  <si>
    <t xml:space="preserve">2025:11:26 17:01:27-06:00</t>
  </si>
  <si>
    <t xml:space="preserve">uuid: C29261FFE8E3B2F2CBF4C332DC1DE126</t>
  </si>
  <si>
    <t xml:space="preserve">2025:11:26 17:01:09-06:00</t>
  </si>
  <si>
    <t xml:space="preserve">2025:11:26 17:02:34-06:00</t>
  </si>
  <si>
    <t xml:space="preserve">2025:11:26 17:02:24-06:00</t>
  </si>
  <si>
    <t xml:space="preserve">2022:11:10 09:26:41-06:00</t>
  </si>
  <si>
    <t xml:space="preserve">2025:11:26 17:01:54-06:00</t>
  </si>
  <si>
    <t xml:space="preserve">uuid: 779057AF6DB87C5E62403504DF077814</t>
  </si>
  <si>
    <t xml:space="preserve">2023:04:07 14:47:09-05:00</t>
  </si>
  <si>
    <t xml:space="preserve">2025:11:26 17:02:03-06:00</t>
  </si>
  <si>
    <t xml:space="preserve">uuid: 3222A03B2E82D41C3C6049E2AA5C8D14</t>
  </si>
  <si>
    <t xml:space="preserve">2025:11:26 17:02:12-06:00</t>
  </si>
  <si>
    <t xml:space="preserve">2023:03:21 12:22:57-05:00</t>
  </si>
  <si>
    <t xml:space="preserve">2025:11:26 18:54:36-06:00</t>
  </si>
  <si>
    <t xml:space="preserve">uuid: 2B67E877673A03B0F3E9027BA6762281</t>
  </si>
  <si>
    <t xml:space="preserve">2025:11:26 18:53:02-06:00</t>
  </si>
  <si>
    <t xml:space="preserve">2025:11:26 18:53:14-06:00</t>
  </si>
  <si>
    <t xml:space="preserve">uuid:8bdaed94-0d37-4bc4-b0dc-ff21935b43cd</t>
  </si>
  <si>
    <t xml:space="preserve">uuid:8b253083-45a0-4177-a922-1f4534e6098a</t>
  </si>
  <si>
    <t xml:space="preserve">2025:11:26 18:54:23-06:00</t>
  </si>
  <si>
    <t xml:space="preserve">2025:11:26 18:53:26-06:00</t>
  </si>
  <si>
    <t xml:space="preserve">2025:11:26 18:54:03-06:00</t>
  </si>
  <si>
    <t xml:space="preserve">2025:11:26 18:55:40-06:00</t>
  </si>
  <si>
    <t xml:space="preserve">2025:11:26 18:55:31-06:00</t>
  </si>
  <si>
    <t xml:space="preserve">2023:03:21 12:36:33-05:00</t>
  </si>
  <si>
    <t xml:space="preserve">2025:11:26 18:55:56-06:00</t>
  </si>
  <si>
    <t xml:space="preserve">uuid: 60959A394E4D5879E78C4B9EF1216D71</t>
  </si>
  <si>
    <t xml:space="preserve">2025:11:26 18:55:18-06:00</t>
  </si>
  <si>
    <t xml:space="preserve">2025:11:26 17:03:03-06:00</t>
  </si>
  <si>
    <t xml:space="preserve">2025:11:26 17:03:27-06:00</t>
  </si>
  <si>
    <t xml:space="preserve">2023:04:07 14:57:11-05:00</t>
  </si>
  <si>
    <t xml:space="preserve">2025:11:26 17:03:36-06:00</t>
  </si>
  <si>
    <t xml:space="preserve">uuid: C8CB240FE76EBDC57DB5679A4D696521</t>
  </si>
  <si>
    <t xml:space="preserve">2025:11:26 17:03:16-06:00</t>
  </si>
  <si>
    <t xml:space="preserve">2025:11:26 17:04:47-06:00</t>
  </si>
  <si>
    <t xml:space="preserve">2025:11:26 17:04:01-06:00</t>
  </si>
  <si>
    <t xml:space="preserve">2023:04:07 15:00:22-05:00</t>
  </si>
  <si>
    <t xml:space="preserve">2025:11:26 17:04:20-06:00</t>
  </si>
  <si>
    <t xml:space="preserve">uuid: 4DDF138914E83E16642F8E63FC4C6B2A</t>
  </si>
  <si>
    <t xml:space="preserve">2025:11:26 17:04:34-06:00</t>
  </si>
  <si>
    <t xml:space="preserve">2022:10:06 16:08:38-05:00</t>
  </si>
  <si>
    <t xml:space="preserve">2025:11:26 17:05:10-06:00</t>
  </si>
  <si>
    <t xml:space="preserve">uuid: F6F8FD9CF68AF4DE54ABA759135B5D0A</t>
  </si>
  <si>
    <t xml:space="preserve">2025:11:26 17:05:32-06:00</t>
  </si>
  <si>
    <t xml:space="preserve">2023:04:07 15:02:56-05:00</t>
  </si>
  <si>
    <t xml:space="preserve">2025:11:26 17:05:42-06:00</t>
  </si>
  <si>
    <t xml:space="preserve">uuid: CA77AF768560E5C077E88965B5ABADAD</t>
  </si>
  <si>
    <t xml:space="preserve">2025:11:26 17:05:22-06:00</t>
  </si>
  <si>
    <t xml:space="preserve">2025:11:26 18:57:33-06:00</t>
  </si>
  <si>
    <t xml:space="preserve">2025:11:26 18:57:02-06:00</t>
  </si>
  <si>
    <t xml:space="preserve">2023:03:21 12:35:00-05:00</t>
  </si>
  <si>
    <t xml:space="preserve">2025:11:26 18:57:47-06:00</t>
  </si>
  <si>
    <t xml:space="preserve">uuid: B44F6BCD22025BA4AEC7B313EAB765C1</t>
  </si>
  <si>
    <t xml:space="preserve">2025:11:26 18:56:20-06:00</t>
  </si>
  <si>
    <t xml:space="preserve">2025:11:26 18:56:40-06:00</t>
  </si>
  <si>
    <t xml:space="preserve">uuid:61e209bf-c53b-4718-82ae-5d07b5e2f453</t>
  </si>
  <si>
    <t xml:space="preserve">uuid:2e27d0e8-00f5-4bdd-9511-3c2ad19f95b2</t>
  </si>
  <si>
    <t xml:space="preserve">2025:11:26 18:57:11-06:00</t>
  </si>
  <si>
    <t xml:space="preserve">2025:11:26 18:56:50-06:00</t>
  </si>
  <si>
    <t xml:space="preserve">2025:11:26 18:57:21-06:00</t>
  </si>
  <si>
    <t xml:space="preserve">2025:11:26 17:06:33-06:00</t>
  </si>
  <si>
    <t xml:space="preserve">2025:11:26 17:06:02-06:00</t>
  </si>
  <si>
    <t xml:space="preserve">2023:04:07 15:07:10-05:00</t>
  </si>
  <si>
    <t xml:space="preserve">2025:11:26 17:06:12-06:00</t>
  </si>
  <si>
    <t xml:space="preserve">uuid: 00F9AB501843B2711451466555236FB8</t>
  </si>
  <si>
    <t xml:space="preserve">2025:11:26 17:06:22-06:00</t>
  </si>
  <si>
    <t xml:space="preserve">2025:11:26 18:58:57-06:00</t>
  </si>
  <si>
    <t xml:space="preserve">2025:11:26 18:59:07-06:00</t>
  </si>
  <si>
    <t xml:space="preserve">2025:11:26 18:58:11-06:00</t>
  </si>
  <si>
    <t xml:space="preserve">2025:11:26 18:58:24-06:00</t>
  </si>
  <si>
    <t xml:space="preserve">uuid:0e10c0ba-65f8-4c0f-a943-25f5ae6cd8d3</t>
  </si>
  <si>
    <t xml:space="preserve">uuid:6ec03942-273f-4a98-8b5a-88bfe1544c12</t>
  </si>
  <si>
    <t xml:space="preserve">2025:11:26 18:59:20-06:00</t>
  </si>
  <si>
    <t xml:space="preserve">2025:11:26 18:58:37-06:00</t>
  </si>
  <si>
    <t xml:space="preserve">2025:11:26 18:58:48-06:00</t>
  </si>
  <si>
    <t xml:space="preserve">2025:11:26 19:00:07-06:00</t>
  </si>
  <si>
    <t xml:space="preserve">2025:11:26 18:59:58-06:00</t>
  </si>
  <si>
    <t xml:space="preserve">2025:11:26 18:59:47-06:00</t>
  </si>
  <si>
    <t xml:space="preserve">2025:11:26 19:00:33-06:00</t>
  </si>
  <si>
    <t xml:space="preserve">2025:11:26 19:00:45-06:00</t>
  </si>
  <si>
    <t xml:space="preserve">uuid:7e7d7932-5ac8-42fb-a74e-633143f35804</t>
  </si>
  <si>
    <t xml:space="preserve">uuid:c2dc561e-e6f2-4338-8578-b6473b6df98b</t>
  </si>
  <si>
    <t xml:space="preserve">2025:11:26 19:01:22-06:00</t>
  </si>
  <si>
    <t xml:space="preserve">2025:11:26 19:00:59-06:00</t>
  </si>
  <si>
    <t xml:space="preserve">2025:11:26 19:01:11-06:00</t>
  </si>
  <si>
    <t xml:space="preserve">2025:11:26 19:01:45-06:00</t>
  </si>
  <si>
    <t xml:space="preserve">2025:11:26 19:01:55-06:00</t>
  </si>
  <si>
    <t xml:space="preserve">uuid:93fec294-895a-4a77-91b9-2229d18d96f6</t>
  </si>
  <si>
    <t xml:space="preserve">uuid:c49d65b8-2466-4c22-b9f2-068b6b991ef7</t>
  </si>
  <si>
    <t xml:space="preserve">2025:11:26 19:02:16-06:00</t>
  </si>
  <si>
    <t xml:space="preserve">2025:11:26 19:02:06-06:00</t>
  </si>
  <si>
    <t xml:space="preserve">2025:11:26 19:02:23-06:00</t>
  </si>
  <si>
    <t xml:space="preserve">2025:11:26 19:02:43-06:00</t>
  </si>
  <si>
    <t xml:space="preserve">2025:11:26 19:02:55-06:00</t>
  </si>
  <si>
    <t xml:space="preserve">uuid:1723305b-723e-4fc9-ac16-7d48d48194d9</t>
  </si>
  <si>
    <t xml:space="preserve">uuid:8c99dd42-9c90-4f50-a0be-f3feae8b91a0</t>
  </si>
  <si>
    <t xml:space="preserve">2025:11:26 19:03:22-06:00</t>
  </si>
  <si>
    <t xml:space="preserve">2025:11:26 19:03:06-06:00</t>
  </si>
  <si>
    <t xml:space="preserve">2025:11:26 19:03:18-06:00</t>
  </si>
  <si>
    <t xml:space="preserve">2025:11:26 19:03:51-06:00</t>
  </si>
  <si>
    <t xml:space="preserve">2025:11:26 19:04:21-06:00</t>
  </si>
  <si>
    <t xml:space="preserve">2025:11:26 19:04:03-06:00</t>
  </si>
  <si>
    <t xml:space="preserve">2025:11:26 19:04:28-06:00</t>
  </si>
  <si>
    <t xml:space="preserve">2025:11:26 19:04:56-06:00</t>
  </si>
  <si>
    <t xml:space="preserve">2025:11:26 19:05:32-06:00</t>
  </si>
  <si>
    <t xml:space="preserve">2025:11:26 19:05:15-06:00</t>
  </si>
  <si>
    <t xml:space="preserve">2025:11:26 19:05:22-06:00</t>
  </si>
  <si>
    <t xml:space="preserve">2025:11:26 19:05:57-06:00</t>
  </si>
  <si>
    <t xml:space="preserve">2025:11:26 19:06:22-06:00</t>
  </si>
  <si>
    <t xml:space="preserve">2025:11:26 19:06:07-06:00</t>
  </si>
  <si>
    <t xml:space="preserve">2025:11:26 19:06:15-06:00</t>
  </si>
  <si>
    <t xml:space="preserve">2025:11:26 19:06:42-06:00</t>
  </si>
  <si>
    <t xml:space="preserve">2025:11:26 19:07:03-06:00</t>
  </si>
  <si>
    <t xml:space="preserve">2025:11:26 19:06:52-06:00</t>
  </si>
  <si>
    <t xml:space="preserve">file</t>
  </si>
  <si>
    <t xml:space="preserve">rev_count</t>
  </si>
  <si>
    <t xml:space="preserve">ltv_dss</t>
  </si>
  <si>
    <t xml:space="preserve">field_index</t>
  </si>
  <si>
    <t xml:space="preserve">chrono_rank</t>
  </si>
  <si>
    <t xml:space="preserve">field_name</t>
  </si>
  <si>
    <t xml:space="preserve">signer_name</t>
  </si>
  <si>
    <t xml:space="preserve">sign_time_raw</t>
  </si>
  <si>
    <t xml:space="preserve">subfilter</t>
  </si>
  <si>
    <t xml:space="preserve">v_obj</t>
  </si>
  <si>
    <t xml:space="preserve">br_o1</t>
  </si>
  <si>
    <t xml:space="preserve">br_l1</t>
  </si>
  <si>
    <t xml:space="preserve">br_o2</t>
  </si>
  <si>
    <t xml:space="preserve">br_l2</t>
  </si>
  <si>
    <t xml:space="preserve">signed_total</t>
  </si>
  <si>
    <t xml:space="preserve">coverage_pct</t>
  </si>
  <si>
    <t xml:space="preserve">later_after_sig</t>
  </si>
  <si>
    <t xml:space="preserve">no</t>
  </si>
  <si>
    <t xml:space="preserve">Signature_ef1df836-d360-45e3-ba27-c29bd83865c7</t>
  </si>
  <si>
    <t xml:space="preserve">Minnesota Court Records Online (MCRO) Watermark</t>
  </si>
  <si>
    <t xml:space="preserve">D:20251126174721-06'00'</t>
  </si>
  <si>
    <t xml:space="preserve">/adbe.pkcs7.detached</t>
  </si>
  <si>
    <t xml:space="preserve">59 0 obj</t>
  </si>
  <si>
    <t xml:space="preserve">yes</t>
  </si>
  <si>
    <t xml:space="preserve">Signature2</t>
  </si>
  <si>
    <t xml:space="preserve">Janzen, Lisa</t>
  </si>
  <si>
    <t xml:space="preserve">D:20210831100619-05'00'</t>
  </si>
  <si>
    <t xml:space="preserve">17 0 obj</t>
  </si>
  <si>
    <t xml:space="preserve">Signature_db9ab566-7fcf-4b90-bdc9-82314504474e</t>
  </si>
  <si>
    <t xml:space="preserve">D:20251126174731-06'00'</t>
  </si>
  <si>
    <t xml:space="preserve">276 0 obj</t>
  </si>
  <si>
    <t xml:space="preserve">D:20220201121009-06'00'</t>
  </si>
  <si>
    <t xml:space="preserve">21 0 obj</t>
  </si>
  <si>
    <t xml:space="preserve">Signature_8001612f-e517-46ed-94ae-ea5a2560031d</t>
  </si>
  <si>
    <t xml:space="preserve">D:20251126174709-06'00'</t>
  </si>
  <si>
    <t xml:space="preserve">274 0 obj</t>
  </si>
  <si>
    <t xml:space="preserve">Signature_08d0a2ce-870e-4b6b-96d5-31405148d150</t>
  </si>
  <si>
    <t xml:space="preserve">D:20251126174652-06'00'</t>
  </si>
  <si>
    <t xml:space="preserve">202 0 obj</t>
  </si>
  <si>
    <t xml:space="preserve">Signature_874bc5b4-d70d-472d-bff9-63cfc9535cc4</t>
  </si>
  <si>
    <t xml:space="preserve">D:20251126174914-06'00'</t>
  </si>
  <si>
    <t xml:space="preserve">40 0 obj</t>
  </si>
  <si>
    <t xml:space="preserve">Signature_25d865f2-0669-43b6-90d3-4d329f855351</t>
  </si>
  <si>
    <t xml:space="preserve">D:20251126174927-06'00'</t>
  </si>
  <si>
    <t xml:space="preserve">380 0 obj</t>
  </si>
  <si>
    <t xml:space="preserve">Signature_340f187a-2cca-4881-a344-d190d2420778</t>
  </si>
  <si>
    <t xml:space="preserve">D:20251126174938-06'00'</t>
  </si>
  <si>
    <t xml:space="preserve">43 0 obj</t>
  </si>
  <si>
    <t xml:space="preserve">Signature_8dad8c45-0446-4375-84ca-079fd86e63d7</t>
  </si>
  <si>
    <t xml:space="preserve">D:20251126174820-06'00'</t>
  </si>
  <si>
    <t xml:space="preserve">403 0 obj</t>
  </si>
  <si>
    <t xml:space="preserve">Signature_ea14bde5-189e-43e8-8f46-02d5fb518c55</t>
  </si>
  <si>
    <t xml:space="preserve">D:20251126174832-06'00'</t>
  </si>
  <si>
    <t xml:space="preserve">52 0 obj</t>
  </si>
  <si>
    <t xml:space="preserve">Signature_178d09ad-288c-439a-9ed2-6a034647a4dc</t>
  </si>
  <si>
    <t xml:space="preserve">D:20251126174846-06'00'</t>
  </si>
  <si>
    <t xml:space="preserve">107 0 obj</t>
  </si>
  <si>
    <t xml:space="preserve">Signature_b61630b7-acff-41d7-8e6c-335cb994a878</t>
  </si>
  <si>
    <t xml:space="preserve">D:20251126174859-06'00'</t>
  </si>
  <si>
    <t xml:space="preserve">386 0 obj</t>
  </si>
  <si>
    <t xml:space="preserve">Signature_d0520bcb-c657-43c8-944f-989fef092ca7</t>
  </si>
  <si>
    <t xml:space="preserve">D:20251126174757-06'00'</t>
  </si>
  <si>
    <t xml:space="preserve">26 0 obj</t>
  </si>
  <si>
    <t xml:space="preserve">Signature_4367985b-2cad-49ff-8f9e-57aa7b14cfc1</t>
  </si>
  <si>
    <t xml:space="preserve">D:20251126174746-06'00'</t>
  </si>
  <si>
    <t xml:space="preserve">146 0 obj</t>
  </si>
  <si>
    <t xml:space="preserve">Signature_e585f4d4-813f-4a82-83b1-e2110ff57552</t>
  </si>
  <si>
    <t xml:space="preserve">D:20251126174953-06'00'</t>
  </si>
  <si>
    <t xml:space="preserve">31 0 obj</t>
  </si>
  <si>
    <t xml:space="preserve">Signature_3ff64930-ea74-4406-ba2f-f8ac76749eb0</t>
  </si>
  <si>
    <t xml:space="preserve">D:20251126175056-06'00'</t>
  </si>
  <si>
    <t xml:space="preserve">58 0 obj</t>
  </si>
  <si>
    <t xml:space="preserve">Signature_2b8dd4c6-993b-4d3c-be8a-18577bd9bd41</t>
  </si>
  <si>
    <t xml:space="preserve">D:20251126175105-06'00'</t>
  </si>
  <si>
    <t xml:space="preserve">Signature_f3f50288-e2c2-4d23-a39d-244510d92acc</t>
  </si>
  <si>
    <t xml:space="preserve">D:20251126175042-06'00'</t>
  </si>
  <si>
    <t xml:space="preserve">Signature_a232bc0c-a752-486f-8873-70656e1b846b</t>
  </si>
  <si>
    <t xml:space="preserve">D:20251126175027-06'00'</t>
  </si>
  <si>
    <t xml:space="preserve">Signature_ce345c76-62b3-4409-9f34-1e4f88aeb201</t>
  </si>
  <si>
    <t xml:space="preserve">D:20251126175310-06'00'</t>
  </si>
  <si>
    <t xml:space="preserve">Signature_0b5c74f7-0285-4913-9a05-6b2c655ffd1c</t>
  </si>
  <si>
    <t xml:space="preserve">D:20251126175321-06'00'</t>
  </si>
  <si>
    <t xml:space="preserve">Signature_8a49f911-b1c5-4f3d-9aca-37224dad302d</t>
  </si>
  <si>
    <t xml:space="preserve">D:20251126175155-06'00'</t>
  </si>
  <si>
    <t xml:space="preserve">Signature_2e81c804-1b3b-4448-81c4-5a6cd3962e53</t>
  </si>
  <si>
    <t xml:space="preserve">D:20251126175209-06'00'</t>
  </si>
  <si>
    <t xml:space="preserve">Signature_dec31df6-1093-47e7-b227-7fc7283967c1</t>
  </si>
  <si>
    <t xml:space="preserve">D:20251126175220-06'00'</t>
  </si>
  <si>
    <t xml:space="preserve">Signature_4597079c-7283-48b4-9787-8a7e85f20d41</t>
  </si>
  <si>
    <t xml:space="preserve">D:20251126175232-06'00'</t>
  </si>
  <si>
    <t xml:space="preserve">Signature_d5393f7c-0e5f-43e6-ad5f-6014c33dfbd5</t>
  </si>
  <si>
    <t xml:space="preserve">D:20251126175245-06'00'</t>
  </si>
  <si>
    <t xml:space="preserve">Signature_50be7ea8-3382-4293-bff7-65a1bbf830ad</t>
  </si>
  <si>
    <t xml:space="preserve">D:20251126175124-06'00'</t>
  </si>
  <si>
    <t xml:space="preserve">Signature_58ed456a-cdde-48a2-b32e-95ca184ec5f7</t>
  </si>
  <si>
    <t xml:space="preserve">D:20251126175138-06'00'</t>
  </si>
  <si>
    <t xml:space="preserve">Signature_29c8b50f-92f2-44cd-8b41-43562f2d145b</t>
  </si>
  <si>
    <t xml:space="preserve">D:20251126175339-06'00'</t>
  </si>
  <si>
    <t xml:space="preserve">Signature_517ae0a6-edbd-4fc5-acbd-95675bd1c1e4</t>
  </si>
  <si>
    <t xml:space="preserve">D:20251126175434-06'00'</t>
  </si>
  <si>
    <t xml:space="preserve">Signature_df86c871-ede1-4fbc-a027-fa8315216c35</t>
  </si>
  <si>
    <t xml:space="preserve">D:20251126175446-06'00'</t>
  </si>
  <si>
    <t xml:space="preserve">Signature_dd8b0a7e-0c7e-47c2-837e-a41432bd8e2d</t>
  </si>
  <si>
    <t xml:space="preserve">D:20251126175423-06'00'</t>
  </si>
  <si>
    <t xml:space="preserve">Signature_2cfa4a25-bf47-4c5d-b46e-3b0f0abe387b</t>
  </si>
  <si>
    <t xml:space="preserve">D:20251126175408-06'00'</t>
  </si>
  <si>
    <t xml:space="preserve">Signature_eaa2f6da-9704-435d-9ed0-7c14aa06d318</t>
  </si>
  <si>
    <t xml:space="preserve">D:20251126175635-06'00'</t>
  </si>
  <si>
    <t xml:space="preserve">Signature_3a4ec04b-4e41-46d6-aa2e-bf14a0bf4ead</t>
  </si>
  <si>
    <t xml:space="preserve">D:20251126175645-06'00'</t>
  </si>
  <si>
    <t xml:space="preserve">Signature_da25a698-16c6-4226-ad6f-4a0d5599fbf3</t>
  </si>
  <si>
    <t xml:space="preserve">D:20251126175528-06'00'</t>
  </si>
  <si>
    <t xml:space="preserve">Signature_e3cc540a-e7fb-4f57-ac66-103bfcd3a5f2</t>
  </si>
  <si>
    <t xml:space="preserve">D:20251126175541-06'00'</t>
  </si>
  <si>
    <t xml:space="preserve">Signature_12e73887-602e-46a4-bb0a-0701591ec2ba</t>
  </si>
  <si>
    <t xml:space="preserve">D:20251126175553-06'00'</t>
  </si>
  <si>
    <t xml:space="preserve">Signature_f883f239-c93e-4914-b83b-2b6fa9c0a017</t>
  </si>
  <si>
    <t xml:space="preserve">D:20251126175604-06'00'</t>
  </si>
  <si>
    <t xml:space="preserve">Signature_2337f8cb-c056-404b-a49a-a9bc321d0282</t>
  </si>
  <si>
    <t xml:space="preserve">D:20251126175615-06'00'</t>
  </si>
  <si>
    <t xml:space="preserve">Signature_ec7f1841-e488-4a2d-bb59-54281cfacd6a</t>
  </si>
  <si>
    <t xml:space="preserve">D:20251126175513-06'00'</t>
  </si>
  <si>
    <t xml:space="preserve">Signature_3c3a69df-8bc9-4b99-9d9d-c6d5c33c888d</t>
  </si>
  <si>
    <t xml:space="preserve">D:20251126175501-06'00'</t>
  </si>
  <si>
    <t xml:space="preserve">Signature_db38f983-bd05-46e9-ae63-b97eed8afdec</t>
  </si>
  <si>
    <t xml:space="preserve">D:20251126175700-06'00'</t>
  </si>
  <si>
    <t xml:space="preserve">Signature_90e69a56-8999-4386-b33d-7286b38fc125</t>
  </si>
  <si>
    <t xml:space="preserve">D:20251126175747-06'00'</t>
  </si>
  <si>
    <t xml:space="preserve">Signature_c48309ec-17eb-4912-9d0b-e02c07a5fe2c</t>
  </si>
  <si>
    <t xml:space="preserve">D:20251126175759-06'00'</t>
  </si>
  <si>
    <t xml:space="preserve">Signature_35c68b27-171a-47e7-9bdf-2ab0930999a6</t>
  </si>
  <si>
    <t xml:space="preserve">D:20251126175736-06'00'</t>
  </si>
  <si>
    <t xml:space="preserve">Signature_b06af48a-3449-4873-ad0b-1cd7aaea4174</t>
  </si>
  <si>
    <t xml:space="preserve">D:20251126175943-06'00'</t>
  </si>
  <si>
    <t xml:space="preserve">Signature_2f2246a7-9df3-4cf0-a9ec-122ab6815d9c</t>
  </si>
  <si>
    <t xml:space="preserve">D:20251126175843-06'00'</t>
  </si>
  <si>
    <t xml:space="preserve">Signature_5e0c7f7d-08ad-43b3-a06b-968ac963f6e9</t>
  </si>
  <si>
    <t xml:space="preserve">D:20251126175854-06'00'</t>
  </si>
  <si>
    <t xml:space="preserve">Signature_3d4ab02b-837c-44ce-949d-567983d6ac04</t>
  </si>
  <si>
    <t xml:space="preserve">D:20251126175907-06'00'</t>
  </si>
  <si>
    <t xml:space="preserve">Signature_a3af402f-b6a1-4dc1-a233-5e5c64609381</t>
  </si>
  <si>
    <t xml:space="preserve">D:20251126175918-06'00'</t>
  </si>
  <si>
    <t xml:space="preserve">Signature_9e86be0b-119a-4cef-91a0-dee5055ee09d</t>
  </si>
  <si>
    <t xml:space="preserve">D:20251126175928-06'00'</t>
  </si>
  <si>
    <t xml:space="preserve">Signature_24d1cd99-1b90-4b9e-8c55-3041c6891485</t>
  </si>
  <si>
    <t xml:space="preserve">D:20251126175819-06'00'</t>
  </si>
  <si>
    <t xml:space="preserve">Signature_b533860c-d7a2-4779-8357-4c00bd5a3296</t>
  </si>
  <si>
    <t xml:space="preserve">D:20251126175828-06'00'</t>
  </si>
  <si>
    <t xml:space="preserve">Signature1</t>
  </si>
  <si>
    <t xml:space="preserve">Mercurio, Danielle</t>
  </si>
  <si>
    <t xml:space="preserve">D:20230502150643-05'00'</t>
  </si>
  <si>
    <t xml:space="preserve">/ETSI.CAdES.detached</t>
  </si>
  <si>
    <t xml:space="preserve">181 0 obj</t>
  </si>
  <si>
    <t xml:space="preserve">Browne, Michael</t>
  </si>
  <si>
    <t xml:space="preserve">D:20230502161451-05'00'</t>
  </si>
  <si>
    <t xml:space="preserve">188 0 obj</t>
  </si>
  <si>
    <t xml:space="preserve">Signature_eecb89a4-9621-4c68-86b0-89ea710ea746</t>
  </si>
  <si>
    <t xml:space="preserve">D:20251126180022-06'00'</t>
  </si>
  <si>
    <t xml:space="preserve">258 0 obj</t>
  </si>
  <si>
    <t xml:space="preserve">Signature_90a51199-08da-457a-bb74-d8090e70e3d3</t>
  </si>
  <si>
    <t xml:space="preserve">D:20251126180048-06'00'</t>
  </si>
  <si>
    <t xml:space="preserve">Signature_ceaf7360-3da7-48e3-8db4-a55a86637873</t>
  </si>
  <si>
    <t xml:space="preserve">D:20251126180037-06'00'</t>
  </si>
  <si>
    <t xml:space="preserve">Signature_710bc1c1-6d53-4868-bfe0-b6990a2d9838</t>
  </si>
  <si>
    <t xml:space="preserve">D:20251126180102-06'00'</t>
  </si>
  <si>
    <t xml:space="preserve">29 0 obj</t>
  </si>
  <si>
    <t xml:space="preserve">Signature_53937990-a688-43ce-bf80-7b38c48b4306</t>
  </si>
  <si>
    <t xml:space="preserve">D:20251126180153-06'00'</t>
  </si>
  <si>
    <t xml:space="preserve">Signature_dcfd9970-b590-4ebd-8367-2d47bcc92c0a</t>
  </si>
  <si>
    <t xml:space="preserve">D:20251126180204-06'00'</t>
  </si>
  <si>
    <t xml:space="preserve">Signature_041e0e4d-213e-4239-9bec-830ea3e1f911</t>
  </si>
  <si>
    <t xml:space="preserve">D:20251126180216-06'00'</t>
  </si>
  <si>
    <t xml:space="preserve">Signature_5270f363-e032-4f39-b59c-5ce7b0ce5fbc</t>
  </si>
  <si>
    <t xml:space="preserve">D:20251126180225-06'00'</t>
  </si>
  <si>
    <t xml:space="preserve">Signature_bfbe77a8-c8a7-472d-bba6-c57b0989a044</t>
  </si>
  <si>
    <t xml:space="preserve">D:20251126180237-06'00'</t>
  </si>
  <si>
    <t xml:space="preserve">Dayton Klein, Julia</t>
  </si>
  <si>
    <t xml:space="preserve">D:20230821091934-05'00'</t>
  </si>
  <si>
    <t xml:space="preserve">334 0 obj</t>
  </si>
  <si>
    <t xml:space="preserve">Signature_8e6e87b1-5a66-4214-92c9-83b4e578f085</t>
  </si>
  <si>
    <t xml:space="preserve">D:20251126180249-06'00'</t>
  </si>
  <si>
    <t xml:space="preserve">385 0 obj</t>
  </si>
  <si>
    <t xml:space="preserve">Signature_e6640a37-94c0-49b4-8ea3-ab6f55611d72</t>
  </si>
  <si>
    <t xml:space="preserve">D:20251126180301-06'00'</t>
  </si>
  <si>
    <t xml:space="preserve">Signature_87b01096-1e4c-4094-b14d-2f4b134a6547</t>
  </si>
  <si>
    <t xml:space="preserve">D:20251126180314-06'00'</t>
  </si>
  <si>
    <t xml:space="preserve">64 0 obj</t>
  </si>
  <si>
    <t xml:space="preserve">Signature_ec22ff51-c878-43e0-9f87-2690abecd5bf</t>
  </si>
  <si>
    <t xml:space="preserve">D:20251126180138-06'00'</t>
  </si>
  <si>
    <t xml:space="preserve">Signature_35ec090b-9d35-4889-97d6-7ac1af51f3ef</t>
  </si>
  <si>
    <t xml:space="preserve">D:20251126180114-06'00'</t>
  </si>
  <si>
    <t xml:space="preserve">Signature_6236cd20-5612-4f7a-90b3-e9129928b6e9</t>
  </si>
  <si>
    <t xml:space="preserve">D:20251126180128-06'00'</t>
  </si>
  <si>
    <t xml:space="preserve">35 0 obj</t>
  </si>
  <si>
    <t xml:space="preserve">Signature_b8ecb264-ed18-4e7e-8f03-eceeb92b4433</t>
  </si>
  <si>
    <t xml:space="preserve">D:20251126180343-06'00'</t>
  </si>
  <si>
    <t xml:space="preserve">Signature_cd7f26e9-9965-46e8-886e-0c1ee8c7637a</t>
  </si>
  <si>
    <t xml:space="preserve">D:20251126180408-06'00'</t>
  </si>
  <si>
    <t xml:space="preserve">Signature_10da5281-1366-4772-b7af-7856ab8a268e</t>
  </si>
  <si>
    <t xml:space="preserve">D:20251126180417-06'00'</t>
  </si>
  <si>
    <t xml:space="preserve">Signature_ab3643f6-7d0b-4a5e-a38c-fa72e93b00fd</t>
  </si>
  <si>
    <t xml:space="preserve">D:20251126180357-06'00'</t>
  </si>
  <si>
    <t xml:space="preserve">Signature_d7bdeee8-ea56-432f-a116-92b5c28dfd99</t>
  </si>
  <si>
    <t xml:space="preserve">D:20251126180444-06'00'</t>
  </si>
  <si>
    <t xml:space="preserve">Signature_390044ff-fda1-4a01-b4f3-1d3d9d24ba6f</t>
  </si>
  <si>
    <t xml:space="preserve">D:20251126180651-06'00'</t>
  </si>
  <si>
    <t xml:space="preserve">Signature_5fbaa6e1-a3bf-4181-804c-75667d0ee575</t>
  </si>
  <si>
    <t xml:space="preserve">D:20251126180534-06'00'</t>
  </si>
  <si>
    <t xml:space="preserve">Signature_8f1c6bfc-9141-4ecf-811a-628356f4ae85</t>
  </si>
  <si>
    <t xml:space="preserve">D:20251126180544-06'00'</t>
  </si>
  <si>
    <t xml:space="preserve">Signature_e52edf60-effa-437b-84b7-4fdecd91994e</t>
  </si>
  <si>
    <t xml:space="preserve">D:20251126180555-06'00'</t>
  </si>
  <si>
    <t xml:space="preserve">61 0 obj</t>
  </si>
  <si>
    <t xml:space="preserve">Signature_dfba8983-8381-435c-9379-32988758c44a</t>
  </si>
  <si>
    <t xml:space="preserve">D:20251126180605-06'00'</t>
  </si>
  <si>
    <t xml:space="preserve">Signature_bda1d945-90ad-43ad-8922-3b676f22014c</t>
  </si>
  <si>
    <t xml:space="preserve">D:20251126180618-06'00'</t>
  </si>
  <si>
    <t xml:space="preserve">Signature_f48065a2-c8ab-4372-a799-355ff3afc130</t>
  </si>
  <si>
    <t xml:space="preserve">D:20251126180631-06'00'</t>
  </si>
  <si>
    <t xml:space="preserve">Signature_20808728-f440-4c9a-a1ab-4c4ed9b1928e</t>
  </si>
  <si>
    <t xml:space="preserve">D:20251126180509-06'00'</t>
  </si>
  <si>
    <t xml:space="preserve">Signature_696c0b28-fa8c-44a6-b33d-11e6909e5f1f</t>
  </si>
  <si>
    <t xml:space="preserve">D:20251126180518-06'00'</t>
  </si>
  <si>
    <t xml:space="preserve">Signature_8c0225ba-c151-45b1-8f0e-5b80793816e8</t>
  </si>
  <si>
    <t xml:space="preserve">D:20251126180706-06'00'</t>
  </si>
  <si>
    <t xml:space="preserve">Signature_2589161d-08ec-4bf5-a939-3ea77d1b368c</t>
  </si>
  <si>
    <t xml:space="preserve">D:20251126180741-06'00'</t>
  </si>
  <si>
    <t xml:space="preserve">Signature_fabfa941-f49e-4504-ac3b-9c1458e9a66c</t>
  </si>
  <si>
    <t xml:space="preserve">D:20251126180806-06'00'</t>
  </si>
  <si>
    <t xml:space="preserve">Signature_84cf5392-7f0f-457b-a402-b8801a75b96c</t>
  </si>
  <si>
    <t xml:space="preserve">D:20251126180821-06'00'</t>
  </si>
  <si>
    <t xml:space="preserve">Signature_d1474ac2-5174-4d5b-8bc5-5054710e8a03</t>
  </si>
  <si>
    <t xml:space="preserve">D:20251126180755-06'00'</t>
  </si>
  <si>
    <t xml:space="preserve">Signature_d648923c-2063-49e3-8de0-ee5464a75204</t>
  </si>
  <si>
    <t xml:space="preserve">D:20251126180834-06'00'</t>
  </si>
  <si>
    <t xml:space="preserve">Signature_1f9d26f2-a52a-49e2-9f4a-ba84a3377112</t>
  </si>
  <si>
    <t xml:space="preserve">D:20251126181031-06'00'</t>
  </si>
  <si>
    <t xml:space="preserve">Signature_19ded4ff-12b8-4275-ae6e-534c69808543</t>
  </si>
  <si>
    <t xml:space="preserve">D:20251126181045-06'00'</t>
  </si>
  <si>
    <t xml:space="preserve">Signature_33fe894d-b4ce-4a61-940f-8fa53ff7c816</t>
  </si>
  <si>
    <t xml:space="preserve">D:20251126180920-06'00'</t>
  </si>
  <si>
    <t xml:space="preserve">Signature_8a61ab77-382f-45d9-b0f4-e42839f8c017</t>
  </si>
  <si>
    <t xml:space="preserve">D:20251126180930-06'00'</t>
  </si>
  <si>
    <t xml:space="preserve">Signature_9c258dfe-39ac-4324-a080-b3d49419702a</t>
  </si>
  <si>
    <t xml:space="preserve">D:20251126180947-06'00'</t>
  </si>
  <si>
    <t xml:space="preserve">Signature_27efdd19-aaa3-48b6-a76f-13f532eee2e9</t>
  </si>
  <si>
    <t xml:space="preserve">D:20251126180958-06'00'</t>
  </si>
  <si>
    <t xml:space="preserve">Signature_b8b8c043-9cf6-48b4-9068-5ea107ee413a</t>
  </si>
  <si>
    <t xml:space="preserve">D:20251126181007-06'00'</t>
  </si>
  <si>
    <t xml:space="preserve">Signature_3056cc81-75e5-4f18-99ac-53760d2316f3</t>
  </si>
  <si>
    <t xml:space="preserve">D:20251126181021-06'00'</t>
  </si>
  <si>
    <t xml:space="preserve">Signature_cd1446b3-7fee-4dd4-9a38-2dbb0f9e71fb</t>
  </si>
  <si>
    <t xml:space="preserve">D:20251126180857-06'00'</t>
  </si>
  <si>
    <t xml:space="preserve">Signature_2adfd0c0-fb24-4544-b3c0-8d44cf2f04a7</t>
  </si>
  <si>
    <t xml:space="preserve">D:20251126180905-06'00'</t>
  </si>
  <si>
    <t xml:space="preserve">Signature_29f39837-8d4f-4160-9a6d-0413168462b1</t>
  </si>
  <si>
    <t xml:space="preserve">D:20251126181056-06'00'</t>
  </si>
  <si>
    <t xml:space="preserve">Signature_5d24be24-8409-4987-b89b-16ff72f98931</t>
  </si>
  <si>
    <t xml:space="preserve">D:20251126181151-06'00'</t>
  </si>
  <si>
    <t xml:space="preserve">Signature_d090fa07-55a5-4a2f-a4c3-96b114a965c3</t>
  </si>
  <si>
    <t xml:space="preserve">D:20251126181201-06'00'</t>
  </si>
  <si>
    <t xml:space="preserve">Signature_4cc6ded4-0301-4f38-97dc-86e69e209939</t>
  </si>
  <si>
    <t xml:space="preserve">D:20251126181139-06'00'</t>
  </si>
  <si>
    <t xml:space="preserve">Signature_fb0d02ca-3b02-4c05-bbda-1eb6edfdca8e</t>
  </si>
  <si>
    <t xml:space="preserve">D:20251126181125-06'00'</t>
  </si>
  <si>
    <t xml:space="preserve">Signature_52082480-02ab-41ae-b1b4-2ca6575461bb</t>
  </si>
  <si>
    <t xml:space="preserve">D:20251126181338-06'00'</t>
  </si>
  <si>
    <t xml:space="preserve">Signature_c56f2b65-9d08-41fb-988d-5b059557fcc7</t>
  </si>
  <si>
    <t xml:space="preserve">D:20251126181348-06'00'</t>
  </si>
  <si>
    <t xml:space="preserve">Signature_a99ea687-8168-49b5-b2ae-45677bf699e2</t>
  </si>
  <si>
    <t xml:space="preserve">D:20251126181240-06'00'</t>
  </si>
  <si>
    <t xml:space="preserve">Signature_193cad0f-d13f-41a4-816b-fd2ef14ef013</t>
  </si>
  <si>
    <t xml:space="preserve">D:20251126181255-06'00'</t>
  </si>
  <si>
    <t xml:space="preserve">Signature_f04b467a-c2e9-454d-a739-839a116110c0</t>
  </si>
  <si>
    <t xml:space="preserve">D:20251126181305-06'00'</t>
  </si>
  <si>
    <t xml:space="preserve">Signature_b3ae6a9a-6067-4d8c-8ddb-5aed4731ba0d</t>
  </si>
  <si>
    <t xml:space="preserve">D:20251126181315-06'00'</t>
  </si>
  <si>
    <t xml:space="preserve">Signature_13f4f78c-b1f9-493a-960e-e8129d1fdc11</t>
  </si>
  <si>
    <t xml:space="preserve">D:20251126181326-06'00'</t>
  </si>
  <si>
    <t xml:space="preserve">Signature_fbfa7de1-bdf3-4f99-8ee5-8549001b6b44</t>
  </si>
  <si>
    <t xml:space="preserve">D:20251126181226-06'00'</t>
  </si>
  <si>
    <t xml:space="preserve">Signature_71b2252d-9ebb-4664-b59b-1c17e571e0db</t>
  </si>
  <si>
    <t xml:space="preserve">D:20251126181222-06'00'</t>
  </si>
  <si>
    <t xml:space="preserve">Signature_7ec4ecbf-c438-4c63-8973-121455514255</t>
  </si>
  <si>
    <t xml:space="preserve">D:20251126181400-06'00'</t>
  </si>
  <si>
    <t xml:space="preserve">Signature_0ef80fdd-a07a-49d1-a6db-fe42d757ba1f</t>
  </si>
  <si>
    <t xml:space="preserve">D:20251126181437-06'00'</t>
  </si>
  <si>
    <t xml:space="preserve">Signature_d2d81232-392b-4b70-bf35-84fcadca5454</t>
  </si>
  <si>
    <t xml:space="preserve">D:20251126181427-06'00'</t>
  </si>
  <si>
    <t xml:space="preserve">Signature_ad9d4cc5-7404-496e-b635-6fbed2cb339b</t>
  </si>
  <si>
    <t xml:space="preserve">D:20251126181452-06'00'</t>
  </si>
  <si>
    <t xml:space="preserve">123 0 obj</t>
  </si>
  <si>
    <t xml:space="preserve">Signature_581e14c1-dcc0-4a38-a59f-d52cdf83f081</t>
  </si>
  <si>
    <t xml:space="preserve">D:20251126181524-06'00'</t>
  </si>
  <si>
    <t xml:space="preserve">Signature_da605dcc-0feb-46ee-af1a-b963d4e4d261</t>
  </si>
  <si>
    <t xml:space="preserve">D:20251126181535-06'00'</t>
  </si>
  <si>
    <t xml:space="preserve">Signature_800bcdd1-c61d-4ec5-b1e4-0bde9d290344</t>
  </si>
  <si>
    <t xml:space="preserve">D:20251126181545-06'00'</t>
  </si>
  <si>
    <t xml:space="preserve">Signature_6594edf2-e1b4-47f0-81d5-f71649895469</t>
  </si>
  <si>
    <t xml:space="preserve">D:20251126181600-06'00'</t>
  </si>
  <si>
    <t xml:space="preserve">Signature_4ecbea54-f658-4559-ab35-88409767175d</t>
  </si>
  <si>
    <t xml:space="preserve">D:20251126181609-06'00'</t>
  </si>
  <si>
    <t xml:space="preserve">Signature_dd5f040f-bfcc-446d-90b2-ec0a60303695</t>
  </si>
  <si>
    <t xml:space="preserve">D:20251126181510-06'00'</t>
  </si>
  <si>
    <t xml:space="preserve">Signature_d02cd0bc-6bf1-4221-a8cc-0680b8da33a4</t>
  </si>
  <si>
    <t xml:space="preserve">D:20251126181505-06'00'</t>
  </si>
  <si>
    <t xml:space="preserve">Signature_d8b9650a-b286-4c2b-b544-be913c1385a3</t>
  </si>
  <si>
    <t xml:space="preserve">D:20251126181646-06'00'</t>
  </si>
  <si>
    <t xml:space="preserve">281 0 obj</t>
  </si>
  <si>
    <t xml:space="preserve">Signature_733b5d13-06e9-47a6-886d-1d78f00b4a73</t>
  </si>
  <si>
    <t xml:space="preserve">D:20251126181658-06'00'</t>
  </si>
  <si>
    <t xml:space="preserve">Signature_9f6e9008-d984-40e0-840a-23dc9f6566c1</t>
  </si>
  <si>
    <t xml:space="preserve">D:20251126181721-06'00'</t>
  </si>
  <si>
    <t xml:space="preserve">Signature_6fc94017-a76a-4153-8c80-e16d4b444bea</t>
  </si>
  <si>
    <t xml:space="preserve">D:20251126181710-06'00'</t>
  </si>
  <si>
    <t xml:space="preserve">Signature_4b535132-cd98-4ac4-9aba-74340273e2d1</t>
  </si>
  <si>
    <t xml:space="preserve">D:20251126181806-06'00'</t>
  </si>
  <si>
    <t xml:space="preserve">Signature_aa9aa0ca-5086-4a0f-b75e-8e2902e4529b</t>
  </si>
  <si>
    <t xml:space="preserve">D:20251126181816-06'00'</t>
  </si>
  <si>
    <t xml:space="preserve">Signature_02727f7c-20f6-4870-b4eb-26a8d0741a78</t>
  </si>
  <si>
    <t xml:space="preserve">D:20251126181824-06'00'</t>
  </si>
  <si>
    <t xml:space="preserve">Signature_83c9bd83-70c9-4aef-9e83-3beb1447b164</t>
  </si>
  <si>
    <t xml:space="preserve">D:20251126181834-06'00'</t>
  </si>
  <si>
    <t xml:space="preserve">Signature_0b237d30-adf3-4062-a020-3daef21cb6d8</t>
  </si>
  <si>
    <t xml:space="preserve">D:20251126181847-06'00'</t>
  </si>
  <si>
    <t xml:space="preserve">Signature_ea79b651-ed9d-4603-b506-1174e467fa3f</t>
  </si>
  <si>
    <t xml:space="preserve">D:20251126181856-06'00'</t>
  </si>
  <si>
    <t xml:space="preserve">Signature_edf0f1db-eed7-4373-9534-b1438e6d1dfa</t>
  </si>
  <si>
    <t xml:space="preserve">D:20251126181906-06'00'</t>
  </si>
  <si>
    <t xml:space="preserve">Signature_fa3a0eba-5486-4286-83d6-83a6b7d3f2eb</t>
  </si>
  <si>
    <t xml:space="preserve">D:20251126181747-06'00'</t>
  </si>
  <si>
    <t xml:space="preserve">Signature_5fc4e019-d08e-4647-8a93-f3f0a382edcf</t>
  </si>
  <si>
    <t xml:space="preserve">D:20251126181754-06'00'</t>
  </si>
  <si>
    <t xml:space="preserve">Signature_1f88b8c8-c886-4fd9-a92e-47c94e730f1f</t>
  </si>
  <si>
    <t xml:space="preserve">D:20251126181738-06'00'</t>
  </si>
  <si>
    <t xml:space="preserve">Signature_48a1191f-06d3-4ca6-92a7-bb014571fc9a</t>
  </si>
  <si>
    <t xml:space="preserve">D:20251126181935-06'00'</t>
  </si>
  <si>
    <t xml:space="preserve">Signature_3fdc8624-8669-4f91-8e23-122e4f1f0c06</t>
  </si>
  <si>
    <t xml:space="preserve">D:20251126181946-06'00'</t>
  </si>
  <si>
    <t xml:space="preserve">Signature_4482826b-6ccd-46d4-becd-747a2e84b578</t>
  </si>
  <si>
    <t xml:space="preserve">D:20251126182009-06'00'</t>
  </si>
  <si>
    <t xml:space="preserve">Signature_86ffb133-c0d9-4d64-9503-6386e9a03f54</t>
  </si>
  <si>
    <t xml:space="preserve">D:20251126181958-06'00'</t>
  </si>
  <si>
    <t xml:space="preserve">Signature_135730ce-2cfd-4e53-a9ba-7131c6a0cd40</t>
  </si>
  <si>
    <t xml:space="preserve">D:20251126182023-06'00'</t>
  </si>
  <si>
    <t xml:space="preserve">Signature_cde2f187-20be-485b-a7c4-031133ed40f9</t>
  </si>
  <si>
    <t xml:space="preserve">D:20251126182122-06'00'</t>
  </si>
  <si>
    <t xml:space="preserve">Signature_a9616fba-0a5e-48db-945a-9adde0cd5d55</t>
  </si>
  <si>
    <t xml:space="preserve">D:20251126182132-06'00'</t>
  </si>
  <si>
    <t xml:space="preserve">Signature_1da0ae53-c269-4bab-a8ae-790a6bd88ae7</t>
  </si>
  <si>
    <t xml:space="preserve">D:20251126182144-06'00'</t>
  </si>
  <si>
    <t xml:space="preserve">Signature_216ba9fe-f225-4be3-8ea3-4e64455e66de</t>
  </si>
  <si>
    <t xml:space="preserve">D:20251126182154-06'00'</t>
  </si>
  <si>
    <t xml:space="preserve">Signature_dcaab9e3-0046-4c30-a120-3e9c48264d39</t>
  </si>
  <si>
    <t xml:space="preserve">D:20251126182203-06'00'</t>
  </si>
  <si>
    <t xml:space="preserve">Signature_96ad4057-af7b-4600-a25b-a59bc7e97c8f</t>
  </si>
  <si>
    <t xml:space="preserve">D:20251126182213-06'00'</t>
  </si>
  <si>
    <t xml:space="preserve">Signature_a47f0615-3076-4f4d-8071-15e049cf8b47</t>
  </si>
  <si>
    <t xml:space="preserve">D:20251126182221-06'00'</t>
  </si>
  <si>
    <t xml:space="preserve">Signature_a443db9c-c28e-4dee-aef8-0fe0460c8982</t>
  </si>
  <si>
    <t xml:space="preserve">D:20251126182102-06'00'</t>
  </si>
  <si>
    <t xml:space="preserve">Signature_5e76856e-fec8-4f13-8e69-795f9552605a</t>
  </si>
  <si>
    <t xml:space="preserve">D:20251126182110-06'00'</t>
  </si>
  <si>
    <t xml:space="preserve">Signature_c4c0f560-99b4-4df0-a721-9e6b37df9b83</t>
  </si>
  <si>
    <t xml:space="preserve">D:20251126182051-06'00'</t>
  </si>
  <si>
    <t xml:space="preserve">Signature_0eba2930-c4b4-40b5-8268-7b322f565411</t>
  </si>
  <si>
    <t xml:space="preserve">D:20251126182248-06'00'</t>
  </si>
  <si>
    <t xml:space="preserve">Signature_6381bd49-7595-40de-9640-1ebc050197c7</t>
  </si>
  <si>
    <t xml:space="preserve">D:20251126182300-06'00'</t>
  </si>
  <si>
    <t xml:space="preserve">Signature_e808154f-7e35-487f-99e1-12e82aeba967</t>
  </si>
  <si>
    <t xml:space="preserve">D:20251126182326-06'00'</t>
  </si>
  <si>
    <t xml:space="preserve">Signature_c3746b38-d085-42b5-bc35-8c8d2ee1100a</t>
  </si>
  <si>
    <t xml:space="preserve">D:20251126182314-06'00'</t>
  </si>
  <si>
    <t xml:space="preserve">Signature_b6742112-0eb0-4109-a71a-eaf1d8d2f27d</t>
  </si>
  <si>
    <t xml:space="preserve">D:20251126182339-06'00'</t>
  </si>
  <si>
    <t xml:space="preserve">Signature_3440bec7-aecb-41b9-8598-bf6a2d15131b</t>
  </si>
  <si>
    <t xml:space="preserve">D:20251126182430-06'00'</t>
  </si>
  <si>
    <t xml:space="preserve">Signature_f7a65ba7-3009-46bb-850a-2f643019daae</t>
  </si>
  <si>
    <t xml:space="preserve">D:20251126182439-06'00'</t>
  </si>
  <si>
    <t xml:space="preserve">Signature_df24a4d5-cbe8-48a4-9044-6e58446361a3</t>
  </si>
  <si>
    <t xml:space="preserve">D:20251126182448-06'00'</t>
  </si>
  <si>
    <t xml:space="preserve">Signature_175622fb-97fe-4635-a0dd-39efeefcdc7b</t>
  </si>
  <si>
    <t xml:space="preserve">D:20251126182457-06'00'</t>
  </si>
  <si>
    <t xml:space="preserve">Signature_6668876c-f634-47a0-a417-215603d031d1</t>
  </si>
  <si>
    <t xml:space="preserve">D:20251126182505-06'00'</t>
  </si>
  <si>
    <t xml:space="preserve">Signature_6357a80b-db8c-47c5-aebc-966e9224ad12</t>
  </si>
  <si>
    <t xml:space="preserve">D:20251126182514-06'00'</t>
  </si>
  <si>
    <t xml:space="preserve">Signature_5ab3cae9-eb0c-45e1-947e-0443d86f183e</t>
  </si>
  <si>
    <t xml:space="preserve">D:20251126182522-06'00'</t>
  </si>
  <si>
    <t xml:space="preserve">Signature_c5e0dc66-5127-49a2-87a5-e4a4eb03df58</t>
  </si>
  <si>
    <t xml:space="preserve">D:20251126182411-06'00'</t>
  </si>
  <si>
    <t xml:space="preserve">Signature_bcd1359e-6ebb-45d5-acc4-787eb5eb38ca</t>
  </si>
  <si>
    <t xml:space="preserve">D:20251126182418-06'00'</t>
  </si>
  <si>
    <t xml:space="preserve">Signature_8937f684-5b6c-41b7-a6cd-f8296a449f8d</t>
  </si>
  <si>
    <t xml:space="preserve">D:20251126182404-06'00'</t>
  </si>
  <si>
    <t xml:space="preserve">Signature_0219ac17-9a3d-4992-b812-aae55b0e2257</t>
  </si>
  <si>
    <t xml:space="preserve">D:20251126182550-06'00'</t>
  </si>
  <si>
    <t xml:space="preserve">Signature_462a77f2-fb38-4f26-9fa5-53be4f55080a</t>
  </si>
  <si>
    <t xml:space="preserve">D:20251126182602-06'00'</t>
  </si>
  <si>
    <t xml:space="preserve">Signature_c35a39bd-6a3d-4277-b370-68ec061b8715</t>
  </si>
  <si>
    <t xml:space="preserve">D:20251126182624-06'00'</t>
  </si>
  <si>
    <t xml:space="preserve">Signature_73c79fb4-7673-4fdf-9783-130cc1235a08</t>
  </si>
  <si>
    <t xml:space="preserve">D:20251126182615-06'00'</t>
  </si>
  <si>
    <t xml:space="preserve">Signature_c245b50f-ee95-4ca4-92a0-dc7dafd313f5</t>
  </si>
  <si>
    <t xml:space="preserve">D:20251126182638-06'00'</t>
  </si>
  <si>
    <t xml:space="preserve">Signature_f6c00811-ebef-47a7-a0ec-55b8ac559087</t>
  </si>
  <si>
    <t xml:space="preserve">D:20251126182723-06'00'</t>
  </si>
  <si>
    <t xml:space="preserve">Signature_833352a9-0df7-4069-842f-7dfd2970d1eb</t>
  </si>
  <si>
    <t xml:space="preserve">D:20251126182732-06'00'</t>
  </si>
  <si>
    <t xml:space="preserve">Signature_e8428749-b752-4f80-8a2b-12dd3bacd1cc</t>
  </si>
  <si>
    <t xml:space="preserve">D:20251126182739-06'00'</t>
  </si>
  <si>
    <t xml:space="preserve">Signature_af18fc7c-bb44-4c62-a8fa-6f56317c1621</t>
  </si>
  <si>
    <t xml:space="preserve">D:20251126182749-06'00'</t>
  </si>
  <si>
    <t xml:space="preserve">Signature_590fa5d3-35ce-48fb-8cfb-9e997b3a7cc2</t>
  </si>
  <si>
    <t xml:space="preserve">D:20251126182756-06'00'</t>
  </si>
  <si>
    <t xml:space="preserve">Signature_0b930aeb-6f0b-4072-9b29-6d3bd68f3aa9</t>
  </si>
  <si>
    <t xml:space="preserve">D:20251126182804-06'00'</t>
  </si>
  <si>
    <t xml:space="preserve">Signature_9b4049bf-bc9e-411b-88b5-c74fee856e7e</t>
  </si>
  <si>
    <t xml:space="preserve">D:20251126182815-06'00'</t>
  </si>
  <si>
    <t xml:space="preserve">Signature_f0b29b6c-7a2e-4922-a2f2-f446ef24b034</t>
  </si>
  <si>
    <t xml:space="preserve">D:20251126182704-06'00'</t>
  </si>
  <si>
    <t xml:space="preserve">Signature_c0467222-d49c-4dab-92ef-1ed027147efe</t>
  </si>
  <si>
    <t xml:space="preserve">D:20251126182709-06'00'</t>
  </si>
  <si>
    <t xml:space="preserve">Signature_f63e5544-618b-457c-b770-93b33b0394ac</t>
  </si>
  <si>
    <t xml:space="preserve">D:20251126182656-06'00'</t>
  </si>
  <si>
    <t xml:space="preserve">Signature_9ffd8ee4-02dc-4f4b-93d1-6feb90125aeb</t>
  </si>
  <si>
    <t xml:space="preserve">D:20251126182844-06'00'</t>
  </si>
  <si>
    <t xml:space="preserve">Signature_10870e84-8ad5-4cd6-83c9-249ca411d661</t>
  </si>
  <si>
    <t xml:space="preserve">D:20251126182854-06'00'</t>
  </si>
  <si>
    <t xml:space="preserve">Signature_63ea5d1c-ac7f-4a8d-b472-b4897feb4cdd</t>
  </si>
  <si>
    <t xml:space="preserve">D:20251126182917-06'00'</t>
  </si>
  <si>
    <t xml:space="preserve">Signature_a6e66bb6-81c0-409f-8a36-87a87573643c</t>
  </si>
  <si>
    <t xml:space="preserve">D:20251126182906-06'00'</t>
  </si>
  <si>
    <t xml:space="preserve">Signature_7ed9fbc9-ba2b-440e-b337-9678ccb48a43</t>
  </si>
  <si>
    <t xml:space="preserve">D:20251126182928-06'00'</t>
  </si>
  <si>
    <t xml:space="preserve">Signature_2332773a-b1db-4a38-914c-8b80d3ae7545</t>
  </si>
  <si>
    <t xml:space="preserve">D:20251126183016-06'00'</t>
  </si>
  <si>
    <t xml:space="preserve">Signature_5002252f-423b-4310-8ca0-45408410b3b6</t>
  </si>
  <si>
    <t xml:space="preserve">D:20251126183025-06'00'</t>
  </si>
  <si>
    <t xml:space="preserve">Signature_38feb7be-1f14-4fe5-9c97-17fa317d827a</t>
  </si>
  <si>
    <t xml:space="preserve">D:20251126183032-06'00'</t>
  </si>
  <si>
    <t xml:space="preserve">Signature_28355120-9f91-4b50-aa8f-e7a3c867c8fe</t>
  </si>
  <si>
    <t xml:space="preserve">D:20251126183040-06'00'</t>
  </si>
  <si>
    <t xml:space="preserve">Signature_2c84f58e-3aa7-42bc-afba-1e927b984410</t>
  </si>
  <si>
    <t xml:space="preserve">D:20251126183048-06'00'</t>
  </si>
  <si>
    <t xml:space="preserve">Signature_ab38303b-8d27-4cdb-a4e4-f39ee6f0fbb5</t>
  </si>
  <si>
    <t xml:space="preserve">D:20251126183056-06'00'</t>
  </si>
  <si>
    <t xml:space="preserve">Signature_4014184d-3595-4d98-bb57-0196c5f07ae2</t>
  </si>
  <si>
    <t xml:space="preserve">D:20251126183105-06'00'</t>
  </si>
  <si>
    <t xml:space="preserve">Signature_9fa080bd-0f96-4a3a-a2d3-d317cde3e25d</t>
  </si>
  <si>
    <t xml:space="preserve">D:20251126182955-06'00'</t>
  </si>
  <si>
    <t xml:space="preserve">Signature_cc3cbf5f-9315-4ead-b713-d21928d0514d</t>
  </si>
  <si>
    <t xml:space="preserve">D:20251126183006-06'00'</t>
  </si>
  <si>
    <t xml:space="preserve">Signature_3e63316c-2d45-4c8c-806a-7effbf539bbb</t>
  </si>
  <si>
    <t xml:space="preserve">D:20251126182947-06'00'</t>
  </si>
  <si>
    <t xml:space="preserve">Signature_e5a8be2e-d12d-444a-bf51-e77c88c0f9b6</t>
  </si>
  <si>
    <t xml:space="preserve">D:20251126183117-06'00'</t>
  </si>
  <si>
    <t xml:space="preserve">32 0 obj</t>
  </si>
  <si>
    <t xml:space="preserve">Signature_b434cf8d-db04-4c97-92b3-e51b8d4112f8</t>
  </si>
  <si>
    <t xml:space="preserve">D:20251126183145-06'00'</t>
  </si>
  <si>
    <t xml:space="preserve">280 0 obj</t>
  </si>
  <si>
    <t xml:space="preserve">Signature_0f4a6eec-ef77-4495-83ec-2b55ed65de1e</t>
  </si>
  <si>
    <t xml:space="preserve">D:20251126183156-06'00'</t>
  </si>
  <si>
    <t xml:space="preserve">Signature_81c7363f-f0e4-49d7-80d6-fd19cf69e082</t>
  </si>
  <si>
    <t xml:space="preserve">D:20251126183218-06'00'</t>
  </si>
  <si>
    <t xml:space="preserve">Signature_cee8b9c2-5aa4-48da-9c16-f49462a537cc</t>
  </si>
  <si>
    <t xml:space="preserve">D:20251126183208-06'00'</t>
  </si>
  <si>
    <t xml:space="preserve">Signature_ba91aa6c-d842-4352-b00a-97fc5fb57114</t>
  </si>
  <si>
    <t xml:space="preserve">D:20251126183231-06'00'</t>
  </si>
  <si>
    <t xml:space="preserve">Signature_04eb79df-94d3-4613-8a08-5e6b79f87fd1</t>
  </si>
  <si>
    <t xml:space="preserve">D:20251126183315-06'00'</t>
  </si>
  <si>
    <t xml:space="preserve">Signature_bfa3db82-7247-494c-adbd-cb9935c92a36</t>
  </si>
  <si>
    <t xml:space="preserve">D:20251126183322-06'00'</t>
  </si>
  <si>
    <t xml:space="preserve">Signature_227b42fc-ddac-4557-bbae-a8688cb44508</t>
  </si>
  <si>
    <t xml:space="preserve">D:20251126183330-06'00'</t>
  </si>
  <si>
    <t xml:space="preserve">Signature_9ecde8ff-4dee-4f45-891a-cbd521efe55d</t>
  </si>
  <si>
    <t xml:space="preserve">D:20251126183339-06'00'</t>
  </si>
  <si>
    <t xml:space="preserve">Signature_79065815-9d81-471f-bd0a-2e61267e2ca8</t>
  </si>
  <si>
    <t xml:space="preserve">D:20251126183347-06'00'</t>
  </si>
  <si>
    <t xml:space="preserve">Signature_ec21aa10-f168-4a9b-b577-ae3fc70210d8</t>
  </si>
  <si>
    <t xml:space="preserve">D:20251126183355-06'00'</t>
  </si>
  <si>
    <t xml:space="preserve">Signature_25adf544-39c2-4cc9-8a30-144128eac9ba</t>
  </si>
  <si>
    <t xml:space="preserve">D:20251126183404-06'00'</t>
  </si>
  <si>
    <t xml:space="preserve">Signature_8b531816-d5c3-421c-bf43-bdc2f641b39d</t>
  </si>
  <si>
    <t xml:space="preserve">D:20251126183258-06'00'</t>
  </si>
  <si>
    <t xml:space="preserve">Signature_b72f74ed-18ab-4712-905c-ade75cdad096</t>
  </si>
  <si>
    <t xml:space="preserve">D:20251126183304-06'00'</t>
  </si>
  <si>
    <t xml:space="preserve">Signature_0bd780d7-7705-4b5d-9c47-a942e67db852</t>
  </si>
  <si>
    <t xml:space="preserve">D:20251126183250-06'00'</t>
  </si>
  <si>
    <t xml:space="preserve">Signature_22d853ad-1fc1-46ec-a263-c0d8005eafeb</t>
  </si>
  <si>
    <t xml:space="preserve">D:20251126183417-06'00'</t>
  </si>
  <si>
    <t xml:space="preserve">Signature_bb5328db-ee54-4f0e-8baf-88e06f5ab733</t>
  </si>
  <si>
    <t xml:space="preserve">D:20251126183446-06'00'</t>
  </si>
  <si>
    <t xml:space="preserve">Signature_95379c95-c534-495a-9e59-6e2bde3d786f</t>
  </si>
  <si>
    <t xml:space="preserve">D:20251126183457-06'00'</t>
  </si>
  <si>
    <t xml:space="preserve">Signature_23a197fd-fcca-4d4f-a207-2f003116b49c</t>
  </si>
  <si>
    <t xml:space="preserve">D:20251126183517-06'00'</t>
  </si>
  <si>
    <t xml:space="preserve">Signature_2a02fc4f-d57e-4d96-8c8f-669353e49bef</t>
  </si>
  <si>
    <t xml:space="preserve">D:20251126183509-06'00'</t>
  </si>
  <si>
    <t xml:space="preserve">Signature_3db5d5ed-28c2-49b9-9a0b-5ae76a989083</t>
  </si>
  <si>
    <t xml:space="preserve">D:20251126183528-06'00'</t>
  </si>
  <si>
    <t xml:space="preserve">Signature_9720e28b-05ab-48a2-9904-59a065854849</t>
  </si>
  <si>
    <t xml:space="preserve">D:20251126183606-06'00'</t>
  </si>
  <si>
    <t xml:space="preserve">Signature_017c7c2a-14a3-4393-9ad2-c791e71c711f</t>
  </si>
  <si>
    <t xml:space="preserve">D:20251126183615-06'00'</t>
  </si>
  <si>
    <t xml:space="preserve">Signature_1cc9a136-a397-4523-9f41-a3c6a651be4e</t>
  </si>
  <si>
    <t xml:space="preserve">D:20251126183623-06'00'</t>
  </si>
  <si>
    <t xml:space="preserve">Signature_2b9b7c93-c276-435a-8e02-39adde4fc23b</t>
  </si>
  <si>
    <t xml:space="preserve">D:20251126183632-06'00'</t>
  </si>
  <si>
    <t xml:space="preserve">Signature_4b62bb0e-b3c0-4649-a9cb-58920a060f17</t>
  </si>
  <si>
    <t xml:space="preserve">D:20251126183639-06'00'</t>
  </si>
  <si>
    <t xml:space="preserve">Signature_26b887cd-67bc-4d70-bc55-9f48105e9caf</t>
  </si>
  <si>
    <t xml:space="preserve">D:20251126183647-06'00'</t>
  </si>
  <si>
    <t xml:space="preserve">Signature_e1832b23-a1bf-4b99-bc77-95967c40f647</t>
  </si>
  <si>
    <t xml:space="preserve">D:20251126183655-06'00'</t>
  </si>
  <si>
    <t xml:space="preserve">Signature_7649c958-53de-4f96-a748-8bd9723d8e77</t>
  </si>
  <si>
    <t xml:space="preserve">D:20251126183550-06'00'</t>
  </si>
  <si>
    <t xml:space="preserve">Signature_36b75f70-55a0-4ddf-9071-a9eadd2da6bf</t>
  </si>
  <si>
    <t xml:space="preserve">D:20251126183555-06'00'</t>
  </si>
  <si>
    <t xml:space="preserve">Signature_8aa23000-0eab-4eac-baa0-3cb07c3535a2</t>
  </si>
  <si>
    <t xml:space="preserve">D:20251126183543-06'00'</t>
  </si>
  <si>
    <t xml:space="preserve">Signature_dd2e4bc0-328b-4fe6-99cd-4ccab89dec59</t>
  </si>
  <si>
    <t xml:space="preserve">D:20251126183708-06'00'</t>
  </si>
  <si>
    <t xml:space="preserve">Signature_b4920dbf-4a76-48aa-949a-12aa1c992077</t>
  </si>
  <si>
    <t xml:space="preserve">D:20251126183738-06'00'</t>
  </si>
  <si>
    <t xml:space="preserve">Signature_b5f4a139-435f-41ac-b9de-10a847082ab6</t>
  </si>
  <si>
    <t xml:space="preserve">D:20251126183749-06'00'</t>
  </si>
  <si>
    <t xml:space="preserve">Signature_0f8de598-0ae8-4040-a6bd-ce1a5b864a3c</t>
  </si>
  <si>
    <t xml:space="preserve">D:20251126183808-06'00'</t>
  </si>
  <si>
    <t xml:space="preserve">Signature_49e81170-43f9-4435-9c45-3b02d6997f04</t>
  </si>
  <si>
    <t xml:space="preserve">D:20251126183800-06'00'</t>
  </si>
  <si>
    <t xml:space="preserve">Signature_7b3a0155-3a60-4406-a34b-3db69bb4f6d5</t>
  </si>
  <si>
    <t xml:space="preserve">D:20251126183820-06'00'</t>
  </si>
  <si>
    <t xml:space="preserve">Signature_afe20d96-c6cc-4d6c-9382-8967b754eecb</t>
  </si>
  <si>
    <t xml:space="preserve">D:20251126183857-06'00'</t>
  </si>
  <si>
    <t xml:space="preserve">Signature_d819278c-6596-4abc-ae7b-a319a597c90f</t>
  </si>
  <si>
    <t xml:space="preserve">D:20251126183905-06'00'</t>
  </si>
  <si>
    <t xml:space="preserve">Signature_008c468b-8feb-4459-817e-9ec0cca391d4</t>
  </si>
  <si>
    <t xml:space="preserve">D:20251126183913-06'00'</t>
  </si>
  <si>
    <t xml:space="preserve">Signature_8f3f164b-a755-4199-9171-9ba9a1b23a7c</t>
  </si>
  <si>
    <t xml:space="preserve">D:20251126183920-06'00'</t>
  </si>
  <si>
    <t xml:space="preserve">Signature_a43d281c-03dc-45a7-adff-869decae71eb</t>
  </si>
  <si>
    <t xml:space="preserve">D:20251126183926-06'00'</t>
  </si>
  <si>
    <t xml:space="preserve">Signature_7ac8ca46-44f5-4872-846e-4bba980a4b06</t>
  </si>
  <si>
    <t xml:space="preserve">D:20251126183933-06'00'</t>
  </si>
  <si>
    <t xml:space="preserve">Signature_2b01abb3-23a9-4b8b-9a5a-552f2999285a</t>
  </si>
  <si>
    <t xml:space="preserve">D:20251126183941-06'00'</t>
  </si>
  <si>
    <t xml:space="preserve">Signature_161a6134-c57e-4f54-85fd-d14f0df4d6b9</t>
  </si>
  <si>
    <t xml:space="preserve">D:20251126183841-06'00'</t>
  </si>
  <si>
    <t xml:space="preserve">Signature_28803e3b-8fb5-4f7a-ab7f-7f445662851b</t>
  </si>
  <si>
    <t xml:space="preserve">D:20251126183846-06'00'</t>
  </si>
  <si>
    <t xml:space="preserve">Signature_e49f10a1-8a8b-4b16-a469-81517a6677e9</t>
  </si>
  <si>
    <t xml:space="preserve">D:20251126183832-06'00'</t>
  </si>
  <si>
    <t xml:space="preserve">Signature_e41bc682-c68f-4b06-bf26-b654262d5fc8</t>
  </si>
  <si>
    <t xml:space="preserve">D:20251126164715-06'00'</t>
  </si>
  <si>
    <t xml:space="preserve">Signature_cb4a61bd-61c3-41cc-8a57-9ea34f002342</t>
  </si>
  <si>
    <t xml:space="preserve">D:20251126164729-06'00'</t>
  </si>
  <si>
    <t xml:space="preserve">Signature_e5c11c71-561a-43a3-a88c-3015e52b1f44</t>
  </si>
  <si>
    <t xml:space="preserve">D:20251126164656-06'00'</t>
  </si>
  <si>
    <t xml:space="preserve">Signature_c7c5c5a2-26b0-49c6-a098-64364f3f2a3d</t>
  </si>
  <si>
    <t xml:space="preserve">D:20251126164633-06'00'</t>
  </si>
  <si>
    <t xml:space="preserve">27 0 obj</t>
  </si>
  <si>
    <t xml:space="preserve">Signature_4405b068-0ae9-4e75-855a-2af2b40f9ab8</t>
  </si>
  <si>
    <t xml:space="preserve">D:20251126164500-06'00'</t>
  </si>
  <si>
    <t xml:space="preserve">25 0 obj</t>
  </si>
  <si>
    <t xml:space="preserve">Signature_a3d5b1a5-b8da-4fa8-bae1-768c11fee9a2</t>
  </si>
  <si>
    <t xml:space="preserve">D:20251126164835-06'00'</t>
  </si>
  <si>
    <t xml:space="preserve">Signature_8a45e23e-27ed-48e6-b82b-f455037e5609</t>
  </si>
  <si>
    <t xml:space="preserve">D:20251126164850-06'00'</t>
  </si>
  <si>
    <t xml:space="preserve">Signature_0ff9d86b-9d9f-45c5-97d0-442450b3cf79</t>
  </si>
  <si>
    <t xml:space="preserve">D:20251126164823-06'00'</t>
  </si>
  <si>
    <t xml:space="preserve">Signature_b5e7e871-3427-4a46-9055-d2b920d04af0</t>
  </si>
  <si>
    <t xml:space="preserve">D:20251126164917-06'00'</t>
  </si>
  <si>
    <t xml:space="preserve">Signature_23f8e80f-f9b7-4d27-8f3a-04a3a32c247d</t>
  </si>
  <si>
    <t xml:space="preserve">D:20251126164904-06'00'</t>
  </si>
  <si>
    <t xml:space="preserve">Signature_d1670b05-1a81-47ff-9b6a-f5997b86af4e</t>
  </si>
  <si>
    <t xml:space="preserve">D:20251126165032-06'00'</t>
  </si>
  <si>
    <t xml:space="preserve">Signature_14f11fcf-e28b-422d-a4a3-ef2eca7b7416</t>
  </si>
  <si>
    <t xml:space="preserve">D:20251126165043-06'00'</t>
  </si>
  <si>
    <t xml:space="preserve">Signature_c138ca15-3be1-43f4-af7e-4cdc1c8986a1</t>
  </si>
  <si>
    <t xml:space="preserve">D:20251126165020-06'00'</t>
  </si>
  <si>
    <t xml:space="preserve">Signature_14a9023a-7cfe-46dd-998a-dd8c59134dd0</t>
  </si>
  <si>
    <t xml:space="preserve">D:20251126165007-06'00'</t>
  </si>
  <si>
    <t xml:space="preserve">Signature_063f81ee-2f0b-4065-aba5-47a3b17ce818</t>
  </si>
  <si>
    <t xml:space="preserve">D:20251126164949-06'00'</t>
  </si>
  <si>
    <t xml:space="preserve">Signature_fdf7a43c-26f9-41dc-8aa4-fdb8a55deecd</t>
  </si>
  <si>
    <t xml:space="preserve">D:20251126165112-06'00'</t>
  </si>
  <si>
    <t xml:space="preserve">Signature_ecf51cc4-d96d-41c9-bb7a-9888ec29e29a</t>
  </si>
  <si>
    <t xml:space="preserve">D:20251126165123-06'00'</t>
  </si>
  <si>
    <t xml:space="preserve">Signature_38b5ff9d-5b41-4869-a4db-2d3e4fdd4446</t>
  </si>
  <si>
    <t xml:space="preserve">D:20251126165133-06'00'</t>
  </si>
  <si>
    <t xml:space="preserve">Signature_0cb06674-6431-4e69-928f-ac0df37e1ba8</t>
  </si>
  <si>
    <t xml:space="preserve">D:20251126165200-06'00'</t>
  </si>
  <si>
    <t xml:space="preserve">Signature_4784efdc-95c8-431e-b1d9-4947e50d1bed</t>
  </si>
  <si>
    <t xml:space="preserve">D:20251126165145-06'00'</t>
  </si>
  <si>
    <t xml:space="preserve">Signature_e997ca3d-c707-4c36-b5ea-678ff9e0ec1c</t>
  </si>
  <si>
    <t xml:space="preserve">D:20251126165317-06'00'</t>
  </si>
  <si>
    <t xml:space="preserve">Signature_098f23eb-355c-48f1-b7d1-db99355f0517</t>
  </si>
  <si>
    <t xml:space="preserve">D:20251126165326-06'00'</t>
  </si>
  <si>
    <t xml:space="preserve">Signature_f8df6cdf-f6d3-4658-88e7-f917ab1afc5d</t>
  </si>
  <si>
    <t xml:space="preserve">D:20251126165306-06'00'</t>
  </si>
  <si>
    <t xml:space="preserve">Signature_af48f6b2-ea9d-4107-a4a9-e48c548b9f68</t>
  </si>
  <si>
    <t xml:space="preserve">D:20251126165239-06'00'</t>
  </si>
  <si>
    <t xml:space="preserve">Signature_3f1760fa-7326-453a-b5c0-1a1c5181810a</t>
  </si>
  <si>
    <t xml:space="preserve">D:20251126165251-06'00'</t>
  </si>
  <si>
    <t xml:space="preserve">Signature_f468596c-edc8-44e7-adcc-0979c8835492</t>
  </si>
  <si>
    <t xml:space="preserve">D:20251126165352-06'00'</t>
  </si>
  <si>
    <t xml:space="preserve">Signature_9da2e7c6-d665-4bac-b788-7cd5acdb1131</t>
  </si>
  <si>
    <t xml:space="preserve">D:20251126165403-06'00'</t>
  </si>
  <si>
    <t xml:space="preserve">Signature_cc13ca68-f604-48d5-b82d-57459fffafd5</t>
  </si>
  <si>
    <t xml:space="preserve">D:20251126165414-06'00'</t>
  </si>
  <si>
    <t xml:space="preserve">Signature_1542816e-26e2-4ec8-aaea-e5fd71610279</t>
  </si>
  <si>
    <t xml:space="preserve">D:20251126165439-06'00'</t>
  </si>
  <si>
    <t xml:space="preserve">34 0 obj</t>
  </si>
  <si>
    <t xml:space="preserve">Signature_4a35131f-3512-4a91-8735-2dce4d471d59</t>
  </si>
  <si>
    <t xml:space="preserve">D:20251126165428-06'00'</t>
  </si>
  <si>
    <t xml:space="preserve">Signature_32850257-6ee9-4c6e-8a3e-02c273e87044</t>
  </si>
  <si>
    <t xml:space="preserve">D:20251126184008-06'00'</t>
  </si>
  <si>
    <t xml:space="preserve">Signature_693ae53e-2756-4368-ba16-1c3eba0bb1b5</t>
  </si>
  <si>
    <t xml:space="preserve">D:20251126184020-06'00'</t>
  </si>
  <si>
    <t xml:space="preserve">Signature_9874186c-5e1a-444f-be3d-2cc30eda93b3</t>
  </si>
  <si>
    <t xml:space="preserve">D:20251126184031-06'00'</t>
  </si>
  <si>
    <t xml:space="preserve">Signature_9ac07ef7-efbc-4d74-8afc-e89dac38b0af</t>
  </si>
  <si>
    <t xml:space="preserve">D:20251126184112-06'00'</t>
  </si>
  <si>
    <t xml:space="preserve">Signature_1acb599a-d5f5-4172-9eee-e70ed5953f27</t>
  </si>
  <si>
    <t xml:space="preserve">D:20251126184121-06'00'</t>
  </si>
  <si>
    <t xml:space="preserve">Signature_c1649980-2921-40fd-bc01-153c9a092820</t>
  </si>
  <si>
    <t xml:space="preserve">D:20251126184131-06'00'</t>
  </si>
  <si>
    <t xml:space="preserve">Signature_e91a3057-5d23-4299-9de6-eb9ed0dce376</t>
  </si>
  <si>
    <t xml:space="preserve">D:20251126184139-06'00'</t>
  </si>
  <si>
    <t xml:space="preserve">Signature_6e78d7ef-14dc-469c-ac88-d211315cb0df</t>
  </si>
  <si>
    <t xml:space="preserve">D:20251126184102-06'00'</t>
  </si>
  <si>
    <t xml:space="preserve">Signature_24ae0e48-f81e-45a8-a1a7-2b48fcab9158</t>
  </si>
  <si>
    <t xml:space="preserve">D:20251126184049-06'00'</t>
  </si>
  <si>
    <t xml:space="preserve">Signature_7a6b2c31-ac4d-402f-958c-cdb1797dd203</t>
  </si>
  <si>
    <t xml:space="preserve">D:20251126184152-06'00'</t>
  </si>
  <si>
    <t xml:space="preserve">Signature_35630435-3c7e-4664-8b57-c55ee2900e68</t>
  </si>
  <si>
    <t xml:space="preserve">D:20251126184228-06'00'</t>
  </si>
  <si>
    <t xml:space="preserve">Signature_b0af84f3-b4b8-4716-812e-b7d5f2f5977a</t>
  </si>
  <si>
    <t xml:space="preserve">D:20251126184218-06'00'</t>
  </si>
  <si>
    <t xml:space="preserve">Signature_24e0eadc-9b2d-4aa9-b61b-8b4f699c3c6e</t>
  </si>
  <si>
    <t xml:space="preserve">D:20251126184242-06'00'</t>
  </si>
  <si>
    <t xml:space="preserve">Signature_9d824543-49c5-4bfe-8cd4-d365d7acd6e6</t>
  </si>
  <si>
    <t xml:space="preserve">D:20251126184309-06'00'</t>
  </si>
  <si>
    <t xml:space="preserve">Signature_00fe2380-f6b0-4106-8882-5718416855a5</t>
  </si>
  <si>
    <t xml:space="preserve">D:20251126184318-06'00'</t>
  </si>
  <si>
    <t xml:space="preserve">Signature_43d7ec7f-48bf-4859-9951-271c15232c49</t>
  </si>
  <si>
    <t xml:space="preserve">D:20251126184326-06'00'</t>
  </si>
  <si>
    <t xml:space="preserve">Signature_38e05e8f-a6f8-4707-9cfc-e8dc922f9103</t>
  </si>
  <si>
    <t xml:space="preserve">D:20251126184333-06'00'</t>
  </si>
  <si>
    <t xml:space="preserve">Signature_e90d40ce-dafb-4990-8ef3-f2a3149efa7c</t>
  </si>
  <si>
    <t xml:space="preserve">D:20251126184340-06'00'</t>
  </si>
  <si>
    <t xml:space="preserve">Signature_8455c792-324b-45e5-8f64-f1c73dcae504</t>
  </si>
  <si>
    <t xml:space="preserve">D:20251126184257-06'00'</t>
  </si>
  <si>
    <t xml:space="preserve">Signature_daff319e-a48d-483f-9903-654141901af6</t>
  </si>
  <si>
    <t xml:space="preserve">D:20251126184253-06'00'</t>
  </si>
  <si>
    <t xml:space="preserve">Signature_3f5c693a-0631-49ee-9ab6-e6e99b5a3fb6</t>
  </si>
  <si>
    <t xml:space="preserve">D:20251126184413-06'00'</t>
  </si>
  <si>
    <t xml:space="preserve">Signature_a2c77774-b96a-4ac4-9daa-d355aaf929cc</t>
  </si>
  <si>
    <t xml:space="preserve">D:20251126184406-06'00'</t>
  </si>
  <si>
    <t xml:space="preserve">Signature_6f8c0638-8dd6-4339-a4b5-496d689d3adc</t>
  </si>
  <si>
    <t xml:space="preserve">D:20251126184424-06'00'</t>
  </si>
  <si>
    <t xml:space="preserve">Signature_5329c463-cef0-48e0-b18a-6d0530da5893</t>
  </si>
  <si>
    <t xml:space="preserve">D:20251126184452-06'00'</t>
  </si>
  <si>
    <t xml:space="preserve">Signature_cf918c63-0a58-4cd1-922c-f906c052dde3</t>
  </si>
  <si>
    <t xml:space="preserve">D:20251126184500-06'00'</t>
  </si>
  <si>
    <t xml:space="preserve">Signature_908e619c-7240-4240-9050-1c459fa64ce5</t>
  </si>
  <si>
    <t xml:space="preserve">D:20251126184509-06'00'</t>
  </si>
  <si>
    <t xml:space="preserve">Signature_90af81ed-8f96-4162-8074-dfbd96f5b01c</t>
  </si>
  <si>
    <t xml:space="preserve">D:20251126184519-06'00'</t>
  </si>
  <si>
    <t xml:space="preserve">Signature_559e143b-eefe-4761-b0a7-744957b67e8c</t>
  </si>
  <si>
    <t xml:space="preserve">D:20251126184525-06'00'</t>
  </si>
  <si>
    <t xml:space="preserve">Signature_ed13e467-a1f5-43a0-984b-466305d48d8e</t>
  </si>
  <si>
    <t xml:space="preserve">D:20251126184440-06'00'</t>
  </si>
  <si>
    <t xml:space="preserve">Signature_9b186c55-7187-4bbe-a556-d29330f4b607</t>
  </si>
  <si>
    <t xml:space="preserve">D:20251126184434-06'00'</t>
  </si>
  <si>
    <t xml:space="preserve">Signature_c2345c7d-a1e0-4430-9de6-0d8e15c59836</t>
  </si>
  <si>
    <t xml:space="preserve">D:20251126165603-06'00'</t>
  </si>
  <si>
    <t xml:space="preserve">Signature_612ce2a3-14e5-4116-83a0-d991e6dd595a</t>
  </si>
  <si>
    <t xml:space="preserve">D:20251126165613-06'00'</t>
  </si>
  <si>
    <t xml:space="preserve">Signature_33ec584e-9e70-427f-9690-b9a4c43dceb5</t>
  </si>
  <si>
    <t xml:space="preserve">D:20251126165544-06'00'</t>
  </si>
  <si>
    <t xml:space="preserve">Signature_f08da9f6-e8e1-4864-b594-f154ea8c3609</t>
  </si>
  <si>
    <t xml:space="preserve">D:20251126165510-06'00'</t>
  </si>
  <si>
    <t xml:space="preserve">Signature_bc7a10ac-671e-483a-bc42-9cc1000bf03d</t>
  </si>
  <si>
    <t xml:space="preserve">D:20251126165520-06'00'</t>
  </si>
  <si>
    <t xml:space="preserve">Signature_3c37bf30-cace-4b13-bc6e-231843f759a5</t>
  </si>
  <si>
    <t xml:space="preserve">D:20251126165640-06'00'</t>
  </si>
  <si>
    <t xml:space="preserve">Signature_7dc556c9-2613-466a-9469-c6516ec4c39f</t>
  </si>
  <si>
    <t xml:space="preserve">D:20251126165650-06'00'</t>
  </si>
  <si>
    <t xml:space="preserve">Signature_b707aa88-a1d1-4bae-a9f9-a1963e6a19a6</t>
  </si>
  <si>
    <t xml:space="preserve">D:20251126165659-06'00'</t>
  </si>
  <si>
    <t xml:space="preserve">Signature_018f6228-53f4-462f-89c2-ee8c9d689082</t>
  </si>
  <si>
    <t xml:space="preserve">D:20251126165716-06'00'</t>
  </si>
  <si>
    <t xml:space="preserve">Signature_98fb962f-2638-44d4-82f4-4f070d44f81b</t>
  </si>
  <si>
    <t xml:space="preserve">D:20251126184550-06'00'</t>
  </si>
  <si>
    <t xml:space="preserve">Signature_05dbb387-b17c-4407-ae4a-ddebc3e64ec4</t>
  </si>
  <si>
    <t xml:space="preserve">D:20251126184602-06'00'</t>
  </si>
  <si>
    <t xml:space="preserve">Signature_69ad6f07-c43b-41ac-8f95-107a6bb624bb</t>
  </si>
  <si>
    <t xml:space="preserve">D:20251126184637-06'00'</t>
  </si>
  <si>
    <t xml:space="preserve">Signature_438d070d-8297-4e0b-a6a0-6dbe48c4bc91</t>
  </si>
  <si>
    <t xml:space="preserve">D:20251126184644-06'00'</t>
  </si>
  <si>
    <t xml:space="preserve">Signature_02118bdf-892b-483e-aed6-c963fecbc3f7</t>
  </si>
  <si>
    <t xml:space="preserve">D:20251126184652-06'00'</t>
  </si>
  <si>
    <t xml:space="preserve">Signature_086ec6e4-a3a3-4f1c-b52f-82c005d7b8b3</t>
  </si>
  <si>
    <t xml:space="preserve">D:20251126184629-06'00'</t>
  </si>
  <si>
    <t xml:space="preserve">Signature_d0f2ddf2-1559-4df0-80d9-da4b112e4199</t>
  </si>
  <si>
    <t xml:space="preserve">D:20251126184615-06'00'</t>
  </si>
  <si>
    <t xml:space="preserve">Signature_48ba8943-1722-40ef-98cf-b842047db661</t>
  </si>
  <si>
    <t xml:space="preserve">D:20251126184708-06'00'</t>
  </si>
  <si>
    <t xml:space="preserve">Signature_5a1c7ac8-3d5a-4d14-aba1-54753c5ed2df</t>
  </si>
  <si>
    <t xml:space="preserve">D:20251126184737-06'00'</t>
  </si>
  <si>
    <t xml:space="preserve">Signature_c79907e6-f97d-45f1-bfee-47da012ee075</t>
  </si>
  <si>
    <t xml:space="preserve">D:20251126184800-06'00'</t>
  </si>
  <si>
    <t xml:space="preserve">Signature_e1d726ad-5829-4b89-8470-e158dac73d6b</t>
  </si>
  <si>
    <t xml:space="preserve">D:20251126184749-06'00'</t>
  </si>
  <si>
    <t xml:space="preserve">Signature_296f90ca-af86-48d0-aefc-8909105c5ee0</t>
  </si>
  <si>
    <t xml:space="preserve">D:20251126184812-06'00'</t>
  </si>
  <si>
    <t xml:space="preserve">Signature_2196e8c0-0ad0-48e3-a570-d7bf24e8b07a</t>
  </si>
  <si>
    <t xml:space="preserve">D:20251126184839-06'00'</t>
  </si>
  <si>
    <t xml:space="preserve">Signature_44e0a1d4-5ecb-43b8-9eaa-79334b7db880</t>
  </si>
  <si>
    <t xml:space="preserve">D:20251126185032-06'00'</t>
  </si>
  <si>
    <t xml:space="preserve">Signature_fe1bd14e-2721-4fbf-85f2-75c073d63446</t>
  </si>
  <si>
    <t xml:space="preserve">D:20251126185021-06'00'</t>
  </si>
  <si>
    <t xml:space="preserve">Signature_44e3ffaa-c317-4e40-827c-84797d6a64bb</t>
  </si>
  <si>
    <t xml:space="preserve">D:20251126165803-06'00'</t>
  </si>
  <si>
    <t xml:space="preserve">Signature_77ec258a-3ada-498c-ae47-798fffb233a7</t>
  </si>
  <si>
    <t xml:space="preserve">D:20251126165813-06'00'</t>
  </si>
  <si>
    <t xml:space="preserve">Signature_e9c17de9-275e-4b01-a36e-52e5a4a65e05</t>
  </si>
  <si>
    <t xml:space="preserve">D:20251126165752-06'00'</t>
  </si>
  <si>
    <t xml:space="preserve">Signature_d616c28e-c4ff-47f6-93b6-5adc57329457</t>
  </si>
  <si>
    <t xml:space="preserve">D:20251126165740-06'00'</t>
  </si>
  <si>
    <t xml:space="preserve">Signature_4551a377-2803-4b1c-b912-613d46b561c4</t>
  </si>
  <si>
    <t xml:space="preserve">D:20251126165858-06'00'</t>
  </si>
  <si>
    <t xml:space="preserve">Signature_175b8191-fcbf-4705-96a6-88a0525d6799</t>
  </si>
  <si>
    <t xml:space="preserve">D:20251126165908-06'00'</t>
  </si>
  <si>
    <t xml:space="preserve">Signature_c9d4a6f0-b455-4e46-93d5-e679337ccb9c</t>
  </si>
  <si>
    <t xml:space="preserve">D:20251126165919-06'00'</t>
  </si>
  <si>
    <t xml:space="preserve">Signature_3fa4ca1d-2cb4-4e37-849f-dfa3a1e9db7b</t>
  </si>
  <si>
    <t xml:space="preserve">D:20251126170018-06'00'</t>
  </si>
  <si>
    <t xml:space="preserve">Signature_cbdde4de-c32e-4169-949d-e9a106027255</t>
  </si>
  <si>
    <t xml:space="preserve">D:20251126170026-06'00'</t>
  </si>
  <si>
    <t xml:space="preserve">Signature_b0c090cc-b5dc-4cfd-a6fd-a8fd8270c825</t>
  </si>
  <si>
    <t xml:space="preserve">D:20251126170030-06'00'</t>
  </si>
  <si>
    <t xml:space="preserve">Signature_5a7d7b7e-c803-457e-a8c1-af2572bcd8ae</t>
  </si>
  <si>
    <t xml:space="preserve">D:20251126165935-06'00'</t>
  </si>
  <si>
    <t xml:space="preserve">Signature_c50c7032-231c-497a-8fbc-f00e873ab90a</t>
  </si>
  <si>
    <t xml:space="preserve">D:20251126170118-06'00'</t>
  </si>
  <si>
    <t xml:space="preserve">Signature_ebc0047f-452a-46b4-b24c-3da61d652ca7</t>
  </si>
  <si>
    <t xml:space="preserve">D:20251126170127-06'00'</t>
  </si>
  <si>
    <t xml:space="preserve">Signature_eb9eb48f-4874-413c-b882-e8361e2d74c1</t>
  </si>
  <si>
    <t xml:space="preserve">D:20251126170109-06'00'</t>
  </si>
  <si>
    <t xml:space="preserve">Signature_28d934fd-35c8-46f4-b202-c7fc85661bf5</t>
  </si>
  <si>
    <t xml:space="preserve">D:20251126170154-06'00'</t>
  </si>
  <si>
    <t xml:space="preserve">48 0 obj</t>
  </si>
  <si>
    <t xml:space="preserve">Signature_f477cec4-e33c-4fc8-887e-adad6cef28ba</t>
  </si>
  <si>
    <t xml:space="preserve">D:20251126170203-06'00'</t>
  </si>
  <si>
    <t xml:space="preserve">Signature_168ba4b9-af1d-4c50-8ded-f9e5eda2cd51</t>
  </si>
  <si>
    <t xml:space="preserve">D:20251126170212-06'00'</t>
  </si>
  <si>
    <t xml:space="preserve">Signature_8c1f3a33-b0ef-4188-ade2-6b5352e1da78</t>
  </si>
  <si>
    <t xml:space="preserve">D:20251126170234-06'00'</t>
  </si>
  <si>
    <t xml:space="preserve">Signature_b17855d1-5517-4aed-868c-3e41d46c487f</t>
  </si>
  <si>
    <t xml:space="preserve">D:20251126170224-06'00'</t>
  </si>
  <si>
    <t xml:space="preserve">Signature_c73a6450-c7e7-4444-b715-811dbb66b32f</t>
  </si>
  <si>
    <t xml:space="preserve">D:20251126185302-06'00'</t>
  </si>
  <si>
    <t xml:space="preserve">Signature_f79d33c1-86a7-4994-a608-a561081d520e</t>
  </si>
  <si>
    <t xml:space="preserve">D:20251126185314-06'00'</t>
  </si>
  <si>
    <t xml:space="preserve">Signature_bcb44863-4a07-40b3-ae0f-25469625be3a</t>
  </si>
  <si>
    <t xml:space="preserve">D:20251126185423-06'00'</t>
  </si>
  <si>
    <t xml:space="preserve">Signature_11b0046a-68bc-44c8-961a-227d4b50243c</t>
  </si>
  <si>
    <t xml:space="preserve">D:20251126185403-06'00'</t>
  </si>
  <si>
    <t xml:space="preserve">Signature_9d5702d0-cbf2-45e1-9404-110ce9f3f11f</t>
  </si>
  <si>
    <t xml:space="preserve">D:20251126185326-06'00'</t>
  </si>
  <si>
    <t xml:space="preserve">Signature_69e717cc-41a3-4967-84a5-d10eb6f91c6c</t>
  </si>
  <si>
    <t xml:space="preserve">D:20251126185436-06'00'</t>
  </si>
  <si>
    <t xml:space="preserve">Signature_ff1d11b9-c1aa-4f93-857d-6280f1628498</t>
  </si>
  <si>
    <t xml:space="preserve">D:20251126185518-06'00'</t>
  </si>
  <si>
    <t xml:space="preserve">Signature_709ac42e-60c5-495e-84a4-d70126285b4e</t>
  </si>
  <si>
    <t xml:space="preserve">D:20251126185540-06'00'</t>
  </si>
  <si>
    <t xml:space="preserve">Signature_2e61418a-cb7c-4f63-9f6a-f524eba13d85</t>
  </si>
  <si>
    <t xml:space="preserve">D:20251126185531-06'00'</t>
  </si>
  <si>
    <t xml:space="preserve">Signature_616b7ff8-7892-4fc6-9e99-809e8db4dc20</t>
  </si>
  <si>
    <t xml:space="preserve">D:20251126185556-06'00'</t>
  </si>
  <si>
    <t xml:space="preserve">Signature_c1a161e3-9135-4b10-a0a9-a4a461cc5319</t>
  </si>
  <si>
    <t xml:space="preserve">D:20251126170327-06'00'</t>
  </si>
  <si>
    <t xml:space="preserve">Signature_db080754-aa64-4256-8977-ebc786caece0</t>
  </si>
  <si>
    <t xml:space="preserve">D:20251126170336-06'00'</t>
  </si>
  <si>
    <t xml:space="preserve">Signature_e757c90d-f376-4c2d-a127-c6bcca5ea6a9</t>
  </si>
  <si>
    <t xml:space="preserve">D:20251126170316-06'00'</t>
  </si>
  <si>
    <t xml:space="preserve">Signature_1ba6e959-ef3d-40b0-9d48-7de137cef421</t>
  </si>
  <si>
    <t xml:space="preserve">D:20251126170303-06'00'</t>
  </si>
  <si>
    <t xml:space="preserve">Signature_5c805ee2-8716-41b4-9288-b1294eb032f3</t>
  </si>
  <si>
    <t xml:space="preserve">D:20251126170401-06'00'</t>
  </si>
  <si>
    <t xml:space="preserve">Signature_5e00e765-e4f2-4461-9bde-251b1227be83</t>
  </si>
  <si>
    <t xml:space="preserve">D:20251126170420-06'00'</t>
  </si>
  <si>
    <t xml:space="preserve">Signature_e99f3425-87ee-43f6-b97c-3247f4fcf2d7</t>
  </si>
  <si>
    <t xml:space="preserve">D:20251126170434-06'00'</t>
  </si>
  <si>
    <t xml:space="preserve">Signature_e0a58b09-b4ac-49c3-a17b-19e8397f959a</t>
  </si>
  <si>
    <t xml:space="preserve">D:20251126170447-06'00'</t>
  </si>
  <si>
    <t xml:space="preserve">Signature_a2523859-eb94-4854-84c8-d61045b5a909</t>
  </si>
  <si>
    <t xml:space="preserve">D:20251126170532-06'00'</t>
  </si>
  <si>
    <t xml:space="preserve">Signature_1785722e-8a08-4258-a246-55a87adf4e03</t>
  </si>
  <si>
    <t xml:space="preserve">D:20251126170542-06'00'</t>
  </si>
  <si>
    <t xml:space="preserve">Signature_a8e6e15b-8202-45fe-bb92-fc4e3e40147c</t>
  </si>
  <si>
    <t xml:space="preserve">D:20251126170522-06'00'</t>
  </si>
  <si>
    <t xml:space="preserve">Signature_e0fffcd8-e867-41cd-9883-d0c13bcf2a28</t>
  </si>
  <si>
    <t xml:space="preserve">D:20251126170510-06'00'</t>
  </si>
  <si>
    <t xml:space="preserve">Signature_23a948fc-c125-4fe1-a794-f638d23eb9e0</t>
  </si>
  <si>
    <t xml:space="preserve">D:20251126185620-06'00'</t>
  </si>
  <si>
    <t xml:space="preserve">Signature_d55b3939-fb1a-4948-83c5-eda0f6b17d43</t>
  </si>
  <si>
    <t xml:space="preserve">D:20251126185640-06'00'</t>
  </si>
  <si>
    <t xml:space="preserve">Signature_052a042d-b772-44b1-aaf4-21650cf0ae46</t>
  </si>
  <si>
    <t xml:space="preserve">D:20251126185733-06'00'</t>
  </si>
  <si>
    <t xml:space="preserve">Signature_87a0591e-09e8-4b72-8904-ad2be799d282</t>
  </si>
  <si>
    <t xml:space="preserve">D:20251126185702-06'00'</t>
  </si>
  <si>
    <t xml:space="preserve">Signature_3ffb425e-a8f0-4041-a8d5-cfd998e13386</t>
  </si>
  <si>
    <t xml:space="preserve">D:20251126185711-06'00'</t>
  </si>
  <si>
    <t xml:space="preserve">Signature_b06feaf2-4055-491f-a334-4c5cea52ddb3</t>
  </si>
  <si>
    <t xml:space="preserve">D:20251126185721-06'00'</t>
  </si>
  <si>
    <t xml:space="preserve">Signature_5669edbd-8b26-4e5b-a98c-0c5b46e8af29</t>
  </si>
  <si>
    <t xml:space="preserve">D:20251126185650-06'00'</t>
  </si>
  <si>
    <t xml:space="preserve">Signature_76948c38-7f25-4141-a4be-49dd56da06ec</t>
  </si>
  <si>
    <t xml:space="preserve">D:20251126185747-06'00'</t>
  </si>
  <si>
    <t xml:space="preserve">Signature_d64a7765-9b18-4e2a-a037-8cc0a0bd1fe8</t>
  </si>
  <si>
    <t xml:space="preserve">D:20251126170602-06'00'</t>
  </si>
  <si>
    <t xml:space="preserve">Signature_aea730a0-8bff-4a97-aeb4-3cd4e4274ba7</t>
  </si>
  <si>
    <t xml:space="preserve">D:20251126170612-06'00'</t>
  </si>
  <si>
    <t xml:space="preserve">Signature_f46a0c48-85cd-48fa-864d-cece1af8fea6</t>
  </si>
  <si>
    <t xml:space="preserve">D:20251126170622-06'00'</t>
  </si>
  <si>
    <t xml:space="preserve">Signature_0ebb0ec9-7fa1-4683-8305-400d7902a182</t>
  </si>
  <si>
    <t xml:space="preserve">D:20251126170633-06'00'</t>
  </si>
  <si>
    <t xml:space="preserve">Signature_8427aeef-f2dc-4a8f-b7b6-4d8ac6162c56</t>
  </si>
  <si>
    <t xml:space="preserve">D:20251126185811-06'00'</t>
  </si>
  <si>
    <t xml:space="preserve">Signature_407a6d3a-fb45-463f-8bb1-d8b247c8f3ee</t>
  </si>
  <si>
    <t xml:space="preserve">D:20251126185824-06'00'</t>
  </si>
  <si>
    <t xml:space="preserve">Signature_3261a104-847b-42b3-a41b-ca63b2c0018e</t>
  </si>
  <si>
    <t xml:space="preserve">D:20251126185857-06'00'</t>
  </si>
  <si>
    <t xml:space="preserve">Signature_206fd912-cd21-4866-89cc-b545d37ad7d1</t>
  </si>
  <si>
    <t xml:space="preserve">D:20251126185907-06'00'</t>
  </si>
  <si>
    <t xml:space="preserve">Signature_d838648f-54f0-450f-b703-18e6481e29bc</t>
  </si>
  <si>
    <t xml:space="preserve">D:20251126185920-06'00'</t>
  </si>
  <si>
    <t xml:space="preserve">Signature_b6aa652e-4286-40b5-bd9e-46c4ef132f1c</t>
  </si>
  <si>
    <t xml:space="preserve">D:20251126185848-06'00'</t>
  </si>
  <si>
    <t xml:space="preserve">Signature_83fe333e-1c98-4f10-85c4-7e4a8bd8dd65</t>
  </si>
  <si>
    <t xml:space="preserve">D:20251126185837-06'00'</t>
  </si>
  <si>
    <t xml:space="preserve">Signature_8291e792-3355-4a6f-81bb-fccbd24210b0</t>
  </si>
  <si>
    <t xml:space="preserve">D:20251126185947-06'00'</t>
  </si>
  <si>
    <t xml:space="preserve">Signature_3b6290c5-d4b7-4a6e-8fc1-65677be0c343</t>
  </si>
  <si>
    <t xml:space="preserve">D:20251126190007-06'00'</t>
  </si>
  <si>
    <t xml:space="preserve">Signature_3a30bc43-3bd6-4a54-b321-6d94ce2cd940</t>
  </si>
  <si>
    <t xml:space="preserve">D:20251126185958-06'00'</t>
  </si>
  <si>
    <t xml:space="preserve">Signature_8e583d64-1524-4e2a-aa02-da5f8e7c018f</t>
  </si>
  <si>
    <t xml:space="preserve">D:20251126190033-06'00'</t>
  </si>
  <si>
    <t xml:space="preserve">Signature_5cddd7cb-451e-4c84-a2fe-689d948fe31c</t>
  </si>
  <si>
    <t xml:space="preserve">D:20251126190045-06'00'</t>
  </si>
  <si>
    <t xml:space="preserve">Signature_2ab9c0be-55ea-46fb-8d1b-62b9ce1ce42c</t>
  </si>
  <si>
    <t xml:space="preserve">D:20251126190122-06'00'</t>
  </si>
  <si>
    <t xml:space="preserve">Signature_eac658db-43d3-40d0-a1ee-3a9b11b271b7</t>
  </si>
  <si>
    <t xml:space="preserve">D:20251126190111-06'00'</t>
  </si>
  <si>
    <t xml:space="preserve">Signature_1f5fffb4-8f11-4104-8d84-32293061906a</t>
  </si>
  <si>
    <t xml:space="preserve">D:20251126190059-06'00'</t>
  </si>
  <si>
    <t xml:space="preserve">Signature_1bb69da1-f624-4e22-88c0-1582d51b5fd9</t>
  </si>
  <si>
    <t xml:space="preserve">D:20251126190145-06'00'</t>
  </si>
  <si>
    <t xml:space="preserve">Signature_05f313ee-fb57-4b07-a81a-5729989b5e55</t>
  </si>
  <si>
    <t xml:space="preserve">D:20251126190155-06'00'</t>
  </si>
  <si>
    <t xml:space="preserve">Signature_857aa300-ae43-4893-9ecd-665adcc7507f</t>
  </si>
  <si>
    <t xml:space="preserve">D:20251126190216-06'00'</t>
  </si>
  <si>
    <t xml:space="preserve">Signature_3cddbef4-d9d6-4f12-9cd9-4999a7f187e3</t>
  </si>
  <si>
    <t xml:space="preserve">D:20251126190223-06'00'</t>
  </si>
  <si>
    <t xml:space="preserve">Signature_fa4b8a37-33b0-4f5c-adbd-688c0ada67ce</t>
  </si>
  <si>
    <t xml:space="preserve">D:20251126190206-06'00'</t>
  </si>
  <si>
    <t xml:space="preserve">Signature_57e27f5b-aeb5-4bda-9d9a-b6ab335f4401</t>
  </si>
  <si>
    <t xml:space="preserve">D:20251126190243-06'00'</t>
  </si>
  <si>
    <t xml:space="preserve">Signature_85a8e4d3-9ca7-4382-8a5c-8eb47170cb1a</t>
  </si>
  <si>
    <t xml:space="preserve">D:20251126190255-06'00'</t>
  </si>
  <si>
    <t xml:space="preserve">Signature_ee4a765f-bcad-4889-9c69-2f4346bdf29c</t>
  </si>
  <si>
    <t xml:space="preserve">D:20251126190322-06'00'</t>
  </si>
  <si>
    <t xml:space="preserve">Signature_9fb24d3d-40c0-42f1-a68e-bc073f429a54</t>
  </si>
  <si>
    <t xml:space="preserve">D:20251126190318-06'00'</t>
  </si>
  <si>
    <t xml:space="preserve">Signature_c00b1690-7c9d-441c-ba27-b2cdcac9c45b</t>
  </si>
  <si>
    <t xml:space="preserve">D:20251126190306-06'00'</t>
  </si>
  <si>
    <t xml:space="preserve">Signature_57035d14-a499-4383-a40e-ce549ba486b5</t>
  </si>
  <si>
    <t xml:space="preserve">D:20251126190351-06'00'</t>
  </si>
  <si>
    <t xml:space="preserve">Signature_b0244f7e-2ff2-4541-8acb-8f5f3c393696</t>
  </si>
  <si>
    <t xml:space="preserve">D:20251126190421-06'00'</t>
  </si>
  <si>
    <t xml:space="preserve">Signature_103f6439-629b-46b7-93ab-a7464ed60a64</t>
  </si>
  <si>
    <t xml:space="preserve">D:20251126190428-06'00'</t>
  </si>
  <si>
    <t xml:space="preserve">Signature_47f2a70a-51eb-4957-b157-98bf83359a68</t>
  </si>
  <si>
    <t xml:space="preserve">D:20251126190403-06'00'</t>
  </si>
  <si>
    <t xml:space="preserve">Signature_9aa130fd-9d03-41ca-ba52-3de33e2702f5</t>
  </si>
  <si>
    <t xml:space="preserve">D:20251126190456-06'00'</t>
  </si>
  <si>
    <t xml:space="preserve">Signature_1bc52cb9-707a-459d-a837-2053e9910fa5</t>
  </si>
  <si>
    <t xml:space="preserve">D:20251126190532-06'00'</t>
  </si>
  <si>
    <t xml:space="preserve">Signature_8ea876c7-d5d3-4311-be28-9cdd13bdc9c1</t>
  </si>
  <si>
    <t xml:space="preserve">D:20251126190522-06'00'</t>
  </si>
  <si>
    <t xml:space="preserve">Signature_1dbcc02d-7f0b-4274-b5f2-cd869e70bc03</t>
  </si>
  <si>
    <t xml:space="preserve">D:20251126190515-06'00'</t>
  </si>
  <si>
    <t xml:space="preserve">Signature_18dcbb13-2d3e-45aa-ace7-6f59fd2c3cf6</t>
  </si>
  <si>
    <t xml:space="preserve">D:20251126190557-06'00'</t>
  </si>
  <si>
    <t xml:space="preserve">Signature_3f62e3c1-91bc-4f67-b498-c0d01cd351ea</t>
  </si>
  <si>
    <t xml:space="preserve">D:20251126190622-06'00'</t>
  </si>
  <si>
    <t xml:space="preserve">Signature_7d45c52e-7322-4bdc-831a-bf4eb8bb8908</t>
  </si>
  <si>
    <t xml:space="preserve">D:20251126190615-06'00'</t>
  </si>
  <si>
    <t xml:space="preserve">Signature_600e20d1-7fb2-4b35-a6f1-9db3ef0ad889</t>
  </si>
  <si>
    <t xml:space="preserve">D:20251126190607-06'00'</t>
  </si>
  <si>
    <t xml:space="preserve">Signature_76b7144a-aa94-43bf-828e-10805f49801b</t>
  </si>
  <si>
    <t xml:space="preserve">D:20251126190642-06'00'</t>
  </si>
  <si>
    <t xml:space="preserve">Signature_ae58f54a-bc12-471d-a11d-9bd69a99418d</t>
  </si>
  <si>
    <t xml:space="preserve">D:20251126190703-06'00'</t>
  </si>
  <si>
    <t xml:space="preserve">Signature_5369319f-f0a9-45ac-a003-77f45dd95c4c</t>
  </si>
  <si>
    <t xml:space="preserve">D:20251126190652-06'00'</t>
  </si>
  <si>
    <t xml:space="preserve">sig_count</t>
  </si>
  <si>
    <t xml:space="preserve">unique_signers</t>
  </si>
  <si>
    <t xml:space="preserve">subfilters</t>
  </si>
  <si>
    <t xml:space="preserve">any_later_after_sig</t>
  </si>
  <si>
    <t xml:space="preserve">later_count</t>
  </si>
  <si>
    <t xml:space="preserve">min_coverage_pct</t>
  </si>
  <si>
    <t xml:space="preserve">max_coverage_pct</t>
  </si>
  <si>
    <t xml:space="preserve">avg_coverage_pct</t>
  </si>
  <si>
    <t xml:space="preserve">unique_v_objs</t>
  </si>
  <si>
    <t xml:space="preserve">widget_pages_count</t>
  </si>
  <si>
    <t xml:space="preserve">field_vs_chrono_mismatch</t>
  </si>
  <si>
    <t xml:space="preserve">revs_before_first_sig</t>
  </si>
  <si>
    <t xml:space="preserve">revs_after_last_esol_sig</t>
  </si>
  <si>
    <t xml:space="preserve">Janzen, Lisa; Minnesota Court Records Online (MCRO) Watermark</t>
  </si>
  <si>
    <t xml:space="preserve">Browne, Michael; Mercurio, Danielle; Minnesota Court Records Online (MCRO) Watermark</t>
  </si>
  <si>
    <t xml:space="preserve">/ETSI.CAdES.detached; /adbe.pkcs7.detached</t>
  </si>
  <si>
    <t xml:space="preserve">Dayton Klein, Julia; Minnesota Court Records Online (MCRO) Watermark</t>
  </si>
  <si>
    <t xml:space="preserve">sig1_name</t>
  </si>
  <si>
    <t xml:space="preserve">sig1_sign_time</t>
  </si>
  <si>
    <t xml:space="preserve">sig1_signed_bytes</t>
  </si>
  <si>
    <t xml:space="preserve">sig2_name</t>
  </si>
  <si>
    <t xml:space="preserve">sig2_sign_time</t>
  </si>
  <si>
    <t xml:space="preserve">sig2_signed_bytes</t>
  </si>
  <si>
    <t xml:space="preserve">sig3_name</t>
  </si>
  <si>
    <t xml:space="preserve">sig3_sign_time</t>
  </si>
  <si>
    <t xml:space="preserve">sig3_signed_bytes</t>
  </si>
  <si>
    <t xml:space="preserve">2025-11-26 17:46:52</t>
  </si>
  <si>
    <t xml:space="preserve">[0 - 210719], [227105 - 232652]</t>
  </si>
  <si>
    <t xml:space="preserve">2025-11-26 17:47:21</t>
  </si>
  <si>
    <t xml:space="preserve">[0 - 314045], [330431 - 334914]</t>
  </si>
  <si>
    <t xml:space="preserve">2021-08-31 10:06:19</t>
  </si>
  <si>
    <t xml:space="preserve">[0 - 129996], [137690 - 157669]</t>
  </si>
  <si>
    <t xml:space="preserve">2025-11-26 17:47:31</t>
  </si>
  <si>
    <t xml:space="preserve">[0 - 354061], [370447 - 375490]</t>
  </si>
  <si>
    <t xml:space="preserve">2022-02-01 12:10:09</t>
  </si>
  <si>
    <t xml:space="preserve">[0 - 163153], [173205 - 182888]</t>
  </si>
  <si>
    <t xml:space="preserve">2025-11-26 17:47:09</t>
  </si>
  <si>
    <t xml:space="preserve">[0 - 340309], [356695 - 361786]</t>
  </si>
  <si>
    <t xml:space="preserve">2025-11-26 17:47:57</t>
  </si>
  <si>
    <t xml:space="preserve">[0 - 84991], [101377 - 105849]</t>
  </si>
  <si>
    <t xml:space="preserve">2025-11-26 17:47:46</t>
  </si>
  <si>
    <t xml:space="preserve">[0 - 130451], [146837 - 151812]</t>
  </si>
  <si>
    <t xml:space="preserve">2025-11-26 17:49:14</t>
  </si>
  <si>
    <t xml:space="preserve">[0 - 1157673], [1174059 - 1182673]</t>
  </si>
  <si>
    <t xml:space="preserve">2025-11-26 17:49:27</t>
  </si>
  <si>
    <t xml:space="preserve">[0 - 432742], [449128 - 454205]</t>
  </si>
  <si>
    <t xml:space="preserve">2025-11-26 17:49:38</t>
  </si>
  <si>
    <t xml:space="preserve">[0 - 172394], [188780 - 197313]</t>
  </si>
  <si>
    <t xml:space="preserve">2025-11-26 17:48:20</t>
  </si>
  <si>
    <t xml:space="preserve">[0 - 212320], [228706 - 233840]</t>
  </si>
  <si>
    <t xml:space="preserve">2025-11-26 17:48:32</t>
  </si>
  <si>
    <t xml:space="preserve">[0 - 217682], [234068 - 242646]</t>
  </si>
  <si>
    <t xml:space="preserve">2025-11-26 17:48:46</t>
  </si>
  <si>
    <t xml:space="preserve">[0 - 218701], [235087 - 239814]</t>
  </si>
  <si>
    <t xml:space="preserve">2025-11-26 17:48:59</t>
  </si>
  <si>
    <t xml:space="preserve">[0 - 795531], [811917 - 816996]</t>
  </si>
  <si>
    <t xml:space="preserve">2025-11-26 17:49:53</t>
  </si>
  <si>
    <t xml:space="preserve">[0 - 242024], [258410 - 262935]</t>
  </si>
  <si>
    <t xml:space="preserve">2025-11-26 17:50:27</t>
  </si>
  <si>
    <t xml:space="preserve">[0 - 210722], [227108 - 232657]</t>
  </si>
  <si>
    <t xml:space="preserve">2025-11-26 17:50:56</t>
  </si>
  <si>
    <t xml:space="preserve">[0 - 313933], [330319 - 334802]</t>
  </si>
  <si>
    <t xml:space="preserve">2025-11-26 17:51:05</t>
  </si>
  <si>
    <t xml:space="preserve">[0 - 354058], [370444 - 375485]</t>
  </si>
  <si>
    <t xml:space="preserve">2025-11-26 17:50:42</t>
  </si>
  <si>
    <t xml:space="preserve">[0 - 340308], [356694 - 361787]</t>
  </si>
  <si>
    <t xml:space="preserve">2025-11-26 17:51:24</t>
  </si>
  <si>
    <t xml:space="preserve">[0 - 84990], [101376 - 105848]</t>
  </si>
  <si>
    <t xml:space="preserve">2025-11-26 17:51:38</t>
  </si>
  <si>
    <t xml:space="preserve">[0 - 130450], [146836 - 151810]</t>
  </si>
  <si>
    <t xml:space="preserve">2025-11-26 17:53:10</t>
  </si>
  <si>
    <t xml:space="preserve">[0 - 1161589], [1177975 - 1186589]</t>
  </si>
  <si>
    <t xml:space="preserve">2025-11-26 17:53:21</t>
  </si>
  <si>
    <t xml:space="preserve">[0 - 432741], [449127 - 454204]</t>
  </si>
  <si>
    <t xml:space="preserve">2025-11-26 17:51:55</t>
  </si>
  <si>
    <t xml:space="preserve">[0 - 169932], [186318 - 194851]</t>
  </si>
  <si>
    <t xml:space="preserve">2025-11-26 17:52:09</t>
  </si>
  <si>
    <t xml:space="preserve">[0 - 212331], [228717 - 233850]</t>
  </si>
  <si>
    <t xml:space="preserve">2025-11-26 17:52:20</t>
  </si>
  <si>
    <t xml:space="preserve">[0 - 213957], [230343 - 238921]</t>
  </si>
  <si>
    <t xml:space="preserve">2025-11-26 17:52:32</t>
  </si>
  <si>
    <t xml:space="preserve">2025-11-26 17:52:45</t>
  </si>
  <si>
    <t xml:space="preserve">[0 - 795532], [811918 - 816998]</t>
  </si>
  <si>
    <t xml:space="preserve">2025-11-26 17:53:39</t>
  </si>
  <si>
    <t xml:space="preserve">[0 - 242016], [258402 - 262926]</t>
  </si>
  <si>
    <t xml:space="preserve">2025-11-26 17:54:08</t>
  </si>
  <si>
    <t xml:space="preserve">[0 - 210718], [227104 - 232654]</t>
  </si>
  <si>
    <t xml:space="preserve">2025-11-26 17:54:34</t>
  </si>
  <si>
    <t xml:space="preserve">[0 - 314047], [330433 - 334916]</t>
  </si>
  <si>
    <t xml:space="preserve">2025-11-26 17:54:46</t>
  </si>
  <si>
    <t xml:space="preserve">[0 - 354065], [370451 - 375493]</t>
  </si>
  <si>
    <t xml:space="preserve">2025-11-26 17:54:23</t>
  </si>
  <si>
    <t xml:space="preserve">[0 - 340312], [356698 - 361787]</t>
  </si>
  <si>
    <t xml:space="preserve">2025-11-26 17:55:13</t>
  </si>
  <si>
    <t xml:space="preserve">2025-11-26 17:55:01</t>
  </si>
  <si>
    <t xml:space="preserve">2025-11-26 17:56:35</t>
  </si>
  <si>
    <t xml:space="preserve">[0 - 1151478], [1167864 - 1176478]</t>
  </si>
  <si>
    <t xml:space="preserve">2025-11-26 17:56:45</t>
  </si>
  <si>
    <t xml:space="preserve">[0 - 432739], [449125 - 454202]</t>
  </si>
  <si>
    <t xml:space="preserve">2025-11-26 17:55:28</t>
  </si>
  <si>
    <t xml:space="preserve">[0 - 170158], [186544 - 195077]</t>
  </si>
  <si>
    <t xml:space="preserve">2025-11-26 17:55:41</t>
  </si>
  <si>
    <t xml:space="preserve">[0 - 212330], [228716 - 233849]</t>
  </si>
  <si>
    <t xml:space="preserve">2025-11-26 17:55:53</t>
  </si>
  <si>
    <t xml:space="preserve">[0 - 214019], [230405 - 238983]</t>
  </si>
  <si>
    <t xml:space="preserve">2025-11-26 17:56:04</t>
  </si>
  <si>
    <t xml:space="preserve">[0 - 218703], [235089 - 239817]</t>
  </si>
  <si>
    <t xml:space="preserve">2025-11-26 17:56:15</t>
  </si>
  <si>
    <t xml:space="preserve">[0 - 795534], [811920 - 817000]</t>
  </si>
  <si>
    <t xml:space="preserve">2025-11-26 17:57:00</t>
  </si>
  <si>
    <t xml:space="preserve">[0 - 242022], [258408 - 262933]</t>
  </si>
  <si>
    <t xml:space="preserve">2025-11-26 17:57:47</t>
  </si>
  <si>
    <t xml:space="preserve">[0 - 314048], [330434 - 334917]</t>
  </si>
  <si>
    <t xml:space="preserve">2025-11-26 17:57:59</t>
  </si>
  <si>
    <t xml:space="preserve">[0 - 354060], [370446 - 375488]</t>
  </si>
  <si>
    <t xml:space="preserve">2025-11-26 17:57:36</t>
  </si>
  <si>
    <t xml:space="preserve">[0 - 340310], [356696 - 361787]</t>
  </si>
  <si>
    <t xml:space="preserve">2025-11-26 17:58:19</t>
  </si>
  <si>
    <t xml:space="preserve">2025-11-26 17:58:28</t>
  </si>
  <si>
    <t xml:space="preserve">[0 - 130451], [146837 - 151811]</t>
  </si>
  <si>
    <t xml:space="preserve">2025-11-26 17:59:43</t>
  </si>
  <si>
    <t xml:space="preserve">[0 - 432745], [449131 - 454208]</t>
  </si>
  <si>
    <t xml:space="preserve">2025-11-26 17:58:43</t>
  </si>
  <si>
    <t xml:space="preserve">[0 - 171374], [187760 - 196293]</t>
  </si>
  <si>
    <t xml:space="preserve">2025-11-26 17:58:54</t>
  </si>
  <si>
    <t xml:space="preserve">[0 - 212321], [228707 - 233841]</t>
  </si>
  <si>
    <t xml:space="preserve">2025-11-26 17:59:07</t>
  </si>
  <si>
    <t xml:space="preserve">[0 - 215949], [232335 - 240913]</t>
  </si>
  <si>
    <t xml:space="preserve">2025-11-26 17:59:18</t>
  </si>
  <si>
    <t xml:space="preserve">[0 - 218705], [235091 - 239817]</t>
  </si>
  <si>
    <t xml:space="preserve">2025-11-26 17:59:28</t>
  </si>
  <si>
    <t xml:space="preserve">2023-05-02 15:06:43</t>
  </si>
  <si>
    <t xml:space="preserve">[0 - 100288], [112370 - 160570]</t>
  </si>
  <si>
    <t xml:space="preserve">2023-05-02 16:14:51</t>
  </si>
  <si>
    <t xml:space="preserve">[0 - 160968], [167974 - 227058]</t>
  </si>
  <si>
    <t xml:space="preserve">2025-11-26 18:00:22</t>
  </si>
  <si>
    <t xml:space="preserve">[0 - 954855], [971241 - 976546]</t>
  </si>
  <si>
    <t xml:space="preserve">2025-11-26 18:00:48</t>
  </si>
  <si>
    <t xml:space="preserve">[0 - 354062], [370448 - 375489]</t>
  </si>
  <si>
    <t xml:space="preserve">2025-11-26 18:00:37</t>
  </si>
  <si>
    <t xml:space="preserve">2025-11-26 18:01:02</t>
  </si>
  <si>
    <t xml:space="preserve">[0 - 92676], [109062 - 113616]</t>
  </si>
  <si>
    <t xml:space="preserve">2025-11-26 18:01:38</t>
  </si>
  <si>
    <t xml:space="preserve">2025-11-26 18:01:14</t>
  </si>
  <si>
    <t xml:space="preserve">[0 - 130451], [146837 - 151813]</t>
  </si>
  <si>
    <t xml:space="preserve">2025-11-26 18:01:28</t>
  </si>
  <si>
    <t xml:space="preserve">[0 - 129679], [146065 - 150533]</t>
  </si>
  <si>
    <t xml:space="preserve">2025-11-26 18:01:53</t>
  </si>
  <si>
    <t xml:space="preserve">[0 - 172368], [188754 - 197287]</t>
  </si>
  <si>
    <t xml:space="preserve">2025-11-26 18:02:04</t>
  </si>
  <si>
    <t xml:space="preserve">[0 - 212332], [228718 - 233853]</t>
  </si>
  <si>
    <t xml:space="preserve">2025-11-26 18:02:16</t>
  </si>
  <si>
    <t xml:space="preserve">[0 - 216055], [232441 - 241019]</t>
  </si>
  <si>
    <t xml:space="preserve">2025-11-26 18:02:25</t>
  </si>
  <si>
    <t xml:space="preserve">[0 - 218702], [235088 - 239816]</t>
  </si>
  <si>
    <t xml:space="preserve">2025-11-26 18:02:37</t>
  </si>
  <si>
    <t xml:space="preserve">2023-08-21 09:19:34</t>
  </si>
  <si>
    <t xml:space="preserve">[0 - 122115], [129143 - 216918]</t>
  </si>
  <si>
    <t xml:space="preserve">2025-11-26 18:02:49</t>
  </si>
  <si>
    <t xml:space="preserve">[0 - 855041], [871427 - 876399]</t>
  </si>
  <si>
    <t xml:space="preserve">2025-11-26 18:03:01</t>
  </si>
  <si>
    <t xml:space="preserve">[0 - 198659], [215045 - 219519]</t>
  </si>
  <si>
    <t xml:space="preserve">2025-11-26 18:03:14</t>
  </si>
  <si>
    <t xml:space="preserve">[0 - 215445], [231831 - 236337]</t>
  </si>
  <si>
    <t xml:space="preserve">2025-11-26 18:03:43</t>
  </si>
  <si>
    <t xml:space="preserve">[0 - 954854], [971240 - 976546]</t>
  </si>
  <si>
    <t xml:space="preserve">2025-11-26 18:04:08</t>
  </si>
  <si>
    <t xml:space="preserve">[0 - 314049], [330435 - 334918]</t>
  </si>
  <si>
    <t xml:space="preserve">2025-11-26 18:04:17</t>
  </si>
  <si>
    <t xml:space="preserve">[0 - 354060], [370446 - 375487]</t>
  </si>
  <si>
    <t xml:space="preserve">2025-11-26 18:03:57</t>
  </si>
  <si>
    <t xml:space="preserve">[0 - 340312], [356698 - 361789]</t>
  </si>
  <si>
    <t xml:space="preserve">2025-11-26 18:04:44</t>
  </si>
  <si>
    <t xml:space="preserve">[0 - 92691], [109077 - 113631]</t>
  </si>
  <si>
    <t xml:space="preserve">2025-11-26 18:05:09</t>
  </si>
  <si>
    <t xml:space="preserve">2025-11-26 18:05:18</t>
  </si>
  <si>
    <t xml:space="preserve">2025-11-26 18:06:51</t>
  </si>
  <si>
    <t xml:space="preserve">[0 - 432740], [449126 - 454204]</t>
  </si>
  <si>
    <t xml:space="preserve">2025-11-26 18:05:34</t>
  </si>
  <si>
    <t xml:space="preserve">[0 - 168252], [184638 - 193171]</t>
  </si>
  <si>
    <t xml:space="preserve">2025-11-26 18:05:44</t>
  </si>
  <si>
    <t xml:space="preserve">[0 - 212327], [228713 - 233845]</t>
  </si>
  <si>
    <t xml:space="preserve">2025-11-26 18:05:55</t>
  </si>
  <si>
    <t xml:space="preserve">[0 - 241992], [258378 - 267006]</t>
  </si>
  <si>
    <t xml:space="preserve">2025-11-26 18:06:05</t>
  </si>
  <si>
    <t xml:space="preserve">2025-11-26 18:06:18</t>
  </si>
  <si>
    <t xml:space="preserve">[0 - 795534], [811920 - 816997]</t>
  </si>
  <si>
    <t xml:space="preserve">2025-11-26 18:06:31</t>
  </si>
  <si>
    <t xml:space="preserve">[0 - 855041], [871427 - 876401]</t>
  </si>
  <si>
    <t xml:space="preserve">2025-11-26 18:07:06</t>
  </si>
  <si>
    <t xml:space="preserve">[0 - 242015], [258401 - 262925]</t>
  </si>
  <si>
    <t xml:space="preserve">2025-11-26 18:07:41</t>
  </si>
  <si>
    <t xml:space="preserve">[0 - 954854], [971240 - 976549]</t>
  </si>
  <si>
    <t xml:space="preserve">2025-11-26 18:08:06</t>
  </si>
  <si>
    <t xml:space="preserve">[0 - 314050], [330436 - 334919]</t>
  </si>
  <si>
    <t xml:space="preserve">2025-11-26 18:08:21</t>
  </si>
  <si>
    <t xml:space="preserve">[0 - 354061], [370447 - 375488]</t>
  </si>
  <si>
    <t xml:space="preserve">2025-11-26 18:07:55</t>
  </si>
  <si>
    <t xml:space="preserve">2025-11-26 18:08:34</t>
  </si>
  <si>
    <t xml:space="preserve">[0 - 92689], [109075 - 113628]</t>
  </si>
  <si>
    <t xml:space="preserve">2025-11-26 18:08:57</t>
  </si>
  <si>
    <t xml:space="preserve">2025-11-26 18:09:05</t>
  </si>
  <si>
    <t xml:space="preserve">[0 - 130451], [146837 - 151809]</t>
  </si>
  <si>
    <t xml:space="preserve">2025-11-26 18:10:31</t>
  </si>
  <si>
    <t xml:space="preserve">[0 - 1159454], [1175840 - 1184454]</t>
  </si>
  <si>
    <t xml:space="preserve">2025-11-26 18:10:45</t>
  </si>
  <si>
    <t xml:space="preserve">[0 - 432736], [449122 - 454198]</t>
  </si>
  <si>
    <t xml:space="preserve">2025-11-26 18:09:20</t>
  </si>
  <si>
    <t xml:space="preserve">[0 - 171458], [187844 - 196377]</t>
  </si>
  <si>
    <t xml:space="preserve">2025-11-26 18:09:30</t>
  </si>
  <si>
    <t xml:space="preserve">[0 - 212329], [228715 - 233849]</t>
  </si>
  <si>
    <t xml:space="preserve">2025-11-26 18:09:47</t>
  </si>
  <si>
    <t xml:space="preserve">[0 - 241525], [257911 - 266539]</t>
  </si>
  <si>
    <t xml:space="preserve">2025-11-26 18:09:58</t>
  </si>
  <si>
    <t xml:space="preserve">2025-11-26 18:10:07</t>
  </si>
  <si>
    <t xml:space="preserve">[0 - 795532], [811918 - 816997]</t>
  </si>
  <si>
    <t xml:space="preserve">2025-11-26 18:10:21</t>
  </si>
  <si>
    <t xml:space="preserve">[0 - 855043], [871429 - 876402]</t>
  </si>
  <si>
    <t xml:space="preserve">2025-11-26 18:10:56</t>
  </si>
  <si>
    <t xml:space="preserve">2025-11-26 18:11:25</t>
  </si>
  <si>
    <t xml:space="preserve">[0 - 210718], [227104 - 232655]</t>
  </si>
  <si>
    <t xml:space="preserve">2025-11-26 18:11:51</t>
  </si>
  <si>
    <t xml:space="preserve">[0 - 314044], [330430 - 334913]</t>
  </si>
  <si>
    <t xml:space="preserve">2025-11-26 18:12:01</t>
  </si>
  <si>
    <t xml:space="preserve">[0 - 354061], [370447 - 375489]</t>
  </si>
  <si>
    <t xml:space="preserve">2025-11-26 18:11:39</t>
  </si>
  <si>
    <t xml:space="preserve">2025-11-26 18:12:26</t>
  </si>
  <si>
    <t xml:space="preserve">2025-11-26 18:12:22</t>
  </si>
  <si>
    <t xml:space="preserve">[0 - 130450], [146836 - 151808]</t>
  </si>
  <si>
    <t xml:space="preserve">2025-11-26 18:13:38</t>
  </si>
  <si>
    <t xml:space="preserve">[0 - 1155579], [1171965 - 1180579]</t>
  </si>
  <si>
    <t xml:space="preserve">2025-11-26 18:13:48</t>
  </si>
  <si>
    <t xml:space="preserve">[0 - 432735], [449121 - 454198]</t>
  </si>
  <si>
    <t xml:space="preserve">2025-11-26 18:12:40</t>
  </si>
  <si>
    <t xml:space="preserve">[0 - 168379], [184765 - 193298]</t>
  </si>
  <si>
    <t xml:space="preserve">2025-11-26 18:12:55</t>
  </si>
  <si>
    <t xml:space="preserve">2025-11-26 18:13:05</t>
  </si>
  <si>
    <t xml:space="preserve">[0 - 215757], [232143 - 240721]</t>
  </si>
  <si>
    <t xml:space="preserve">2025-11-26 18:13:15</t>
  </si>
  <si>
    <t xml:space="preserve">[0 - 218698], [235084 - 239812]</t>
  </si>
  <si>
    <t xml:space="preserve">2025-11-26 18:13:26</t>
  </si>
  <si>
    <t xml:space="preserve">2025-11-26 18:14:00</t>
  </si>
  <si>
    <t xml:space="preserve">[0 - 242019], [258405 - 262930]</t>
  </si>
  <si>
    <t xml:space="preserve">2025-11-26 18:14:37</t>
  </si>
  <si>
    <t xml:space="preserve">[0 - 354063], [370449 - 375491]</t>
  </si>
  <si>
    <t xml:space="preserve">2025-11-26 18:14:27</t>
  </si>
  <si>
    <t xml:space="preserve">2025-11-26 18:14:52</t>
  </si>
  <si>
    <t xml:space="preserve">[0 - 115266], [131652 - 137273]</t>
  </si>
  <si>
    <t xml:space="preserve">2025-11-26 18:15:10</t>
  </si>
  <si>
    <t xml:space="preserve">2025-11-26 18:15:05</t>
  </si>
  <si>
    <t xml:space="preserve">2025-11-26 18:15:24</t>
  </si>
  <si>
    <t xml:space="preserve">[0 - 171756], [188142 - 196675]</t>
  </si>
  <si>
    <t xml:space="preserve">2025-11-26 18:15:35</t>
  </si>
  <si>
    <t xml:space="preserve">[0 - 212333], [228719 - 233852]</t>
  </si>
  <si>
    <t xml:space="preserve">2025-11-26 18:15:45</t>
  </si>
  <si>
    <t xml:space="preserve">[0 - 215668], [232054 - 240632]</t>
  </si>
  <si>
    <t xml:space="preserve">2025-11-26 18:16:00</t>
  </si>
  <si>
    <t xml:space="preserve">[0 - 218705], [235091 - 239819]</t>
  </si>
  <si>
    <t xml:space="preserve">2025-11-26 18:16:09</t>
  </si>
  <si>
    <t xml:space="preserve">[0 - 795531], [811917 - 816995]</t>
  </si>
  <si>
    <t xml:space="preserve">2025-11-26 18:16:46</t>
  </si>
  <si>
    <t xml:space="preserve">[0 - 293275], [309661 - 315607]</t>
  </si>
  <si>
    <t xml:space="preserve">2025-11-26 18:16:58</t>
  </si>
  <si>
    <t xml:space="preserve">2025-11-26 18:17:21</t>
  </si>
  <si>
    <t xml:space="preserve">[0 - 354063], [370449 - 375489]</t>
  </si>
  <si>
    <t xml:space="preserve">2025-11-26 18:17:10</t>
  </si>
  <si>
    <t xml:space="preserve">2025-11-26 18:17:47</t>
  </si>
  <si>
    <t xml:space="preserve">2025-11-26 18:17:54</t>
  </si>
  <si>
    <t xml:space="preserve">[0 - 130453], [146839 - 151814]</t>
  </si>
  <si>
    <t xml:space="preserve">2025-11-26 18:17:38</t>
  </si>
  <si>
    <t xml:space="preserve">[0 - 129678], [146064 - 150532]</t>
  </si>
  <si>
    <t xml:space="preserve">2025-11-26 18:18:06</t>
  </si>
  <si>
    <t xml:space="preserve">[0 - 168642], [185028 - 193561]</t>
  </si>
  <si>
    <t xml:space="preserve">2025-11-26 18:18:16</t>
  </si>
  <si>
    <t xml:space="preserve">[0 - 212319], [228705 - 233839]</t>
  </si>
  <si>
    <t xml:space="preserve">2025-11-26 18:18:24</t>
  </si>
  <si>
    <t xml:space="preserve">[0 - 217374], [233760 - 242338]</t>
  </si>
  <si>
    <t xml:space="preserve">2025-11-26 18:18:34</t>
  </si>
  <si>
    <t xml:space="preserve">[0 - 218707], [235093 - 239820]</t>
  </si>
  <si>
    <t xml:space="preserve">2025-11-26 18:18:47</t>
  </si>
  <si>
    <t xml:space="preserve">2025-11-26 18:18:56</t>
  </si>
  <si>
    <t xml:space="preserve">[0 - 855045], [871431 - 876405]</t>
  </si>
  <si>
    <t xml:space="preserve">2025-11-26 18:19:06</t>
  </si>
  <si>
    <t xml:space="preserve">2025-11-26 18:19:35</t>
  </si>
  <si>
    <t xml:space="preserve">[0 - 293506], [309892 - 315837]</t>
  </si>
  <si>
    <t xml:space="preserve">2025-11-26 18:19:46</t>
  </si>
  <si>
    <t xml:space="preserve">[0 - 954852], [971238 - 976545]</t>
  </si>
  <si>
    <t xml:space="preserve">2025-11-26 18:20:09</t>
  </si>
  <si>
    <t xml:space="preserve">[0 - 354060], [370446 - 375486]</t>
  </si>
  <si>
    <t xml:space="preserve">2025-11-26 18:19:58</t>
  </si>
  <si>
    <t xml:space="preserve">2025-11-26 18:20:23</t>
  </si>
  <si>
    <t xml:space="preserve">[0 - 92690], [109076 - 113629]</t>
  </si>
  <si>
    <t xml:space="preserve">2025-11-26 18:21:02</t>
  </si>
  <si>
    <t xml:space="preserve">2025-11-26 18:21:10</t>
  </si>
  <si>
    <t xml:space="preserve">2025-11-26 18:20:51</t>
  </si>
  <si>
    <t xml:space="preserve">2025-11-26 18:21:22</t>
  </si>
  <si>
    <t xml:space="preserve">[0 - 168587], [184973 - 193506]</t>
  </si>
  <si>
    <t xml:space="preserve">2025-11-26 18:21:32</t>
  </si>
  <si>
    <t xml:space="preserve">[0 - 212321], [228707 - 233842]</t>
  </si>
  <si>
    <t xml:space="preserve">2025-11-26 18:21:44</t>
  </si>
  <si>
    <t xml:space="preserve">[0 - 214460], [230846 - 239424]</t>
  </si>
  <si>
    <t xml:space="preserve">2025-11-26 18:21:54</t>
  </si>
  <si>
    <t xml:space="preserve">[0 - 218708], [235094 - 239821]</t>
  </si>
  <si>
    <t xml:space="preserve">2025-11-26 18:22:03</t>
  </si>
  <si>
    <t xml:space="preserve">[0 - 795534], [811920 - 816999]</t>
  </si>
  <si>
    <t xml:space="preserve">2025-11-26 18:22:13</t>
  </si>
  <si>
    <t xml:space="preserve">2025-11-26 18:22:21</t>
  </si>
  <si>
    <t xml:space="preserve">[0 - 198663], [215049 - 219523]</t>
  </si>
  <si>
    <t xml:space="preserve">2025-11-26 18:22:48</t>
  </si>
  <si>
    <t xml:space="preserve">[0 - 293378], [309764 - 315708]</t>
  </si>
  <si>
    <t xml:space="preserve">2025-11-26 18:23:00</t>
  </si>
  <si>
    <t xml:space="preserve">[0 - 954853], [971239 - 976544]</t>
  </si>
  <si>
    <t xml:space="preserve">2025-11-26 18:23:26</t>
  </si>
  <si>
    <t xml:space="preserve">2025-11-26 18:23:14</t>
  </si>
  <si>
    <t xml:space="preserve">[0 - 340309], [356695 - 361787]</t>
  </si>
  <si>
    <t xml:space="preserve">2025-11-26 18:23:39</t>
  </si>
  <si>
    <t xml:space="preserve">2025-11-26 18:24:11</t>
  </si>
  <si>
    <t xml:space="preserve">2025-11-26 18:24:18</t>
  </si>
  <si>
    <t xml:space="preserve">[0 - 130450], [146836 - 151809]</t>
  </si>
  <si>
    <t xml:space="preserve">2025-11-26 18:24:04</t>
  </si>
  <si>
    <t xml:space="preserve">[0 - 129681], [146067 - 150535]</t>
  </si>
  <si>
    <t xml:space="preserve">2025-11-26 18:24:30</t>
  </si>
  <si>
    <t xml:space="preserve">[0 - 172533], [188919 - 197452]</t>
  </si>
  <si>
    <t xml:space="preserve">2025-11-26 18:24:39</t>
  </si>
  <si>
    <t xml:space="preserve">2025-11-26 18:24:48</t>
  </si>
  <si>
    <t xml:space="preserve">[0 - 217557], [233943 - 242521]</t>
  </si>
  <si>
    <t xml:space="preserve">2025-11-26 18:24:57</t>
  </si>
  <si>
    <t xml:space="preserve">[0 - 218706], [235092 - 239820]</t>
  </si>
  <si>
    <t xml:space="preserve">2025-11-26 18:25:05</t>
  </si>
  <si>
    <t xml:space="preserve">[0 - 795534], [811920 - 816998]</t>
  </si>
  <si>
    <t xml:space="preserve">2025-11-26 18:25:14</t>
  </si>
  <si>
    <t xml:space="preserve">[0 - 855042], [871428 - 876401]</t>
  </si>
  <si>
    <t xml:space="preserve">2025-11-26 18:25:22</t>
  </si>
  <si>
    <t xml:space="preserve">[0 - 198661], [215047 - 219521]</t>
  </si>
  <si>
    <t xml:space="preserve">2025-11-26 18:25:50</t>
  </si>
  <si>
    <t xml:space="preserve">[0 - 293468], [309854 - 315798]</t>
  </si>
  <si>
    <t xml:space="preserve">2025-11-26 18:26:02</t>
  </si>
  <si>
    <t xml:space="preserve">2025-11-26 18:26:24</t>
  </si>
  <si>
    <t xml:space="preserve">[0 - 354062], [370448 - 375487]</t>
  </si>
  <si>
    <t xml:space="preserve">2025-11-26 18:26:15</t>
  </si>
  <si>
    <t xml:space="preserve">[0 - 340310], [356696 - 361788]</t>
  </si>
  <si>
    <t xml:space="preserve">2025-11-26 18:26:38</t>
  </si>
  <si>
    <t xml:space="preserve">[0 - 92690], [109076 - 113630]</t>
  </si>
  <si>
    <t xml:space="preserve">2025-11-26 18:27:04</t>
  </si>
  <si>
    <t xml:space="preserve">2025-11-26 18:27:09</t>
  </si>
  <si>
    <t xml:space="preserve">2025-11-26 18:26:56</t>
  </si>
  <si>
    <t xml:space="preserve">2025-11-26 18:27:23</t>
  </si>
  <si>
    <t xml:space="preserve">[0 - 168679], [185065 - 193598]</t>
  </si>
  <si>
    <t xml:space="preserve">2025-11-26 18:27:32</t>
  </si>
  <si>
    <t xml:space="preserve">2025-11-26 18:27:39</t>
  </si>
  <si>
    <t xml:space="preserve">[0 - 215113], [231499 - 240077]</t>
  </si>
  <si>
    <t xml:space="preserve">2025-11-26 18:27:49</t>
  </si>
  <si>
    <t xml:space="preserve">[0 - 218707], [235093 - 239821]</t>
  </si>
  <si>
    <t xml:space="preserve">2025-11-26 18:27:56</t>
  </si>
  <si>
    <t xml:space="preserve">2025-11-26 18:28:04</t>
  </si>
  <si>
    <t xml:space="preserve">[0 - 855042], [871428 - 876402]</t>
  </si>
  <si>
    <t xml:space="preserve">2025-11-26 18:28:15</t>
  </si>
  <si>
    <t xml:space="preserve">2025-11-26 18:28:44</t>
  </si>
  <si>
    <t xml:space="preserve">[0 - 293525], [309911 - 315859]</t>
  </si>
  <si>
    <t xml:space="preserve">2025-11-26 18:28:54</t>
  </si>
  <si>
    <t xml:space="preserve">[0 - 954852], [971238 - 976544]</t>
  </si>
  <si>
    <t xml:space="preserve">2025-11-26 18:29:17</t>
  </si>
  <si>
    <t xml:space="preserve">[0 - 354063], [370449 - 375490]</t>
  </si>
  <si>
    <t xml:space="preserve">2025-11-26 18:29:06</t>
  </si>
  <si>
    <t xml:space="preserve">[0 - 340312], [356698 - 361788]</t>
  </si>
  <si>
    <t xml:space="preserve">2025-11-26 18:29:28</t>
  </si>
  <si>
    <t xml:space="preserve">[0 - 92687], [109073 - 113628]</t>
  </si>
  <si>
    <t xml:space="preserve">2025-11-26 18:29:55</t>
  </si>
  <si>
    <t xml:space="preserve">2025-11-26 18:30:06</t>
  </si>
  <si>
    <t xml:space="preserve">2025-11-26 18:29:47</t>
  </si>
  <si>
    <t xml:space="preserve">[0 - 129682], [146068 - 150536]</t>
  </si>
  <si>
    <t xml:space="preserve">2025-11-26 18:30:16</t>
  </si>
  <si>
    <t xml:space="preserve">[0 - 168793], [185179 - 193712]</t>
  </si>
  <si>
    <t xml:space="preserve">2025-11-26 18:30:25</t>
  </si>
  <si>
    <t xml:space="preserve">[0 - 212321], [228707 - 233840]</t>
  </si>
  <si>
    <t xml:space="preserve">2025-11-26 18:30:32</t>
  </si>
  <si>
    <t xml:space="preserve">[0 - 213918], [230304 - 238882]</t>
  </si>
  <si>
    <t xml:space="preserve">2025-11-26 18:30:40</t>
  </si>
  <si>
    <t xml:space="preserve">2025-11-26 18:30:48</t>
  </si>
  <si>
    <t xml:space="preserve">2025-11-26 18:30:56</t>
  </si>
  <si>
    <t xml:space="preserve">[0 - 855039], [871425 - 876399]</t>
  </si>
  <si>
    <t xml:space="preserve">2025-11-26 18:31:05</t>
  </si>
  <si>
    <t xml:space="preserve">[0 - 198664], [215050 - 219524]</t>
  </si>
  <si>
    <t xml:space="preserve">2025-11-26 18:31:17</t>
  </si>
  <si>
    <t xml:space="preserve">[0 - 241409], [257795 - 266282]</t>
  </si>
  <si>
    <t xml:space="preserve">2025-11-26 18:31:45</t>
  </si>
  <si>
    <t xml:space="preserve">[0 - 293799], [310185 - 316127]</t>
  </si>
  <si>
    <t xml:space="preserve">2025-11-26 18:31:56</t>
  </si>
  <si>
    <t xml:space="preserve">[0 - 954854], [971240 - 976544]</t>
  </si>
  <si>
    <t xml:space="preserve">2025-11-26 18:32:18</t>
  </si>
  <si>
    <t xml:space="preserve">2025-11-26 18:32:08</t>
  </si>
  <si>
    <t xml:space="preserve">2025-11-26 18:32:31</t>
  </si>
  <si>
    <t xml:space="preserve">2025-11-26 18:32:58</t>
  </si>
  <si>
    <t xml:space="preserve">2025-11-26 18:33:04</t>
  </si>
  <si>
    <t xml:space="preserve">[0 - 130450], [146836 - 151811]</t>
  </si>
  <si>
    <t xml:space="preserve">2025-11-26 18:32:50</t>
  </si>
  <si>
    <t xml:space="preserve">[0 - 129677], [146063 - 150531]</t>
  </si>
  <si>
    <t xml:space="preserve">2025-11-26 18:33:15</t>
  </si>
  <si>
    <t xml:space="preserve">[0 - 170215], [186601 - 195134]</t>
  </si>
  <si>
    <t xml:space="preserve">2025-11-26 18:33:22</t>
  </si>
  <si>
    <t xml:space="preserve">[0 - 212319], [228705 - 233840]</t>
  </si>
  <si>
    <t xml:space="preserve">2025-11-26 18:33:30</t>
  </si>
  <si>
    <t xml:space="preserve">[0 - 214315], [230701 - 239279]</t>
  </si>
  <si>
    <t xml:space="preserve">2025-11-26 18:33:39</t>
  </si>
  <si>
    <t xml:space="preserve">2025-11-26 18:33:47</t>
  </si>
  <si>
    <t xml:space="preserve">[0 - 795532], [811918 - 816996]</t>
  </si>
  <si>
    <t xml:space="preserve">2025-11-26 18:33:55</t>
  </si>
  <si>
    <t xml:space="preserve">2025-11-26 18:34:04</t>
  </si>
  <si>
    <t xml:space="preserve">[0 - 198660], [215046 - 219520]</t>
  </si>
  <si>
    <t xml:space="preserve">2025-11-26 18:34:17</t>
  </si>
  <si>
    <t xml:space="preserve">[0 - 235148], [251534 - 260021]</t>
  </si>
  <si>
    <t xml:space="preserve">2025-11-26 18:34:46</t>
  </si>
  <si>
    <t xml:space="preserve">[0 - 293581], [309967 - 315911]</t>
  </si>
  <si>
    <t xml:space="preserve">2025-11-26 18:34:57</t>
  </si>
  <si>
    <t xml:space="preserve">2025-11-26 18:35:17</t>
  </si>
  <si>
    <t xml:space="preserve">2025-11-26 18:35:09</t>
  </si>
  <si>
    <t xml:space="preserve">2025-11-26 18:35:28</t>
  </si>
  <si>
    <t xml:space="preserve">2025-11-26 18:35:50</t>
  </si>
  <si>
    <t xml:space="preserve">2025-11-26 18:35:55</t>
  </si>
  <si>
    <t xml:space="preserve">2025-11-26 18:35:43</t>
  </si>
  <si>
    <t xml:space="preserve">[0 - 129684], [146070 - 150538]</t>
  </si>
  <si>
    <t xml:space="preserve">2025-11-26 18:36:06</t>
  </si>
  <si>
    <t xml:space="preserve">[0 - 171948], [188334 - 196867]</t>
  </si>
  <si>
    <t xml:space="preserve">2025-11-26 18:36:15</t>
  </si>
  <si>
    <t xml:space="preserve">[0 - 212319], [228705 - 233838]</t>
  </si>
  <si>
    <t xml:space="preserve">2025-11-26 18:36:23</t>
  </si>
  <si>
    <t xml:space="preserve">[0 - 214365], [230751 - 239329]</t>
  </si>
  <si>
    <t xml:space="preserve">2025-11-26 18:36:32</t>
  </si>
  <si>
    <t xml:space="preserve">2025-11-26 18:36:39</t>
  </si>
  <si>
    <t xml:space="preserve">2025-11-26 18:36:47</t>
  </si>
  <si>
    <t xml:space="preserve">2025-11-26 18:36:55</t>
  </si>
  <si>
    <t xml:space="preserve">2025-11-26 18:37:08</t>
  </si>
  <si>
    <t xml:space="preserve">[0 - 243488], [259874 - 268361]</t>
  </si>
  <si>
    <t xml:space="preserve">2025-11-26 18:37:38</t>
  </si>
  <si>
    <t xml:space="preserve">[0 - 294109], [310495 - 316437]</t>
  </si>
  <si>
    <t xml:space="preserve">2025-11-26 18:37:49</t>
  </si>
  <si>
    <t xml:space="preserve">[0 - 954854], [971240 - 976547]</t>
  </si>
  <si>
    <t xml:space="preserve">2025-11-26 18:38:08</t>
  </si>
  <si>
    <t xml:space="preserve">2025-11-26 18:38:00</t>
  </si>
  <si>
    <t xml:space="preserve">2025-11-26 18:38:20</t>
  </si>
  <si>
    <t xml:space="preserve">[0 - 92689], [109075 - 113629]</t>
  </si>
  <si>
    <t xml:space="preserve">2025-11-26 18:38:41</t>
  </si>
  <si>
    <t xml:space="preserve">2025-11-26 18:38:46</t>
  </si>
  <si>
    <t xml:space="preserve">2025-11-26 18:38:32</t>
  </si>
  <si>
    <t xml:space="preserve">2025-11-26 18:38:57</t>
  </si>
  <si>
    <t xml:space="preserve">[0 - 171019], [187405 - 195938]</t>
  </si>
  <si>
    <t xml:space="preserve">2025-11-26 18:39:05</t>
  </si>
  <si>
    <t xml:space="preserve">2025-11-26 18:39:13</t>
  </si>
  <si>
    <t xml:space="preserve">[0 - 217794], [234180 - 242758]</t>
  </si>
  <si>
    <t xml:space="preserve">2025-11-26 18:39:20</t>
  </si>
  <si>
    <t xml:space="preserve">2025-11-26 18:39:26</t>
  </si>
  <si>
    <t xml:space="preserve">[0 - 795532], [811918 - 816999]</t>
  </si>
  <si>
    <t xml:space="preserve">2025-11-26 18:39:33</t>
  </si>
  <si>
    <t xml:space="preserve">[0 - 855045], [871431 - 876404]</t>
  </si>
  <si>
    <t xml:space="preserve">2025-11-26 18:39:41</t>
  </si>
  <si>
    <t xml:space="preserve">[0 - 198657], [215043 - 219517]</t>
  </si>
  <si>
    <t xml:space="preserve">2025-11-26 16:47:15</t>
  </si>
  <si>
    <t xml:space="preserve">[0 - 825185], [841571 - 846096]</t>
  </si>
  <si>
    <t xml:space="preserve">2025-11-26 16:47:29</t>
  </si>
  <si>
    <t xml:space="preserve">[0 - 1103514], [1119900 - 1128433]</t>
  </si>
  <si>
    <t xml:space="preserve">2025-11-26 16:46:56</t>
  </si>
  <si>
    <t xml:space="preserve">[0 - 145787], [162173 - 166641]</t>
  </si>
  <si>
    <t xml:space="preserve">2025-11-26 16:46:33</t>
  </si>
  <si>
    <t xml:space="preserve">[0 - 233560], [249946 - 254465]</t>
  </si>
  <si>
    <t xml:space="preserve">2025-11-26 16:45:00</t>
  </si>
  <si>
    <t xml:space="preserve">[0 - 360312], [376698 - 381218]</t>
  </si>
  <si>
    <t xml:space="preserve">2025-11-26 16:48:35</t>
  </si>
  <si>
    <t xml:space="preserve">[0 - 825183], [841569 - 846094]</t>
  </si>
  <si>
    <t xml:space="preserve">2025-11-26 16:48:50</t>
  </si>
  <si>
    <t xml:space="preserve">[0 - 1107147], [1123533 - 1132066]</t>
  </si>
  <si>
    <t xml:space="preserve">2025-11-26 16:48:23</t>
  </si>
  <si>
    <t xml:space="preserve">[0 - 145802], [162188 - 166656]</t>
  </si>
  <si>
    <t xml:space="preserve">2025-11-26 16:49:17</t>
  </si>
  <si>
    <t xml:space="preserve">[0 - 233559], [249945 - 254464]</t>
  </si>
  <si>
    <t xml:space="preserve">2025-11-26 16:49:04</t>
  </si>
  <si>
    <t xml:space="preserve">[0 - 360313], [376699 - 381219]</t>
  </si>
  <si>
    <t xml:space="preserve">2025-11-26 16:50:32</t>
  </si>
  <si>
    <t xml:space="preserve">[0 - 825184], [841570 - 846095]</t>
  </si>
  <si>
    <t xml:space="preserve">2025-11-26 16:50:43</t>
  </si>
  <si>
    <t xml:space="preserve">[0 - 1099499], [1115885 - 1124418]</t>
  </si>
  <si>
    <t xml:space="preserve">2025-11-26 16:50:20</t>
  </si>
  <si>
    <t xml:space="preserve">[0 - 145788], [162174 - 166642]</t>
  </si>
  <si>
    <t xml:space="preserve">2025-11-26 16:50:07</t>
  </si>
  <si>
    <t xml:space="preserve">2025-11-26 16:49:49</t>
  </si>
  <si>
    <t xml:space="preserve">2025-11-26 16:51:12</t>
  </si>
  <si>
    <t xml:space="preserve">[0 - 825186], [841572 - 846097]</t>
  </si>
  <si>
    <t xml:space="preserve">2025-11-26 16:51:23</t>
  </si>
  <si>
    <t xml:space="preserve">[0 - 1098803], [1115189 - 1123722]</t>
  </si>
  <si>
    <t xml:space="preserve">2025-11-26 16:51:33</t>
  </si>
  <si>
    <t xml:space="preserve">2025-11-26 16:52:00</t>
  </si>
  <si>
    <t xml:space="preserve">2025-11-26 16:51:45</t>
  </si>
  <si>
    <t xml:space="preserve">2025-11-26 16:53:17</t>
  </si>
  <si>
    <t xml:space="preserve">2025-11-26 16:53:26</t>
  </si>
  <si>
    <t xml:space="preserve">[0 - 1099907], [1116293 - 1124826]</t>
  </si>
  <si>
    <t xml:space="preserve">2025-11-26 16:53:06</t>
  </si>
  <si>
    <t xml:space="preserve">2025-11-26 16:52:39</t>
  </si>
  <si>
    <t xml:space="preserve">2025-11-26 16:52:51</t>
  </si>
  <si>
    <t xml:space="preserve">2025-11-26 16:53:52</t>
  </si>
  <si>
    <t xml:space="preserve">2025-11-26 16:54:03</t>
  </si>
  <si>
    <t xml:space="preserve">[0 - 1113970], [1130356 - 1138889]</t>
  </si>
  <si>
    <t xml:space="preserve">2025-11-26 16:54:14</t>
  </si>
  <si>
    <t xml:space="preserve">[0 - 145790], [162176 - 166644]</t>
  </si>
  <si>
    <t xml:space="preserve">2025-11-26 16:54:39</t>
  </si>
  <si>
    <t xml:space="preserve">[0 - 376581], [392967 - 401456]</t>
  </si>
  <si>
    <t xml:space="preserve">2025-11-26 16:54:28</t>
  </si>
  <si>
    <t xml:space="preserve">2025-11-26 18:40:08</t>
  </si>
  <si>
    <t xml:space="preserve">2025-11-26 18:40:20</t>
  </si>
  <si>
    <t xml:space="preserve">[0 - 340308], [356694 - 361785]</t>
  </si>
  <si>
    <t xml:space="preserve">2025-11-26 18:40:31</t>
  </si>
  <si>
    <t xml:space="preserve">2025-11-26 18:40:49</t>
  </si>
  <si>
    <t xml:space="preserve">2025-11-26 18:41:12</t>
  </si>
  <si>
    <t xml:space="preserve">[0 - 216525], [232911 - 241489]</t>
  </si>
  <si>
    <t xml:space="preserve">2025-11-26 18:41:21</t>
  </si>
  <si>
    <t xml:space="preserve">2025-11-26 18:41:31</t>
  </si>
  <si>
    <t xml:space="preserve">2025-11-26 18:41:39</t>
  </si>
  <si>
    <t xml:space="preserve">[0 - 855045], [871431 - 876403]</t>
  </si>
  <si>
    <t xml:space="preserve">2025-11-26 18:41:02</t>
  </si>
  <si>
    <t xml:space="preserve">[0 - 198658], [215044 - 219518]</t>
  </si>
  <si>
    <t xml:space="preserve">2025-11-26 18:41:52</t>
  </si>
  <si>
    <t xml:space="preserve">[0 - 239938], [256324 - 264811]</t>
  </si>
  <si>
    <t xml:space="preserve">2025-11-26 18:42:28</t>
  </si>
  <si>
    <t xml:space="preserve">[0 - 354061], [370447 - 375487]</t>
  </si>
  <si>
    <t xml:space="preserve">2025-11-26 18:42:18</t>
  </si>
  <si>
    <t xml:space="preserve">2025-11-26 18:42:42</t>
  </si>
  <si>
    <t xml:space="preserve">[0 - 115293], [131679 - 137332]</t>
  </si>
  <si>
    <t xml:space="preserve">2025-11-26 18:42:57</t>
  </si>
  <si>
    <t xml:space="preserve">2025-11-26 18:42:53</t>
  </si>
  <si>
    <t xml:space="preserve">2025-11-26 18:43:09</t>
  </si>
  <si>
    <t xml:space="preserve">[0 - 168373], [184759 - 193292]</t>
  </si>
  <si>
    <t xml:space="preserve">2025-11-26 18:43:18</t>
  </si>
  <si>
    <t xml:space="preserve">[0 - 212328], [228714 - 233845]</t>
  </si>
  <si>
    <t xml:space="preserve">2025-11-26 18:43:26</t>
  </si>
  <si>
    <t xml:space="preserve">[0 - 215986], [232372 - 240950]</t>
  </si>
  <si>
    <t xml:space="preserve">2025-11-26 18:43:33</t>
  </si>
  <si>
    <t xml:space="preserve">[0 - 218701], [235087 - 239815]</t>
  </si>
  <si>
    <t xml:space="preserve">2025-11-26 18:43:40</t>
  </si>
  <si>
    <t xml:space="preserve">2025-11-26 18:44:13</t>
  </si>
  <si>
    <t xml:space="preserve">[0 - 354062], [370448 - 375488]</t>
  </si>
  <si>
    <t xml:space="preserve">2025-11-26 18:44:06</t>
  </si>
  <si>
    <t xml:space="preserve">2025-11-26 18:44:24</t>
  </si>
  <si>
    <t xml:space="preserve">[0 - 114665], [131051 - 136702]</t>
  </si>
  <si>
    <t xml:space="preserve">2025-11-26 18:44:40</t>
  </si>
  <si>
    <t xml:space="preserve">2025-11-26 18:44:34</t>
  </si>
  <si>
    <t xml:space="preserve">[0 - 130453], [146839 - 151813]</t>
  </si>
  <si>
    <t xml:space="preserve">2025-11-26 18:44:52</t>
  </si>
  <si>
    <t xml:space="preserve">[0 - 171243], [187629 - 196162]</t>
  </si>
  <si>
    <t xml:space="preserve">2025-11-26 18:45:00</t>
  </si>
  <si>
    <t xml:space="preserve">[0 - 212329], [228715 - 233850]</t>
  </si>
  <si>
    <t xml:space="preserve">2025-11-26 18:45:09</t>
  </si>
  <si>
    <t xml:space="preserve">[0 - 215424], [231810 - 240388]</t>
  </si>
  <si>
    <t xml:space="preserve">2025-11-26 18:45:19</t>
  </si>
  <si>
    <t xml:space="preserve">2025-11-26 18:45:25</t>
  </si>
  <si>
    <t xml:space="preserve">2025-11-26 16:56:03</t>
  </si>
  <si>
    <t xml:space="preserve">2025-11-26 16:56:13</t>
  </si>
  <si>
    <t xml:space="preserve">[0 - 1109177], [1125563 - 1134096]</t>
  </si>
  <si>
    <t xml:space="preserve">2025-11-26 16:55:44</t>
  </si>
  <si>
    <t xml:space="preserve">2025-11-26 16:55:10</t>
  </si>
  <si>
    <t xml:space="preserve">2025-11-26 16:55:20</t>
  </si>
  <si>
    <t xml:space="preserve">2025-11-26 16:56:40</t>
  </si>
  <si>
    <t xml:space="preserve">2025-11-26 16:56:50</t>
  </si>
  <si>
    <t xml:space="preserve">[0 - 1102718], [1119104 - 1127637]</t>
  </si>
  <si>
    <t xml:space="preserve">2025-11-26 16:56:59</t>
  </si>
  <si>
    <t xml:space="preserve">[0 - 149056], [165442 - 169916]</t>
  </si>
  <si>
    <t xml:space="preserve">2025-11-26 16:57:16</t>
  </si>
  <si>
    <t xml:space="preserve">2025-11-26 18:45:50</t>
  </si>
  <si>
    <t xml:space="preserve">[0 - 954853], [971239 - 976547]</t>
  </si>
  <si>
    <t xml:space="preserve">2025-11-26 18:46:02</t>
  </si>
  <si>
    <t xml:space="preserve">2025-11-26 18:46:15</t>
  </si>
  <si>
    <t xml:space="preserve">2025-11-26 18:46:37</t>
  </si>
  <si>
    <t xml:space="preserve">[0 - 199674], [216060 - 220513]</t>
  </si>
  <si>
    <t xml:space="preserve">2025-11-26 18:46:44</t>
  </si>
  <si>
    <t xml:space="preserve">2025-11-26 18:46:52</t>
  </si>
  <si>
    <t xml:space="preserve">2025-11-26 18:46:29</t>
  </si>
  <si>
    <t xml:space="preserve">2025-11-26 18:47:08</t>
  </si>
  <si>
    <t xml:space="preserve">[0 - 229161], [245547 - 254034]</t>
  </si>
  <si>
    <t xml:space="preserve">2025-11-26 18:47:37</t>
  </si>
  <si>
    <t xml:space="preserve">[0 - 954857], [971243 - 976549]</t>
  </si>
  <si>
    <t xml:space="preserve">2025-11-26 18:48:00</t>
  </si>
  <si>
    <t xml:space="preserve">[0 - 199673], [216059 - 220512]</t>
  </si>
  <si>
    <t xml:space="preserve">2025-11-26 18:47:49</t>
  </si>
  <si>
    <t xml:space="preserve">2025-11-26 18:48:12</t>
  </si>
  <si>
    <t xml:space="preserve">[0 - 231367], [247753 - 256240]</t>
  </si>
  <si>
    <t xml:space="preserve">2025-11-26 18:48:39</t>
  </si>
  <si>
    <t xml:space="preserve">[0 - 954855], [971241 - 976548]</t>
  </si>
  <si>
    <t xml:space="preserve">2025-11-26 18:50:32</t>
  </si>
  <si>
    <t xml:space="preserve">2025-11-26 18:50:21</t>
  </si>
  <si>
    <t xml:space="preserve">2025-11-26 16:58:03</t>
  </si>
  <si>
    <t xml:space="preserve">2025-11-26 16:58:13</t>
  </si>
  <si>
    <t xml:space="preserve">[0 - 1102254], [1118640 - 1127173]</t>
  </si>
  <si>
    <t xml:space="preserve">2025-11-26 16:57:52</t>
  </si>
  <si>
    <t xml:space="preserve">2025-11-26 16:57:40</t>
  </si>
  <si>
    <t xml:space="preserve">2025-11-26 16:58:58</t>
  </si>
  <si>
    <t xml:space="preserve">[0 - 825181], [841567 - 846092]</t>
  </si>
  <si>
    <t xml:space="preserve">2025-11-26 16:59:08</t>
  </si>
  <si>
    <t xml:space="preserve">[0 - 1106815], [1123201 - 1131734]</t>
  </si>
  <si>
    <t xml:space="preserve">2025-11-26 16:59:19</t>
  </si>
  <si>
    <t xml:space="preserve">2025-11-26 17:00:18</t>
  </si>
  <si>
    <t xml:space="preserve">[0 - 301950], [318336 - 326825]</t>
  </si>
  <si>
    <t xml:space="preserve">2025-11-26 17:00:26</t>
  </si>
  <si>
    <t xml:space="preserve">2025-11-26 17:00:30</t>
  </si>
  <si>
    <t xml:space="preserve">[0 - 274321], [290707 - 299196]</t>
  </si>
  <si>
    <t xml:space="preserve">2025-11-26 16:59:35</t>
  </si>
  <si>
    <t xml:space="preserve">2025-11-26 17:01:18</t>
  </si>
  <si>
    <t xml:space="preserve">[0 - 825187], [841573 - 846098]</t>
  </si>
  <si>
    <t xml:space="preserve">2025-11-26 17:01:27</t>
  </si>
  <si>
    <t xml:space="preserve">[0 - 1092575], [1108961 - 1117494]</t>
  </si>
  <si>
    <t xml:space="preserve">2025-11-26 17:01:09</t>
  </si>
  <si>
    <t xml:space="preserve">2025-11-26 17:01:54</t>
  </si>
  <si>
    <t xml:space="preserve">[0 - 939659], [956045 - 964626]</t>
  </si>
  <si>
    <t xml:space="preserve">2025-11-26 17:02:03</t>
  </si>
  <si>
    <t xml:space="preserve">[0 - 1096835], [1113221 - 1121754]</t>
  </si>
  <si>
    <t xml:space="preserve">2025-11-26 17:02:12</t>
  </si>
  <si>
    <t xml:space="preserve">[0 - 145789], [162175 - 166643]</t>
  </si>
  <si>
    <t xml:space="preserve">2025-11-26 17:02:34</t>
  </si>
  <si>
    <t xml:space="preserve">2025-11-26 17:02:24</t>
  </si>
  <si>
    <t xml:space="preserve">2025-11-26 18:53:02</t>
  </si>
  <si>
    <t xml:space="preserve">[0 - 954849], [971235 - 976541]</t>
  </si>
  <si>
    <t xml:space="preserve">2025-11-26 18:53:14</t>
  </si>
  <si>
    <t xml:space="preserve">[0 - 92691], [109077 - 113630]</t>
  </si>
  <si>
    <t xml:space="preserve">2025-11-26 18:53:26</t>
  </si>
  <si>
    <t xml:space="preserve">2025-11-26 18:54:23</t>
  </si>
  <si>
    <t xml:space="preserve">2025-11-26 18:54:03</t>
  </si>
  <si>
    <t xml:space="preserve">[0 - 198662], [215048 - 219522]</t>
  </si>
  <si>
    <t xml:space="preserve">2025-11-26 18:54:36</t>
  </si>
  <si>
    <t xml:space="preserve">[0 - 252062], [268448 - 276935]</t>
  </si>
  <si>
    <t xml:space="preserve">2025-11-26 18:55:18</t>
  </si>
  <si>
    <t xml:space="preserve">[0 - 954855], [971241 - 976549]</t>
  </si>
  <si>
    <t xml:space="preserve">2025-11-26 18:55:40</t>
  </si>
  <si>
    <t xml:space="preserve">2025-11-26 18:55:31</t>
  </si>
  <si>
    <t xml:space="preserve">2025-11-26 18:55:56</t>
  </si>
  <si>
    <t xml:space="preserve">[0 - 240157], [256543 - 265030]</t>
  </si>
  <si>
    <t xml:space="preserve">2025-11-26 17:03:27</t>
  </si>
  <si>
    <t xml:space="preserve">2025-11-26 17:03:36</t>
  </si>
  <si>
    <t xml:space="preserve">[0 - 1098544], [1114930 - 1123463]</t>
  </si>
  <si>
    <t xml:space="preserve">2025-11-26 17:03:16</t>
  </si>
  <si>
    <t xml:space="preserve">2025-11-26 17:03:03</t>
  </si>
  <si>
    <t xml:space="preserve">2025-11-26 17:04:01</t>
  </si>
  <si>
    <t xml:space="preserve">2025-11-26 17:04:20</t>
  </si>
  <si>
    <t xml:space="preserve">[0 - 1100774], [1117160 - 1125693]</t>
  </si>
  <si>
    <t xml:space="preserve">2025-11-26 17:04:34</t>
  </si>
  <si>
    <t xml:space="preserve">2025-11-26 17:04:47</t>
  </si>
  <si>
    <t xml:space="preserve">2025-11-26 17:05:32</t>
  </si>
  <si>
    <t xml:space="preserve">2025-11-26 17:05:42</t>
  </si>
  <si>
    <t xml:space="preserve">[0 - 1105608], [1121994 - 1130527]</t>
  </si>
  <si>
    <t xml:space="preserve">2025-11-26 17:05:22</t>
  </si>
  <si>
    <t xml:space="preserve">2025-11-26 17:05:10</t>
  </si>
  <si>
    <t xml:space="preserve">[0 - 383472], [399858 - 408345]</t>
  </si>
  <si>
    <t xml:space="preserve">2025-11-26 18:56:20</t>
  </si>
  <si>
    <t xml:space="preserve">[0 - 954849], [971235 - 976543]</t>
  </si>
  <si>
    <t xml:space="preserve">2025-11-26 18:56:40</t>
  </si>
  <si>
    <t xml:space="preserve">[0 - 92688], [109074 - 113628]</t>
  </si>
  <si>
    <t xml:space="preserve">2025-11-26 18:56:50</t>
  </si>
  <si>
    <t xml:space="preserve">2025-11-26 18:57:33</t>
  </si>
  <si>
    <t xml:space="preserve">2025-11-26 18:57:02</t>
  </si>
  <si>
    <t xml:space="preserve">2025-11-26 18:57:11</t>
  </si>
  <si>
    <t xml:space="preserve">[0 - 855042], [871428 - 876400]</t>
  </si>
  <si>
    <t xml:space="preserve">2025-11-26 18:57:21</t>
  </si>
  <si>
    <t xml:space="preserve">2025-11-26 18:57:47</t>
  </si>
  <si>
    <t xml:space="preserve">[0 - 243024], [259410 - 267897]</t>
  </si>
  <si>
    <t xml:space="preserve">2025-11-26 17:06:02</t>
  </si>
  <si>
    <t xml:space="preserve">2025-11-26 17:06:12</t>
  </si>
  <si>
    <t xml:space="preserve">[0 - 1101144], [1117530 - 1126063]</t>
  </si>
  <si>
    <t xml:space="preserve">2025-11-26 17:06:22</t>
  </si>
  <si>
    <t xml:space="preserve">2025-11-26 17:06:33</t>
  </si>
  <si>
    <t xml:space="preserve">2025-11-26 18:58:11</t>
  </si>
  <si>
    <t xml:space="preserve">[0 - 954852], [971238 - 976548]</t>
  </si>
  <si>
    <t xml:space="preserve">2025-11-26 18:58:24</t>
  </si>
  <si>
    <t xml:space="preserve">2025-11-26 18:58:37</t>
  </si>
  <si>
    <t xml:space="preserve">2025-11-26 18:58:57</t>
  </si>
  <si>
    <t xml:space="preserve">[0 - 199675], [216061 - 220514]</t>
  </si>
  <si>
    <t xml:space="preserve">2025-11-26 18:59:07</t>
  </si>
  <si>
    <t xml:space="preserve">2025-11-26 18:59:20</t>
  </si>
  <si>
    <t xml:space="preserve">2025-11-26 18:58:48</t>
  </si>
  <si>
    <t xml:space="preserve">2025-11-26 18:59:47</t>
  </si>
  <si>
    <t xml:space="preserve">[0 - 954850], [971236 - 976542]</t>
  </si>
  <si>
    <t xml:space="preserve">2025-11-26 19:00:07</t>
  </si>
  <si>
    <t xml:space="preserve">2025-11-26 18:59:58</t>
  </si>
  <si>
    <t xml:space="preserve">2025-11-26 19:00:33</t>
  </si>
  <si>
    <t xml:space="preserve">2025-11-26 19:00:45</t>
  </si>
  <si>
    <t xml:space="preserve">2025-11-26 19:00:59</t>
  </si>
  <si>
    <t xml:space="preserve">2025-11-26 19:01:22</t>
  </si>
  <si>
    <t xml:space="preserve">2025-11-26 19:01:11</t>
  </si>
  <si>
    <t xml:space="preserve">2025-11-26 19:01:45</t>
  </si>
  <si>
    <t xml:space="preserve">[0 - 954852], [971238 - 976547]</t>
  </si>
  <si>
    <t xml:space="preserve">2025-11-26 19:01:55</t>
  </si>
  <si>
    <t xml:space="preserve">2025-11-26 19:02:06</t>
  </si>
  <si>
    <t xml:space="preserve">2025-11-26 19:02:16</t>
  </si>
  <si>
    <t xml:space="preserve">2025-11-26 19:02:23</t>
  </si>
  <si>
    <t xml:space="preserve">2025-11-26 19:02:43</t>
  </si>
  <si>
    <t xml:space="preserve">2025-11-26 19:02:55</t>
  </si>
  <si>
    <t xml:space="preserve">2025-11-26 19:03:06</t>
  </si>
  <si>
    <t xml:space="preserve">[0 - 129680], [146066 - 150534]</t>
  </si>
  <si>
    <t xml:space="preserve">2025-11-26 19:03:22</t>
  </si>
  <si>
    <t xml:space="preserve">[0 - 855043], [871429 - 876403]</t>
  </si>
  <si>
    <t xml:space="preserve">2025-11-26 19:03:18</t>
  </si>
  <si>
    <t xml:space="preserve">2025-11-26 19:03:51</t>
  </si>
  <si>
    <t xml:space="preserve">2025-11-26 19:04:03</t>
  </si>
  <si>
    <t xml:space="preserve">2025-11-26 19:04:21</t>
  </si>
  <si>
    <t xml:space="preserve">2025-11-26 19:04:28</t>
  </si>
  <si>
    <t xml:space="preserve">[0 - 198674], [215060 - 219534]</t>
  </si>
  <si>
    <t xml:space="preserve">2025-11-26 19:04:56</t>
  </si>
  <si>
    <t xml:space="preserve">[0 - 954853], [971239 - 976548]</t>
  </si>
  <si>
    <t xml:space="preserve">2025-11-26 19:05:15</t>
  </si>
  <si>
    <t xml:space="preserve">2025-11-26 19:05:32</t>
  </si>
  <si>
    <t xml:space="preserve">2025-11-26 19:05:22</t>
  </si>
  <si>
    <t xml:space="preserve">2025-11-26 19:05:57</t>
  </si>
  <si>
    <t xml:space="preserve">2025-11-26 19:06:07</t>
  </si>
  <si>
    <t xml:space="preserve">2025-11-26 19:06:22</t>
  </si>
  <si>
    <t xml:space="preserve">[0 - 855046], [871432 - 876406]</t>
  </si>
  <si>
    <t xml:space="preserve">2025-11-26 19:06:15</t>
  </si>
  <si>
    <t xml:space="preserve">2025-11-26 19:06:42</t>
  </si>
  <si>
    <t xml:space="preserve">[0 - 954850], [971236 - 976543]</t>
  </si>
  <si>
    <t xml:space="preserve">2025-11-26 19:06:52</t>
  </si>
  <si>
    <t xml:space="preserve">2025-11-26 19:07:03</t>
  </si>
  <si>
    <t xml:space="preserve">mcro_watermark</t>
  </si>
  <si>
    <t xml:space="preserve">mcro_sign_time</t>
  </si>
  <si>
    <t xml:space="preserve">mcro_signed_bytes</t>
  </si>
  <si>
    <t xml:space="preserve">2025:11:26 17:46:52</t>
  </si>
  <si>
    <t xml:space="preserve">2025:11:26 17:49:14</t>
  </si>
  <si>
    <t xml:space="preserve">2025:11:26 17:49:53</t>
  </si>
  <si>
    <t xml:space="preserve">2025:11:26 17:47:21</t>
  </si>
  <si>
    <t xml:space="preserve">2025:11:26 17:49:27</t>
  </si>
  <si>
    <t xml:space="preserve">2025:11:26 17:49:38</t>
  </si>
  <si>
    <t xml:space="preserve">2025:11:26 17:47:31</t>
  </si>
  <si>
    <t xml:space="preserve">2025:11:26 17:47:57</t>
  </si>
  <si>
    <t xml:space="preserve">2025:11:26 17:47:46</t>
  </si>
  <si>
    <t xml:space="preserve">2025:11:26 17:48:20</t>
  </si>
  <si>
    <t xml:space="preserve">2025:11:26 17:48:32</t>
  </si>
  <si>
    <t xml:space="preserve">2025:11:26 17:47:09</t>
  </si>
  <si>
    <t xml:space="preserve">2025:11:26 17:48:46</t>
  </si>
  <si>
    <t xml:space="preserve">2025:11:26 17:48:59</t>
  </si>
  <si>
    <t xml:space="preserve">2025:11:26 17:50:27</t>
  </si>
  <si>
    <t xml:space="preserve">2025:11:26 17:53:10</t>
  </si>
  <si>
    <t xml:space="preserve">2025:11:26 17:53:39</t>
  </si>
  <si>
    <t xml:space="preserve">2025:11:26 17:50:56</t>
  </si>
  <si>
    <t xml:space="preserve">2025:11:26 17:53:21</t>
  </si>
  <si>
    <t xml:space="preserve">2025:11:26 17:51:55</t>
  </si>
  <si>
    <t xml:space="preserve">2025:11:26 17:51:05</t>
  </si>
  <si>
    <t xml:space="preserve">2025:11:26 17:51:24</t>
  </si>
  <si>
    <t xml:space="preserve">2025:11:26 17:51:38</t>
  </si>
  <si>
    <t xml:space="preserve">2025:11:26 17:52:09</t>
  </si>
  <si>
    <t xml:space="preserve">2025:11:26 17:52:20</t>
  </si>
  <si>
    <t xml:space="preserve">2025:11:26 17:50:42</t>
  </si>
  <si>
    <t xml:space="preserve">2025:11:26 17:52:32</t>
  </si>
  <si>
    <t xml:space="preserve">2025:11:26 17:52:45</t>
  </si>
  <si>
    <t xml:space="preserve">2025:11:26 17:54:08</t>
  </si>
  <si>
    <t xml:space="preserve">2025:11:26 17:56:35</t>
  </si>
  <si>
    <t xml:space="preserve">2025:11:26 17:57:00</t>
  </si>
  <si>
    <t xml:space="preserve">2025:11:26 17:54:34</t>
  </si>
  <si>
    <t xml:space="preserve">2025:11:26 17:56:45</t>
  </si>
  <si>
    <t xml:space="preserve">2025:11:26 17:55:28</t>
  </si>
  <si>
    <t xml:space="preserve">2025:11:26 17:54:46</t>
  </si>
  <si>
    <t xml:space="preserve">2025:11:26 17:55:13</t>
  </si>
  <si>
    <t xml:space="preserve">2025:11:26 17:55:01</t>
  </si>
  <si>
    <t xml:space="preserve">2025:11:26 17:55:41</t>
  </si>
  <si>
    <t xml:space="preserve">2025:11:26 17:55:53</t>
  </si>
  <si>
    <t xml:space="preserve">2025:11:26 17:54:23</t>
  </si>
  <si>
    <t xml:space="preserve">2025:11:26 17:56:04</t>
  </si>
  <si>
    <t xml:space="preserve">2025:11:26 17:56:15</t>
  </si>
  <si>
    <t xml:space="preserve">2025:11:26 17:57:47</t>
  </si>
  <si>
    <t xml:space="preserve">2025:11:26 17:59:43</t>
  </si>
  <si>
    <t xml:space="preserve">2025:11:26 17:58:43</t>
  </si>
  <si>
    <t xml:space="preserve">2025:11:26 17:57:59</t>
  </si>
  <si>
    <t xml:space="preserve">2025:11:26 17:58:19</t>
  </si>
  <si>
    <t xml:space="preserve">2025:11:26 17:58:28</t>
  </si>
  <si>
    <t xml:space="preserve">2025:11:26 17:58:54</t>
  </si>
  <si>
    <t xml:space="preserve">2025:11:26 17:59:07</t>
  </si>
  <si>
    <t xml:space="preserve">2025:11:26 17:57:36</t>
  </si>
  <si>
    <t xml:space="preserve">2025:11:26 17:59:18</t>
  </si>
  <si>
    <t xml:space="preserve">2025:11:26 17:59:28</t>
  </si>
  <si>
    <t xml:space="preserve">2025:11:26 18:01:53</t>
  </si>
  <si>
    <t xml:space="preserve">2025:11:26 18:00:48</t>
  </si>
  <si>
    <t xml:space="preserve">2025:11:26 18:01:38</t>
  </si>
  <si>
    <t xml:space="preserve">2025:11:26 18:01:14</t>
  </si>
  <si>
    <t xml:space="preserve">2025:11:26 18:02:04</t>
  </si>
  <si>
    <t xml:space="preserve">2025:11:26 18:02:16</t>
  </si>
  <si>
    <t xml:space="preserve">2025:11:26 18:00:37</t>
  </si>
  <si>
    <t xml:space="preserve">2025:11:26 18:02:25</t>
  </si>
  <si>
    <t xml:space="preserve">2025:11:26 18:02:37</t>
  </si>
  <si>
    <t xml:space="preserve">2025:11:26 18:00:22</t>
  </si>
  <si>
    <t xml:space="preserve">2025:11:26 18:01:02</t>
  </si>
  <si>
    <t xml:space="preserve">2025:11:26 18:02:49</t>
  </si>
  <si>
    <t xml:space="preserve">2025:11:26 18:01:28</t>
  </si>
  <si>
    <t xml:space="preserve">2025:11:26 18:03:01</t>
  </si>
  <si>
    <t xml:space="preserve">2025:11:26 18:03:14</t>
  </si>
  <si>
    <t xml:space="preserve">2025:11:26 18:07:06</t>
  </si>
  <si>
    <t xml:space="preserve">2025:11:26 18:04:08</t>
  </si>
  <si>
    <t xml:space="preserve">2025:11:26 18:06:51</t>
  </si>
  <si>
    <t xml:space="preserve">2025:11:26 18:05:34</t>
  </si>
  <si>
    <t xml:space="preserve">2025:11:26 18:04:17</t>
  </si>
  <si>
    <t xml:space="preserve">2025:11:26 18:05:09</t>
  </si>
  <si>
    <t xml:space="preserve">2025:11:26 18:05:18</t>
  </si>
  <si>
    <t xml:space="preserve">2025:11:26 18:05:44</t>
  </si>
  <si>
    <t xml:space="preserve">2025:11:26 18:05:55</t>
  </si>
  <si>
    <t xml:space="preserve">2025:11:26 18:03:57</t>
  </si>
  <si>
    <t xml:space="preserve">2025:11:26 18:06:05</t>
  </si>
  <si>
    <t xml:space="preserve">2025:11:26 18:06:18</t>
  </si>
  <si>
    <t xml:space="preserve">2025:11:26 18:03:43</t>
  </si>
  <si>
    <t xml:space="preserve">2025:11:26 18:04:44</t>
  </si>
  <si>
    <t xml:space="preserve">2025:11:26 18:06:31</t>
  </si>
  <si>
    <t xml:space="preserve">2025:11:26 18:10:31</t>
  </si>
  <si>
    <t xml:space="preserve">2025:11:26 18:10:56</t>
  </si>
  <si>
    <t xml:space="preserve">2025:11:26 18:08:06</t>
  </si>
  <si>
    <t xml:space="preserve">2025:11:26 18:10:45</t>
  </si>
  <si>
    <t xml:space="preserve">2025:11:26 18:09:20</t>
  </si>
  <si>
    <t xml:space="preserve">2025:11:26 18:08:21</t>
  </si>
  <si>
    <t xml:space="preserve">2025:11:26 18:08:57</t>
  </si>
  <si>
    <t xml:space="preserve">2025:11:26 18:09:05</t>
  </si>
  <si>
    <t xml:space="preserve">2025:11:26 18:09:30</t>
  </si>
  <si>
    <t xml:space="preserve">2025:11:26 18:09:47</t>
  </si>
  <si>
    <t xml:space="preserve">2025:11:26 18:07:55</t>
  </si>
  <si>
    <t xml:space="preserve">2025:11:26 18:09:58</t>
  </si>
  <si>
    <t xml:space="preserve">2025:11:26 18:10:07</t>
  </si>
  <si>
    <t xml:space="preserve">2025:11:26 18:07:41</t>
  </si>
  <si>
    <t xml:space="preserve">2025:11:26 18:08:34</t>
  </si>
  <si>
    <t xml:space="preserve">2025:11:26 18:10:21</t>
  </si>
  <si>
    <t xml:space="preserve">2025:11:26 18:11:25</t>
  </si>
  <si>
    <t xml:space="preserve">2025:11:26 18:13:38</t>
  </si>
  <si>
    <t xml:space="preserve">2025:11:26 18:14:00</t>
  </si>
  <si>
    <t xml:space="preserve">2025:11:26 18:11:51</t>
  </si>
  <si>
    <t xml:space="preserve">2025:11:26 18:13:48</t>
  </si>
  <si>
    <t xml:space="preserve">2025:11:26 18:12:40</t>
  </si>
  <si>
    <t xml:space="preserve">2025:11:26 18:12:01</t>
  </si>
  <si>
    <t xml:space="preserve">2025:11:26 18:12:26</t>
  </si>
  <si>
    <t xml:space="preserve">2025:11:26 18:12:22</t>
  </si>
  <si>
    <t xml:space="preserve">2025:11:26 18:12:55</t>
  </si>
  <si>
    <t xml:space="preserve">2025:11:26 18:13:05</t>
  </si>
  <si>
    <t xml:space="preserve">2025:11:26 18:11:39</t>
  </si>
  <si>
    <t xml:space="preserve">2025:11:26 18:13:15</t>
  </si>
  <si>
    <t xml:space="preserve">2025:11:26 18:13:26</t>
  </si>
  <si>
    <t xml:space="preserve">2025:11:26 18:15:24</t>
  </si>
  <si>
    <t xml:space="preserve">2025:11:26 18:14:52</t>
  </si>
  <si>
    <t xml:space="preserve">2025:11:26 18:14:37</t>
  </si>
  <si>
    <t xml:space="preserve">2025:11:26 18:15:10</t>
  </si>
  <si>
    <t xml:space="preserve">2025:11:26 18:15:05</t>
  </si>
  <si>
    <t xml:space="preserve">2025:11:26 18:15:35</t>
  </si>
  <si>
    <t xml:space="preserve">2025:11:26 18:15:45</t>
  </si>
  <si>
    <t xml:space="preserve">2025:11:26 18:14:27</t>
  </si>
  <si>
    <t xml:space="preserve">2025:11:26 18:16:00</t>
  </si>
  <si>
    <t xml:space="preserve">2025:11:26 18:16:09</t>
  </si>
  <si>
    <t xml:space="preserve">2025:11:26 18:18:06</t>
  </si>
  <si>
    <t xml:space="preserve">2025:11:26 18:16:46</t>
  </si>
  <si>
    <t xml:space="preserve">2025:11:26 18:17:21</t>
  </si>
  <si>
    <t xml:space="preserve">2025:11:26 18:17:47</t>
  </si>
  <si>
    <t xml:space="preserve">2025:11:26 18:17:54</t>
  </si>
  <si>
    <t xml:space="preserve">2025:11:26 18:18:16</t>
  </si>
  <si>
    <t xml:space="preserve">2025:11:26 18:18:24</t>
  </si>
  <si>
    <t xml:space="preserve">2025:11:26 18:17:10</t>
  </si>
  <si>
    <t xml:space="preserve">2025:11:26 18:18:34</t>
  </si>
  <si>
    <t xml:space="preserve">2025:11:26 18:18:47</t>
  </si>
  <si>
    <t xml:space="preserve">2025:11:26 18:16:58</t>
  </si>
  <si>
    <t xml:space="preserve">2025:11:26 18:18:56</t>
  </si>
  <si>
    <t xml:space="preserve">2025:11:26 18:17:38</t>
  </si>
  <si>
    <t xml:space="preserve">2025:11:26 18:19:06</t>
  </si>
  <si>
    <t xml:space="preserve">2025:11:26 18:21:22</t>
  </si>
  <si>
    <t xml:space="preserve">2025:11:26 18:19:35</t>
  </si>
  <si>
    <t xml:space="preserve">2025:11:26 18:20:09</t>
  </si>
  <si>
    <t xml:space="preserve">2025:11:26 18:21:02</t>
  </si>
  <si>
    <t xml:space="preserve">2025:11:26 18:21:10</t>
  </si>
  <si>
    <t xml:space="preserve">2025:11:26 18:21:32</t>
  </si>
  <si>
    <t xml:space="preserve">2025:11:26 18:21:44</t>
  </si>
  <si>
    <t xml:space="preserve">2025:11:26 18:19:58</t>
  </si>
  <si>
    <t xml:space="preserve">2025:11:26 18:21:54</t>
  </si>
  <si>
    <t xml:space="preserve">2025:11:26 18:22:03</t>
  </si>
  <si>
    <t xml:space="preserve">2025:11:26 18:19:46</t>
  </si>
  <si>
    <t xml:space="preserve">2025:11:26 18:20:23</t>
  </si>
  <si>
    <t xml:space="preserve">2025:11:26 18:22:13</t>
  </si>
  <si>
    <t xml:space="preserve">2025:11:26 18:20:51</t>
  </si>
  <si>
    <t xml:space="preserve">2025:11:26 18:22:21</t>
  </si>
  <si>
    <t xml:space="preserve">2025:11:26 18:24:30</t>
  </si>
  <si>
    <t xml:space="preserve">2025:11:26 18:22:48</t>
  </si>
  <si>
    <t xml:space="preserve">2025:11:26 18:23:26</t>
  </si>
  <si>
    <t xml:space="preserve">2025:11:26 18:24:11</t>
  </si>
  <si>
    <t xml:space="preserve">2025:11:26 18:24:18</t>
  </si>
  <si>
    <t xml:space="preserve">2025:11:26 18:24:39</t>
  </si>
  <si>
    <t xml:space="preserve">2025:11:26 18:24:48</t>
  </si>
  <si>
    <t xml:space="preserve">2025:11:26 18:23:14</t>
  </si>
  <si>
    <t xml:space="preserve">2025:11:26 18:24:57</t>
  </si>
  <si>
    <t xml:space="preserve">2025:11:26 18:25:05</t>
  </si>
  <si>
    <t xml:space="preserve">2025:11:26 18:23:00</t>
  </si>
  <si>
    <t xml:space="preserve">2025:11:26 18:23:39</t>
  </si>
  <si>
    <t xml:space="preserve">2025:11:26 18:25:14</t>
  </si>
  <si>
    <t xml:space="preserve">2025:11:26 18:24:04</t>
  </si>
  <si>
    <t xml:space="preserve">2025:11:26 18:25:22</t>
  </si>
  <si>
    <t xml:space="preserve">2025:11:26 18:27:23</t>
  </si>
  <si>
    <t xml:space="preserve">2025:11:26 18:25:50</t>
  </si>
  <si>
    <t xml:space="preserve">2025:11:26 18:26:24</t>
  </si>
  <si>
    <t xml:space="preserve">2025:11:26 18:27:04</t>
  </si>
  <si>
    <t xml:space="preserve">2025:11:26 18:27:09</t>
  </si>
  <si>
    <t xml:space="preserve">2025:11:26 18:27:32</t>
  </si>
  <si>
    <t xml:space="preserve">2025:11:26 18:27:39</t>
  </si>
  <si>
    <t xml:space="preserve">2025:11:26 18:26:15</t>
  </si>
  <si>
    <t xml:space="preserve">2025:11:26 18:27:49</t>
  </si>
  <si>
    <t xml:space="preserve">2025:11:26 18:27:56</t>
  </si>
  <si>
    <t xml:space="preserve">2025:11:26 18:26:02</t>
  </si>
  <si>
    <t xml:space="preserve">2025:11:26 18:26:38</t>
  </si>
  <si>
    <t xml:space="preserve">2025:11:26 18:28:04</t>
  </si>
  <si>
    <t xml:space="preserve">2025:11:26 18:26:56</t>
  </si>
  <si>
    <t xml:space="preserve">2025:11:26 18:28:15</t>
  </si>
  <si>
    <t xml:space="preserve">2025:11:26 18:30:16</t>
  </si>
  <si>
    <t xml:space="preserve">2025:11:26 18:28:44</t>
  </si>
  <si>
    <t xml:space="preserve">2025:11:26 18:29:17</t>
  </si>
  <si>
    <t xml:space="preserve">2025:11:26 18:29:55</t>
  </si>
  <si>
    <t xml:space="preserve">2025:11:26 18:30:06</t>
  </si>
  <si>
    <t xml:space="preserve">2025:11:26 18:30:25</t>
  </si>
  <si>
    <t xml:space="preserve">2025:11:26 18:30:32</t>
  </si>
  <si>
    <t xml:space="preserve">2025:11:26 18:29:06</t>
  </si>
  <si>
    <t xml:space="preserve">2025:11:26 18:30:40</t>
  </si>
  <si>
    <t xml:space="preserve">2025:11:26 18:30:48</t>
  </si>
  <si>
    <t xml:space="preserve">2025:11:26 18:31:17</t>
  </si>
  <si>
    <t xml:space="preserve">2025:11:26 18:28:54</t>
  </si>
  <si>
    <t xml:space="preserve">2025:11:26 18:29:28</t>
  </si>
  <si>
    <t xml:space="preserve">2025:11:26 18:30:56</t>
  </si>
  <si>
    <t xml:space="preserve">2025:11:26 18:29:47</t>
  </si>
  <si>
    <t xml:space="preserve">2025:11:26 18:31:05</t>
  </si>
  <si>
    <t xml:space="preserve">2025:11:26 18:33:15</t>
  </si>
  <si>
    <t xml:space="preserve">2025:11:26 18:31:45</t>
  </si>
  <si>
    <t xml:space="preserve">2025:11:26 18:32:18</t>
  </si>
  <si>
    <t xml:space="preserve">2025:11:26 18:32:58</t>
  </si>
  <si>
    <t xml:space="preserve">2025:11:26 18:33:04</t>
  </si>
  <si>
    <t xml:space="preserve">2025:11:26 18:33:22</t>
  </si>
  <si>
    <t xml:space="preserve">2025:11:26 18:33:30</t>
  </si>
  <si>
    <t xml:space="preserve">2025:11:26 18:32:08</t>
  </si>
  <si>
    <t xml:space="preserve">2025:11:26 18:33:39</t>
  </si>
  <si>
    <t xml:space="preserve">2025:11:26 18:33:47</t>
  </si>
  <si>
    <t xml:space="preserve">2025:11:26 18:34:17</t>
  </si>
  <si>
    <t xml:space="preserve">2025:11:26 18:31:56</t>
  </si>
  <si>
    <t xml:space="preserve">2025:11:26 18:32:31</t>
  </si>
  <si>
    <t xml:space="preserve">2025:11:26 18:33:55</t>
  </si>
  <si>
    <t xml:space="preserve">2025:11:26 18:32:50</t>
  </si>
  <si>
    <t xml:space="preserve">2025:11:26 18:34:04</t>
  </si>
  <si>
    <t xml:space="preserve">2025:11:26 18:36:06</t>
  </si>
  <si>
    <t xml:space="preserve">2025:11:26 18:34:46</t>
  </si>
  <si>
    <t xml:space="preserve">2025:11:26 18:35:17</t>
  </si>
  <si>
    <t xml:space="preserve">2025:11:26 18:35:50</t>
  </si>
  <si>
    <t xml:space="preserve">2025:11:26 18:35:55</t>
  </si>
  <si>
    <t xml:space="preserve">2025:11:26 18:36:15</t>
  </si>
  <si>
    <t xml:space="preserve">2025:11:26 18:36:23</t>
  </si>
  <si>
    <t xml:space="preserve">2025:11:26 18:35:09</t>
  </si>
  <si>
    <t xml:space="preserve">2025:11:26 18:36:32</t>
  </si>
  <si>
    <t xml:space="preserve">2025:11:26 18:36:39</t>
  </si>
  <si>
    <t xml:space="preserve">2025:11:26 18:37:08</t>
  </si>
  <si>
    <t xml:space="preserve">2025:11:26 18:34:57</t>
  </si>
  <si>
    <t xml:space="preserve">2025:11:26 18:35:28</t>
  </si>
  <si>
    <t xml:space="preserve">2025:11:26 18:36:47</t>
  </si>
  <si>
    <t xml:space="preserve">2025:11:26 18:35:43</t>
  </si>
  <si>
    <t xml:space="preserve">2025:11:26 18:36:55</t>
  </si>
  <si>
    <t xml:space="preserve">2025:11:26 18:38:57</t>
  </si>
  <si>
    <t xml:space="preserve">2025:11:26 18:37:38</t>
  </si>
  <si>
    <t xml:space="preserve">2025:11:26 18:38:08</t>
  </si>
  <si>
    <t xml:space="preserve">2025:11:26 18:38:41</t>
  </si>
  <si>
    <t xml:space="preserve">2025:11:26 18:38:46</t>
  </si>
  <si>
    <t xml:space="preserve">2025:11:26 18:39:05</t>
  </si>
  <si>
    <t xml:space="preserve">2025:11:26 18:39:13</t>
  </si>
  <si>
    <t xml:space="preserve">2025:11:26 18:38:00</t>
  </si>
  <si>
    <t xml:space="preserve">2025:11:26 18:39:20</t>
  </si>
  <si>
    <t xml:space="preserve">2025:11:26 18:39:26</t>
  </si>
  <si>
    <t xml:space="preserve">2025:11:26 18:37:49</t>
  </si>
  <si>
    <t xml:space="preserve">2025:11:26 18:38:20</t>
  </si>
  <si>
    <t xml:space="preserve">2025:11:26 18:39:33</t>
  </si>
  <si>
    <t xml:space="preserve">2025:11:26 18:38:32</t>
  </si>
  <si>
    <t xml:space="preserve">2025:11:26 18:39:41</t>
  </si>
  <si>
    <t xml:space="preserve">2025:11:26 16:46:33</t>
  </si>
  <si>
    <t xml:space="preserve">2025:11:26 16:45:00</t>
  </si>
  <si>
    <t xml:space="preserve">2025:11:26 16:47:15</t>
  </si>
  <si>
    <t xml:space="preserve">2025:11:26 16:47:29</t>
  </si>
  <si>
    <t xml:space="preserve">2025:11:26 16:46:56</t>
  </si>
  <si>
    <t xml:space="preserve">2025:11:26 16:49:17</t>
  </si>
  <si>
    <t xml:space="preserve">2025:11:26 16:49:04</t>
  </si>
  <si>
    <t xml:space="preserve">2025:11:26 16:48:35</t>
  </si>
  <si>
    <t xml:space="preserve">2025:11:26 16:48:50</t>
  </si>
  <si>
    <t xml:space="preserve">2025:11:26 16:48:23</t>
  </si>
  <si>
    <t xml:space="preserve">2025:11:26 16:50:07</t>
  </si>
  <si>
    <t xml:space="preserve">2025:11:26 16:49:49</t>
  </si>
  <si>
    <t xml:space="preserve">2025:11:26 16:50:32</t>
  </si>
  <si>
    <t xml:space="preserve">2025:11:26 16:50:43</t>
  </si>
  <si>
    <t xml:space="preserve">2025:11:26 16:50:20</t>
  </si>
  <si>
    <t xml:space="preserve">2025:11:26 16:52:00</t>
  </si>
  <si>
    <t xml:space="preserve">2025:11:26 16:51:45</t>
  </si>
  <si>
    <t xml:space="preserve">2025:11:26 16:51:12</t>
  </si>
  <si>
    <t xml:space="preserve">2025:11:26 16:51:23</t>
  </si>
  <si>
    <t xml:space="preserve">2025:11:26 16:51:33</t>
  </si>
  <si>
    <t xml:space="preserve">2025:11:26 16:52:39</t>
  </si>
  <si>
    <t xml:space="preserve">2025:11:26 16:52:51</t>
  </si>
  <si>
    <t xml:space="preserve">2025:11:26 16:53:17</t>
  </si>
  <si>
    <t xml:space="preserve">2025:11:26 16:53:26</t>
  </si>
  <si>
    <t xml:space="preserve">2025:11:26 16:53:06</t>
  </si>
  <si>
    <t xml:space="preserve">2025:11:26 16:54:39</t>
  </si>
  <si>
    <t xml:space="preserve">2025:11:26 16:54:28</t>
  </si>
  <si>
    <t xml:space="preserve">2025:11:26 16:53:52</t>
  </si>
  <si>
    <t xml:space="preserve">2025:11:26 16:54:03</t>
  </si>
  <si>
    <t xml:space="preserve">2025:11:26 16:54:14</t>
  </si>
  <si>
    <t xml:space="preserve">2025:11:26 18:41:12</t>
  </si>
  <si>
    <t xml:space="preserve">2025:11:26 18:40:20</t>
  </si>
  <si>
    <t xml:space="preserve">2025:11:26 18:41:21</t>
  </si>
  <si>
    <t xml:space="preserve">2025:11:26 18:41:31</t>
  </si>
  <si>
    <t xml:space="preserve">2025:11:26 18:41:52</t>
  </si>
  <si>
    <t xml:space="preserve">2025:11:26 18:40:08</t>
  </si>
  <si>
    <t xml:space="preserve">2025:11:26 18:40:31</t>
  </si>
  <si>
    <t xml:space="preserve">2025:11:26 18:41:39</t>
  </si>
  <si>
    <t xml:space="preserve">2025:11:26 18:40:49</t>
  </si>
  <si>
    <t xml:space="preserve">2025:11:26 18:41:02</t>
  </si>
  <si>
    <t xml:space="preserve">2025:11:26 18:43:09</t>
  </si>
  <si>
    <t xml:space="preserve">2025:11:26 18:42:42</t>
  </si>
  <si>
    <t xml:space="preserve">2025:11:26 18:42:28</t>
  </si>
  <si>
    <t xml:space="preserve">2025:11:26 18:42:57</t>
  </si>
  <si>
    <t xml:space="preserve">2025:11:26 18:42:53</t>
  </si>
  <si>
    <t xml:space="preserve">2025:11:26 18:43:18</t>
  </si>
  <si>
    <t xml:space="preserve">2025:11:26 18:43:26</t>
  </si>
  <si>
    <t xml:space="preserve">2025:11:26 18:42:18</t>
  </si>
  <si>
    <t xml:space="preserve">2025:11:26 18:43:33</t>
  </si>
  <si>
    <t xml:space="preserve">2025:11:26 18:43:40</t>
  </si>
  <si>
    <t xml:space="preserve">2025:11:26 18:44:52</t>
  </si>
  <si>
    <t xml:space="preserve">2025:11:26 18:44:24</t>
  </si>
  <si>
    <t xml:space="preserve">2025:11:26 18:44:13</t>
  </si>
  <si>
    <t xml:space="preserve">2025:11:26 18:44:40</t>
  </si>
  <si>
    <t xml:space="preserve">2025:11:26 18:44:34</t>
  </si>
  <si>
    <t xml:space="preserve">2025:11:26 18:45:00</t>
  </si>
  <si>
    <t xml:space="preserve">2025:11:26 18:45:09</t>
  </si>
  <si>
    <t xml:space="preserve">2025:11:26 18:44:06</t>
  </si>
  <si>
    <t xml:space="preserve">2025:11:26 18:45:19</t>
  </si>
  <si>
    <t xml:space="preserve">2025:11:26 18:45:25</t>
  </si>
  <si>
    <t xml:space="preserve">2025:11:26 16:55:10</t>
  </si>
  <si>
    <t xml:space="preserve">2025:11:26 16:55:20</t>
  </si>
  <si>
    <t xml:space="preserve">2025:11:26 16:56:03</t>
  </si>
  <si>
    <t xml:space="preserve">2025:11:26 16:56:13</t>
  </si>
  <si>
    <t xml:space="preserve">2025:11:26 16:55:44</t>
  </si>
  <si>
    <t xml:space="preserve">2025:11:26 16:57:16</t>
  </si>
  <si>
    <t xml:space="preserve">2025:11:26 16:56:40</t>
  </si>
  <si>
    <t xml:space="preserve">2025:11:26 16:56:50</t>
  </si>
  <si>
    <t xml:space="preserve">2025:11:26 16:56:59</t>
  </si>
  <si>
    <t xml:space="preserve">2025:11:26 18:46:37</t>
  </si>
  <si>
    <t xml:space="preserve">2025:11:26 18:46:44</t>
  </si>
  <si>
    <t xml:space="preserve">2025:11:26 18:47:08</t>
  </si>
  <si>
    <t xml:space="preserve">2025:11:26 18:45:50</t>
  </si>
  <si>
    <t xml:space="preserve">2025:11:26 18:46:02</t>
  </si>
  <si>
    <t xml:space="preserve">2025:11:26 18:46:52</t>
  </si>
  <si>
    <t xml:space="preserve">2025:11:26 18:46:15</t>
  </si>
  <si>
    <t xml:space="preserve">2025:11:26 18:46:29</t>
  </si>
  <si>
    <t xml:space="preserve">2025:11:26 18:48:00</t>
  </si>
  <si>
    <t xml:space="preserve">2025:11:26 18:47:49</t>
  </si>
  <si>
    <t xml:space="preserve">2025:11:26 18:48:12</t>
  </si>
  <si>
    <t xml:space="preserve">2025:11:26 18:47:37</t>
  </si>
  <si>
    <t xml:space="preserve">2025:11:26 18:50:32</t>
  </si>
  <si>
    <t xml:space="preserve">2025:11:26 18:50:21</t>
  </si>
  <si>
    <t xml:space="preserve">2025:11:26 18:48:39</t>
  </si>
  <si>
    <t xml:space="preserve">2025:11:26 16:57:40</t>
  </si>
  <si>
    <t xml:space="preserve">2025:11:26 16:58:03</t>
  </si>
  <si>
    <t xml:space="preserve">2025:11:26 16:58:13</t>
  </si>
  <si>
    <t xml:space="preserve">2025:11:26 16:57:52</t>
  </si>
  <si>
    <t xml:space="preserve">2025:11:26 17:00:18</t>
  </si>
  <si>
    <t xml:space="preserve">2025:11:26 17:00:26</t>
  </si>
  <si>
    <t xml:space="preserve">2025:11:26 17:00:30</t>
  </si>
  <si>
    <t xml:space="preserve">2025:11:26 16:59:35</t>
  </si>
  <si>
    <t xml:space="preserve">2025:11:26 16:58:58</t>
  </si>
  <si>
    <t xml:space="preserve">2025:11:26 16:59:08</t>
  </si>
  <si>
    <t xml:space="preserve">2025:11:26 16:59:19</t>
  </si>
  <si>
    <t xml:space="preserve">2025:11:26 17:01:18</t>
  </si>
  <si>
    <t xml:space="preserve">2025:11:26 17:01:27</t>
  </si>
  <si>
    <t xml:space="preserve">2025:11:26 17:01:09</t>
  </si>
  <si>
    <t xml:space="preserve">2025:11:26 17:02:34</t>
  </si>
  <si>
    <t xml:space="preserve">2025:11:26 17:02:24</t>
  </si>
  <si>
    <t xml:space="preserve">2025:11:26 17:01:54</t>
  </si>
  <si>
    <t xml:space="preserve">2025:11:26 17:02:03</t>
  </si>
  <si>
    <t xml:space="preserve">2025:11:26 17:02:12</t>
  </si>
  <si>
    <t xml:space="preserve">2025:11:26 18:54:36</t>
  </si>
  <si>
    <t xml:space="preserve">2025:11:26 18:53:02</t>
  </si>
  <si>
    <t xml:space="preserve">2025:11:26 18:53:14</t>
  </si>
  <si>
    <t xml:space="preserve">2025:11:26 18:54:23</t>
  </si>
  <si>
    <t xml:space="preserve">2025:11:26 18:53:26</t>
  </si>
  <si>
    <t xml:space="preserve">2025:11:26 18:54:03</t>
  </si>
  <si>
    <t xml:space="preserve">2025:11:26 18:55:40</t>
  </si>
  <si>
    <t xml:space="preserve">2025:11:26 18:55:31</t>
  </si>
  <si>
    <t xml:space="preserve">2025:11:26 18:55:56</t>
  </si>
  <si>
    <t xml:space="preserve">2025:11:26 18:55:18</t>
  </si>
  <si>
    <t xml:space="preserve">2025:11:26 17:03:03</t>
  </si>
  <si>
    <t xml:space="preserve">2025:11:26 17:03:27</t>
  </si>
  <si>
    <t xml:space="preserve">2025:11:26 17:03:36</t>
  </si>
  <si>
    <t xml:space="preserve">2025:11:26 17:03:16</t>
  </si>
  <si>
    <t xml:space="preserve">2025:11:26 17:04:47</t>
  </si>
  <si>
    <t xml:space="preserve">2025:11:26 17:04:01</t>
  </si>
  <si>
    <t xml:space="preserve">2025:11:26 17:04:20</t>
  </si>
  <si>
    <t xml:space="preserve">2025:11:26 17:04:34</t>
  </si>
  <si>
    <t xml:space="preserve">2025:11:26 17:05:10</t>
  </si>
  <si>
    <t xml:space="preserve">2025:11:26 17:05:32</t>
  </si>
  <si>
    <t xml:space="preserve">2025:11:26 17:05:42</t>
  </si>
  <si>
    <t xml:space="preserve">2025:11:26 17:05:22</t>
  </si>
  <si>
    <t xml:space="preserve">2025:11:26 18:57:33</t>
  </si>
  <si>
    <t xml:space="preserve">2025:11:26 18:57:02</t>
  </si>
  <si>
    <t xml:space="preserve">2025:11:26 18:57:47</t>
  </si>
  <si>
    <t xml:space="preserve">2025:11:26 18:56:20</t>
  </si>
  <si>
    <t xml:space="preserve">2025:11:26 18:56:40</t>
  </si>
  <si>
    <t xml:space="preserve">2025:11:26 18:57:11</t>
  </si>
  <si>
    <t xml:space="preserve">2025:11:26 18:56:50</t>
  </si>
  <si>
    <t xml:space="preserve">2025:11:26 18:57:21</t>
  </si>
  <si>
    <t xml:space="preserve">2025:11:26 17:06:33</t>
  </si>
  <si>
    <t xml:space="preserve">2025:11:26 17:06:02</t>
  </si>
  <si>
    <t xml:space="preserve">2025:11:26 17:06:12</t>
  </si>
  <si>
    <t xml:space="preserve">2025:11:26 17:06:22</t>
  </si>
  <si>
    <t xml:space="preserve">2025:11:26 18:58:57</t>
  </si>
  <si>
    <t xml:space="preserve">2025:11:26 18:59:07</t>
  </si>
  <si>
    <t xml:space="preserve">2025:11:26 18:58:11</t>
  </si>
  <si>
    <t xml:space="preserve">2025:11:26 18:58:24</t>
  </si>
  <si>
    <t xml:space="preserve">2025:11:26 18:59:20</t>
  </si>
  <si>
    <t xml:space="preserve">2025:11:26 18:58:37</t>
  </si>
  <si>
    <t xml:space="preserve">2025:11:26 18:58:48</t>
  </si>
  <si>
    <t xml:space="preserve">2025:11:26 19:00:07</t>
  </si>
  <si>
    <t xml:space="preserve">2025:11:26 18:59:58</t>
  </si>
  <si>
    <t xml:space="preserve">2025:11:26 18:59:47</t>
  </si>
  <si>
    <t xml:space="preserve">2025:11:26 19:00:33</t>
  </si>
  <si>
    <t xml:space="preserve">2025:11:26 19:00:45</t>
  </si>
  <si>
    <t xml:space="preserve">2025:11:26 19:01:22</t>
  </si>
  <si>
    <t xml:space="preserve">2025:11:26 19:00:59</t>
  </si>
  <si>
    <t xml:space="preserve">2025:11:26 19:01:11</t>
  </si>
  <si>
    <t xml:space="preserve">2025:11:26 19:01:45</t>
  </si>
  <si>
    <t xml:space="preserve">2025:11:26 19:01:55</t>
  </si>
  <si>
    <t xml:space="preserve">2025:11:26 19:02:16</t>
  </si>
  <si>
    <t xml:space="preserve">2025:11:26 19:02:06</t>
  </si>
  <si>
    <t xml:space="preserve">2025:11:26 19:02:23</t>
  </si>
  <si>
    <t xml:space="preserve">2025:11:26 19:02:43</t>
  </si>
  <si>
    <t xml:space="preserve">2025:11:26 19:02:55</t>
  </si>
  <si>
    <t xml:space="preserve">2025:11:26 19:03:22</t>
  </si>
  <si>
    <t xml:space="preserve">2025:11:26 19:03:06</t>
  </si>
  <si>
    <t xml:space="preserve">2025:11:26 19:03:18</t>
  </si>
  <si>
    <t xml:space="preserve">2025:11:26 19:03:51</t>
  </si>
  <si>
    <t xml:space="preserve">2025:11:26 19:04:21</t>
  </si>
  <si>
    <t xml:space="preserve">2025:11:26 19:04:03</t>
  </si>
  <si>
    <t xml:space="preserve">2025:11:26 19:04:28</t>
  </si>
  <si>
    <t xml:space="preserve">2025:11:26 19:04:56</t>
  </si>
  <si>
    <t xml:space="preserve">2025:11:26 19:05:32</t>
  </si>
  <si>
    <t xml:space="preserve">2025:11:26 19:05:15</t>
  </si>
  <si>
    <t xml:space="preserve">2025:11:26 19:05:22</t>
  </si>
  <si>
    <t xml:space="preserve">2025:11:26 19:05:57</t>
  </si>
  <si>
    <t xml:space="preserve">2025:11:26 19:06:22</t>
  </si>
  <si>
    <t xml:space="preserve">2025:11:26 19:06:07</t>
  </si>
  <si>
    <t xml:space="preserve">2025:11:26 19:06:15</t>
  </si>
  <si>
    <t xml:space="preserve">2025:11:26 19:06:42</t>
  </si>
  <si>
    <t xml:space="preserve">2025:11:26 19:07:03</t>
  </si>
  <si>
    <t xml:space="preserve">2025:11:26 19:06:52</t>
  </si>
  <si>
    <t xml:space="preserve">object_sha256</t>
  </si>
  <si>
    <t xml:space="preserve">object_type</t>
  </si>
  <si>
    <t xml:space="preserve">object_font_name</t>
  </si>
  <si>
    <t xml:space="preserve">object_description</t>
  </si>
  <si>
    <t xml:space="preserve">object_family</t>
  </si>
  <si>
    <t xml:space="preserve">object_size_bytes</t>
  </si>
  <si>
    <t xml:space="preserve">object_font_code</t>
  </si>
  <si>
    <t xml:space="preserve">object_person_name</t>
  </si>
  <si>
    <t xml:space="preserve">object_person_role</t>
  </si>
  <si>
    <t xml:space="preserve">object_date</t>
  </si>
  <si>
    <t xml:space="preserve">object_time</t>
  </si>
  <si>
    <t xml:space="preserve">object_image_w</t>
  </si>
  <si>
    <t xml:space="preserve">object_image_h</t>
  </si>
  <si>
    <t xml:space="preserve">.png</t>
  </si>
  <si>
    <t xml:space="preserve">Handwritten Signature of Judge Lisa K Janzen 06</t>
  </si>
  <si>
    <t xml:space="preserve">Judicial Officer Signature</t>
  </si>
  <si>
    <t xml:space="preserve">Lisa K. Janzen</t>
  </si>
  <si>
    <t xml:space="preserve">Judicial Officer</t>
  </si>
  <si>
    <t xml:space="preserve">All black image rectangle – 782 x 300 px</t>
  </si>
  <si>
    <t xml:space="preserve">Image PNG</t>
  </si>
  <si>
    <t xml:space="preserve">.ttf</t>
  </si>
  <si>
    <t xml:space="preserve">Book Antiqua</t>
  </si>
  <si>
    <t xml:space="preserve">Font</t>
  </si>
  <si>
    <t xml:space="preserve">Book Antiqua Negreta</t>
  </si>
  <si>
    <t xml:space="preserve">.jpg</t>
  </si>
  <si>
    <t xml:space="preserve">Image JPG</t>
  </si>
  <si>
    <t xml:space="preserve">USPS Returned Mail Scan</t>
  </si>
  <si>
    <t xml:space="preserve">Handwritten Signature of Judge Lisa K Janzen 02</t>
  </si>
  <si>
    <t xml:space="preserve">Times New Roman</t>
  </si>
  <si>
    <t xml:space="preserve">Calibri</t>
  </si>
  <si>
    <t xml:space="preserve">Symbol</t>
  </si>
  <si>
    <t xml:space="preserve">Wingdings</t>
  </si>
  <si>
    <t xml:space="preserve">Handwritten Signature of Judge Lisa K Janzen 01</t>
  </si>
  <si>
    <t xml:space="preserve">UZEWEE+Calibri</t>
  </si>
  <si>
    <t xml:space="preserve">UZEWEE</t>
  </si>
  <si>
    <t xml:space="preserve">.cff</t>
  </si>
  <si>
    <t xml:space="preserve">CFF-Font-1b</t>
  </si>
  <si>
    <t xml:space="preserve">Handwritten Signature of Judge Lisa K Janzen 08</t>
  </si>
  <si>
    <t xml:space="preserve">.cid</t>
  </si>
  <si>
    <t xml:space="preserve">Handwritten Signature of Judge Lisa K Janzen 04</t>
  </si>
  <si>
    <t xml:space="preserve">Handwritten Signature of Judge Lisa K Janzen 03</t>
  </si>
  <si>
    <t xml:space="preserve">ONGENI+ArialMT</t>
  </si>
  <si>
    <t xml:space="preserve">ONGENI</t>
  </si>
  <si>
    <t xml:space="preserve">ONGEHJ+TimesNewRomanPS</t>
  </si>
  <si>
    <t xml:space="preserve">ONGEHJ</t>
  </si>
  <si>
    <t xml:space="preserve">ONGEDG+Calibri</t>
  </si>
  <si>
    <t xml:space="preserve">ONGEDG</t>
  </si>
  <si>
    <t xml:space="preserve">ONGGOO+Wingdings</t>
  </si>
  <si>
    <t xml:space="preserve">ONGGOO</t>
  </si>
  <si>
    <t xml:space="preserve">ONGGJP+SymbolMT</t>
  </si>
  <si>
    <t xml:space="preserve">ONGGJP</t>
  </si>
  <si>
    <t xml:space="preserve">ONGEGH+TimesNewRomanPSMT</t>
  </si>
  <si>
    <t xml:space="preserve">ONGEGH</t>
  </si>
  <si>
    <t xml:space="preserve">COLNXP+ArialMT</t>
  </si>
  <si>
    <t xml:space="preserve">COLNP</t>
  </si>
  <si>
    <t xml:space="preserve">Arial</t>
  </si>
  <si>
    <t xml:space="preserve">Calibri,Calibri Light</t>
  </si>
  <si>
    <t xml:space="preserve">Times New Roman, Regular</t>
  </si>
  <si>
    <t xml:space="preserve">Handwritten Signature of Referee Danielle Mercurio</t>
  </si>
  <si>
    <t xml:space="preserve">Danielle Mercurio</t>
  </si>
  <si>
    <t xml:space="preserve">Handwritten Signature of Judge Michael Browne 01</t>
  </si>
  <si>
    <t xml:space="preserve">Michael K. Browne</t>
  </si>
  <si>
    <t xml:space="preserve">HCICCK+Calibri</t>
  </si>
  <si>
    <t xml:space="preserve">HCICCK</t>
  </si>
  <si>
    <t xml:space="preserve">HCICFL+Calibri,Bold</t>
  </si>
  <si>
    <t xml:space="preserve">HCICFL</t>
  </si>
  <si>
    <t xml:space="preserve">Handwritten Signature of Judge Julia Dayton Klein 01</t>
  </si>
  <si>
    <t xml:space="preserve">Julia Dayton Klein</t>
  </si>
  <si>
    <t xml:space="preserve">SIWLRY+TimesNewRomanPS-BoldMT</t>
  </si>
  <si>
    <t xml:space="preserve">SIWLRY</t>
  </si>
  <si>
    <t xml:space="preserve">JKNJVQ+TimesNewRomanPSMT</t>
  </si>
  <si>
    <t xml:space="preserve">JKNJVQ</t>
  </si>
  <si>
    <t xml:space="preserve">RBZLNQ+TimesNewRomanPS-BoldMT</t>
  </si>
  <si>
    <t xml:space="preserve">RBZLNQ</t>
  </si>
  <si>
    <t xml:space="preserve">CCMULU+CourierNewPSMT</t>
  </si>
  <si>
    <t xml:space="preserve">CCMULU</t>
  </si>
  <si>
    <t xml:space="preserve">HZBDDK+TimesNewRomanPSMT</t>
  </si>
  <si>
    <t xml:space="preserve">HZBDDK</t>
  </si>
  <si>
    <t xml:space="preserve">GIKSPM+ArialMT</t>
  </si>
  <si>
    <t xml:space="preserve">GIKSPM</t>
  </si>
  <si>
    <t xml:space="preserve">LMBYES+TimesNewRomanPS-BoldMT</t>
  </si>
  <si>
    <t xml:space="preserve">LMBYES</t>
  </si>
  <si>
    <t xml:space="preserve">WNJMCW+CourierNewPSMT</t>
  </si>
  <si>
    <t xml:space="preserve">WNJMCW</t>
  </si>
  <si>
    <t xml:space="preserve">ATMKGO+ArialMT</t>
  </si>
  <si>
    <t xml:space="preserve">ATMKGO</t>
  </si>
  <si>
    <t xml:space="preserve">YIKYES+TimesNewRomanPSMT</t>
  </si>
  <si>
    <t xml:space="preserve">YIKYES</t>
  </si>
  <si>
    <t xml:space="preserve">JFTROF+ArialMT</t>
  </si>
  <si>
    <t xml:space="preserve">JFTROF</t>
  </si>
  <si>
    <t xml:space="preserve">WBHWOF+TimesNewRomanPS-BoldMT</t>
  </si>
  <si>
    <t xml:space="preserve">WBHWOF</t>
  </si>
  <si>
    <t xml:space="preserve">LAUIQB+TimesNewRomanPSMT</t>
  </si>
  <si>
    <t xml:space="preserve">LAUIQB</t>
  </si>
  <si>
    <t xml:space="preserve">FZQTKN+CourierNewPSMT</t>
  </si>
  <si>
    <t xml:space="preserve">FZQTKN</t>
  </si>
  <si>
    <t xml:space="preserve">BFTZJQ+CourierNewPSMT</t>
  </si>
  <si>
    <t xml:space="preserve">BFTZJQ</t>
  </si>
  <si>
    <t xml:space="preserve">RIQRZK+TimesNewRomanPS-BoldMT</t>
  </si>
  <si>
    <t xml:space="preserve">RIQRZK</t>
  </si>
  <si>
    <t xml:space="preserve">IKHPDC+TimesNewRomanPSMT</t>
  </si>
  <si>
    <t xml:space="preserve">IKHPDC</t>
  </si>
  <si>
    <t xml:space="preserve">FLRXNI+ArialMT</t>
  </si>
  <si>
    <t xml:space="preserve">FLRXNI</t>
  </si>
  <si>
    <t xml:space="preserve">ZPTPDP+TimesNewRomanPSMT</t>
  </si>
  <si>
    <t xml:space="preserve">ZPTPDP</t>
  </si>
  <si>
    <t xml:space="preserve">MTKPDP+TimesNewRomanPS-BoldMT</t>
  </si>
  <si>
    <t xml:space="preserve">MTKPDP</t>
  </si>
  <si>
    <t xml:space="preserve">XUSDBT+CourierNewPSMT</t>
  </si>
  <si>
    <t xml:space="preserve">XUSDBT</t>
  </si>
  <si>
    <t xml:space="preserve">ABGVRN+ArialMT</t>
  </si>
  <si>
    <t xml:space="preserve">ABGVRN</t>
  </si>
  <si>
    <t xml:space="preserve">DTORLH+ArialMT</t>
  </si>
  <si>
    <t xml:space="preserve">DTORLH</t>
  </si>
  <si>
    <t xml:space="preserve">IQDVDX+TimesNewRomanPSMT</t>
  </si>
  <si>
    <t xml:space="preserve">IQDVDX</t>
  </si>
  <si>
    <t xml:space="preserve">YJBITR+CourierNewPSMT</t>
  </si>
  <si>
    <t xml:space="preserve">YJBITR</t>
  </si>
  <si>
    <t xml:space="preserve">QPCRLH+TimesNewRomanPS-BoldMT</t>
  </si>
  <si>
    <t xml:space="preserve">QPCRLH</t>
  </si>
  <si>
    <t xml:space="preserve">ODZYRG+TimesNewRomanPS-BoldMT</t>
  </si>
  <si>
    <t xml:space="preserve">ODZYRG</t>
  </si>
  <si>
    <t xml:space="preserve">EOZQHA+ArialMT</t>
  </si>
  <si>
    <t xml:space="preserve">EOZQHA</t>
  </si>
  <si>
    <t xml:space="preserve">FFLBVY+TimesNewRomanPSMT</t>
  </si>
  <si>
    <t xml:space="preserve">FFLBVY</t>
  </si>
  <si>
    <t xml:space="preserve">AIWSDI+CourierNewPSMT</t>
  </si>
  <si>
    <t xml:space="preserve">AIWSDI</t>
  </si>
  <si>
    <t xml:space="preserve">XMFYQO+TimesNewRomanPSMT</t>
  </si>
  <si>
    <t xml:space="preserve">XMFYQO</t>
  </si>
  <si>
    <t xml:space="preserve">WVTSCQ+ArialMT</t>
  </si>
  <si>
    <t xml:space="preserve">WVTSCQ</t>
  </si>
  <si>
    <t xml:space="preserve">TOFAMW+CourierNewPSMT</t>
  </si>
  <si>
    <t xml:space="preserve">TOFAMW</t>
  </si>
  <si>
    <t xml:space="preserve">JRCSCQ+TimesNewRomanPS-BoldMT</t>
  </si>
  <si>
    <t xml:space="preserve">JRCSCQ</t>
  </si>
  <si>
    <t xml:space="preserve">GBGUFG+TimesNewRomanPS-BoldMT</t>
  </si>
  <si>
    <t xml:space="preserve">GBGUFG</t>
  </si>
  <si>
    <t xml:space="preserve">RPVIDK+TimesNewRomanPSMT</t>
  </si>
  <si>
    <t xml:space="preserve">RPVIDK</t>
  </si>
  <si>
    <t xml:space="preserve">XMCXOZ+TimesNewRomanPS-BoldMT</t>
  </si>
  <si>
    <t xml:space="preserve">XMCXOZ</t>
  </si>
  <si>
    <t xml:space="preserve">LHADCX+TimesNewRomanPSMT</t>
  </si>
  <si>
    <t xml:space="preserve">LHADCX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</si>
</sst>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  <font>
      <sz val="12"/>
      <color rgb="FF00008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EEEEEE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80"/>
        </patternFill>
      </fill>
    </dxf>
  </dxf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4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9.72"/>
    <col collapsed="false" customWidth="true" hidden="false" outlineLevel="0" max="2" min="2" style="2" width="21.38"/>
    <col collapsed="false" customWidth="true" hidden="false" outlineLevel="0" max="3" min="3" style="1" width="14.31"/>
    <col collapsed="false" customWidth="true" hidden="false" outlineLevel="0" max="4" min="4" style="2" width="27.23"/>
    <col collapsed="false" customWidth="true" hidden="false" outlineLevel="0" max="5" min="5" style="1" width="17.09"/>
    <col collapsed="false" customWidth="true" hidden="false" outlineLevel="0" max="6" min="6" style="2" width="64.18"/>
    <col collapsed="false" customWidth="true" hidden="false" outlineLevel="0" max="7" min="7" style="2" width="126.85"/>
    <col collapsed="false" customWidth="true" hidden="false" outlineLevel="0" max="8" min="8" style="2" width="84.23"/>
    <col collapsed="false" customWidth="true" hidden="false" outlineLevel="0" max="9" min="9" style="2" width="129.07"/>
    <col collapsed="false" customWidth="true" hidden="false" outlineLevel="0" max="10" min="10" style="2" width="132.13"/>
    <col collapsed="false" customWidth="true" hidden="false" outlineLevel="0" max="11" min="11" style="2" width="134.77"/>
    <col collapsed="false" customWidth="true" hidden="false" outlineLevel="0" max="12" min="12" style="2" width="129.21"/>
    <col collapsed="false" customWidth="false" hidden="false" outlineLevel="0" max="1003" min="13" style="2" width="11.52"/>
  </cols>
  <sheetData>
    <row r="1" s="6" customFormat="true" ht="23.05" hidden="false" customHeight="true" outlineLevel="0" collapsed="false">
      <c r="A1" s="3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5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8.7" hidden="false" customHeight="true" outlineLevel="0" collapsed="false">
      <c r="A2" s="1" t="n">
        <v>1</v>
      </c>
      <c r="B2" s="7" t="str">
        <f aca="false">HYPERLINK("https://mncourtfraud.com/file/27-CR-19-26893.pdf","27-CR-19-26893")</f>
        <v>27-CR-19-26893</v>
      </c>
      <c r="C2" s="1" t="n">
        <v>1</v>
      </c>
      <c r="D2" s="2" t="s">
        <v>12</v>
      </c>
      <c r="E2" s="8" t="n">
        <v>43844</v>
      </c>
      <c r="F2" s="2" t="s">
        <v>13</v>
      </c>
      <c r="G2" s="7" t="str">
        <f aca="false">HYPERLINK("https://mncourtfraud.com/file/MCRO_27-CR-19-26893_Find of Fact-Order, Pet Commitment-Dfd Found Incompetent_2020-01-14_20251126174653.pdf","MCRO_27-CR-19-26893_Find of Fact-Order, Pet Commitment-Dfd Found Incompetent_2020-01-14_20251126174653.pdf")</f>
        <v>MCRO_27-CR-19-26893_Find of Fact-Order, Pet Commitment-Dfd Found Incompetent_2020-01-14_20251126174653.pdf</v>
      </c>
      <c r="H2" s="2" t="s">
        <v>14</v>
      </c>
      <c r="I2" s="7" t="str">
        <f aca="false">HYPERLINK("https://mncourtfraud.com/file/MCRO_27-CR-19-26893_Find of Fact-Order, Pet Commitment-Dfd Found Incompetent_2020-01-14_20251126174653.pdf.ots","MCRO_27-CR-19-26893_Find of Fact-Order, Pet Commitment-Dfd Found Incompetent_2020-01-14_20251126174653.pdf.ots")</f>
        <v>MCRO_27-CR-19-26893_Find of Fact-Order, Pet Commitment-Dfd Found Incompetent_2020-01-14_20251126174653.pdf.ots</v>
      </c>
      <c r="J2" s="7" t="str">
        <f aca="false">HYPERLINK("https://mncourtfraud.com/file/MCRO_27-CR-19-26893_Find of Fact-Order, Pet Commitment-Dfd Found Incompetent_2020-01-14_20251126174653_META.txt","MCRO_27-CR-19-26893_Find of Fact-Order, Pet Commitment-Dfd Found Incompetent_2020-01-14_20251126174653_META.txt")</f>
        <v>MCRO_27-CR-19-26893_Find of Fact-Order, Pet Commitment-Dfd Found Incompetent_2020-01-14_20251126174653_META.txt</v>
      </c>
      <c r="K2" s="7" t="str">
        <f aca="false">HYPERLINK("https://mncourtfraud.com/file/MCRO_27-CR-19-26893_Find of Fact-Order, Pet Commitment-Dfd Found Incompetent_2020-01-14_20251126174653_PDFSIGS.txt","MCRO_27-CR-19-26893_Find of Fact-Order, Pet Commitment-Dfd Found Incompetent_2020-01-14_20251126174653_PDFSIGS.txt")</f>
        <v>MCRO_27-CR-19-26893_Find of Fact-Order, Pet Commitment-Dfd Found Incompetent_2020-01-14_20251126174653_PDFSIGS.txt</v>
      </c>
      <c r="L2" s="7" t="str">
        <f aca="false">HYPERLINK("https://mncourtfraud.com/file/MCRO_27-CR-19-26893_Find_of_Fact-Order,_Pet_Commitment-Dfd_Found_Incompetent_2020-01-14_20251126174653.zip","MCRO_27-CR-19-26893_Find_of_Fact-Order,_Pet_Commitment-Dfd_Found_Incompetent_2020-01-14_20251126174653.zip")</f>
        <v>MCRO_27-CR-19-26893_Find_of_Fact-Order,_Pet_Commitment-Dfd_Found_Incompetent_2020-01-14_20251126174653.zip</v>
      </c>
    </row>
    <row r="3" customFormat="false" ht="18.7" hidden="false" customHeight="true" outlineLevel="0" collapsed="false">
      <c r="A3" s="1" t="n">
        <v>2</v>
      </c>
      <c r="B3" s="7" t="str">
        <f aca="false">HYPERLINK("https://mncourtfraud.com/file/27-CR-19-26893.pdf","27-CR-19-26893")</f>
        <v>27-CR-19-26893</v>
      </c>
      <c r="C3" s="1" t="n">
        <v>1</v>
      </c>
      <c r="D3" s="2" t="s">
        <v>12</v>
      </c>
      <c r="E3" s="8" t="n">
        <v>43902</v>
      </c>
      <c r="F3" s="2" t="s">
        <v>15</v>
      </c>
      <c r="G3" s="7" t="str">
        <f aca="false">HYPERLINK("https://mncourtfraud.com/file/MCRO_27-CR-19-26893_Order-Evaluation for Competency to Proceed (Rule 20.01)_2020-03-12_20251126174914.pdf","MCRO_27-CR-19-26893_Order-Evaluation for Competency to Proceed (Rule 20.01)_2020-03-12_20251126174914.pdf")</f>
        <v>MCRO_27-CR-19-26893_Order-Evaluation for Competency to Proceed (Rule 20.01)_2020-03-12_20251126174914.pdf</v>
      </c>
      <c r="H3" s="2" t="s">
        <v>16</v>
      </c>
      <c r="I3" s="7" t="str">
        <f aca="false">HYPERLINK("https://mncourtfraud.com/file/MCRO_27-CR-19-26893_Order-Evaluation for Competency to Proceed (Rule 20.01)_2020-03-12_20251126174914.pdf.ots","MCRO_27-CR-19-26893_Order-Evaluation for Competency to Proceed (Rule 20.01)_2020-03-12_20251126174914.pdf.ots")</f>
        <v>MCRO_27-CR-19-26893_Order-Evaluation for Competency to Proceed (Rule 20.01)_2020-03-12_20251126174914.pdf.ots</v>
      </c>
      <c r="J3" s="7" t="str">
        <f aca="false">HYPERLINK("https://mncourtfraud.com/file/MCRO_27-CR-19-26893_Order-Evaluation for Competency to Proceed (Rule 20.01)_2020-03-12_20251126174914_META.txt","MCRO_27-CR-19-26893_Order-Evaluation for Competency to Proceed (Rule 20.01)_2020-03-12_20251126174914_META.txt")</f>
        <v>MCRO_27-CR-19-26893_Order-Evaluation for Competency to Proceed (Rule 20.01)_2020-03-12_20251126174914_META.txt</v>
      </c>
      <c r="K3" s="7" t="str">
        <f aca="false">HYPERLINK("https://mncourtfraud.com/file/MCRO_27-CR-19-26893_Order-Evaluation for Competency to Proceed (Rule 20.01)_2020-03-12_20251126174914_PDFSIGS.txt","MCRO_27-CR-19-26893_Order-Evaluation for Competency to Proceed (Rule 20.01)_2020-03-12_20251126174914_PDFSIGS.txt")</f>
        <v>MCRO_27-CR-19-26893_Order-Evaluation for Competency to Proceed (Rule 20.01)_2020-03-12_20251126174914_PDFSIGS.txt</v>
      </c>
      <c r="L3" s="7" t="str">
        <f aca="false">HYPERLINK("https://mncourtfraud.com/file/MCRO_27-CR-19-26893_Order-Evaluation_for_Competency_to_Proceed_(Rule_20.01)_2020-03-12_20251126174914.zip","MCRO_27-CR-19-26893_Order-Evaluation_for_Competency_to_Proceed_(Rule_20.01)_2020-03-12_20251126174914.zip")</f>
        <v>MCRO_27-CR-19-26893_Order-Evaluation_for_Competency_to_Proceed_(Rule_20.01)_2020-03-12_20251126174914.zip</v>
      </c>
    </row>
    <row r="4" customFormat="false" ht="18.7" hidden="false" customHeight="true" outlineLevel="0" collapsed="false">
      <c r="A4" s="1" t="n">
        <v>3</v>
      </c>
      <c r="B4" s="7" t="str">
        <f aca="false">HYPERLINK("https://mncourtfraud.com/file/27-CR-19-26893.pdf","27-CR-19-26893")</f>
        <v>27-CR-19-26893</v>
      </c>
      <c r="C4" s="1" t="n">
        <v>1</v>
      </c>
      <c r="D4" s="2" t="s">
        <v>12</v>
      </c>
      <c r="E4" s="8" t="n">
        <v>43970</v>
      </c>
      <c r="F4" s="2" t="s">
        <v>17</v>
      </c>
      <c r="G4" s="7" t="str">
        <f aca="false">HYPERLINK("https://mncourtfraud.com/file/MCRO_27-CR-19-26893_Returned Mail_2020-05-19_20251126174953.pdf","MCRO_27-CR-19-26893_Returned Mail_2020-05-19_20251126174953.pdf")</f>
        <v>MCRO_27-CR-19-26893_Returned Mail_2020-05-19_20251126174953.pdf</v>
      </c>
      <c r="H4" s="2" t="s">
        <v>18</v>
      </c>
      <c r="I4" s="7" t="str">
        <f aca="false">HYPERLINK("https://mncourtfraud.com/file/MCRO_27-CR-19-26893_Returned Mail_2020-05-19_20251126174953.pdf.ots","MCRO_27-CR-19-26893_Returned Mail_2020-05-19_20251126174953.pdf.ots")</f>
        <v>MCRO_27-CR-19-26893_Returned Mail_2020-05-19_20251126174953.pdf.ots</v>
      </c>
      <c r="J4" s="7" t="str">
        <f aca="false">HYPERLINK("https://mncourtfraud.com/file/MCRO_27-CR-19-26893_Returned Mail_2020-05-19_20251126174953_META.txt","MCRO_27-CR-19-26893_Returned Mail_2020-05-19_20251126174953_META.txt")</f>
        <v>MCRO_27-CR-19-26893_Returned Mail_2020-05-19_20251126174953_META.txt</v>
      </c>
      <c r="K4" s="7" t="str">
        <f aca="false">HYPERLINK("https://mncourtfraud.com/file/MCRO_27-CR-19-26893_Returned Mail_2020-05-19_20251126174953_PDFSIGS.txt","MCRO_27-CR-19-26893_Returned Mail_2020-05-19_20251126174953_PDFSIGS.txt")</f>
        <v>MCRO_27-CR-19-26893_Returned Mail_2020-05-19_20251126174953_PDFSIGS.txt</v>
      </c>
      <c r="L4" s="7" t="str">
        <f aca="false">HYPERLINK("https://mncourtfraud.com/file/MCRO_27-CR-19-26893_Returned_Mail_2020-05-19_20251126174953.zip","MCRO_27-CR-19-26893_Returned_Mail_2020-05-19_20251126174953.zip")</f>
        <v>MCRO_27-CR-19-26893_Returned_Mail_2020-05-19_20251126174953.zip</v>
      </c>
    </row>
    <row r="5" customFormat="false" ht="18.7" hidden="false" customHeight="true" outlineLevel="0" collapsed="false">
      <c r="A5" s="1" t="n">
        <v>4</v>
      </c>
      <c r="B5" s="7" t="str">
        <f aca="false">HYPERLINK("https://mncourtfraud.com/file/27-CR-19-26893.pdf","27-CR-19-26893")</f>
        <v>27-CR-19-26893</v>
      </c>
      <c r="C5" s="1" t="n">
        <v>1</v>
      </c>
      <c r="D5" s="2" t="s">
        <v>12</v>
      </c>
      <c r="E5" s="8" t="n">
        <v>44103</v>
      </c>
      <c r="F5" s="2" t="s">
        <v>19</v>
      </c>
      <c r="G5" s="7" t="str">
        <f aca="false">HYPERLINK("https://mncourtfraud.com/file/MCRO_27-CR-19-26893_Findings and Order_2020-09-29_20251126174721.pdf","MCRO_27-CR-19-26893_Findings and Order_2020-09-29_20251126174721.pdf")</f>
        <v>MCRO_27-CR-19-26893_Findings and Order_2020-09-29_20251126174721.pdf</v>
      </c>
      <c r="H5" s="2" t="s">
        <v>20</v>
      </c>
      <c r="I5" s="7" t="str">
        <f aca="false">HYPERLINK("https://mncourtfraud.com/file/MCRO_27-CR-19-26893_Findings and Order_2020-09-29_20251126174721.pdf.ots","MCRO_27-CR-19-26893_Findings and Order_2020-09-29_20251126174721.pdf.ots")</f>
        <v>MCRO_27-CR-19-26893_Findings and Order_2020-09-29_20251126174721.pdf.ots</v>
      </c>
      <c r="J5" s="7" t="str">
        <f aca="false">HYPERLINK("https://mncourtfraud.com/file/MCRO_27-CR-19-26893_Findings and Order_2020-09-29_20251126174721_META.txt","MCRO_27-CR-19-26893_Findings and Order_2020-09-29_20251126174721_META.txt")</f>
        <v>MCRO_27-CR-19-26893_Findings and Order_2020-09-29_20251126174721_META.txt</v>
      </c>
      <c r="K5" s="7" t="str">
        <f aca="false">HYPERLINK("https://mncourtfraud.com/file/MCRO_27-CR-19-26893_Findings and Order_2020-09-29_20251126174721_PDFSIGS.txt","MCRO_27-CR-19-26893_Findings and Order_2020-09-29_20251126174721_PDFSIGS.txt")</f>
        <v>MCRO_27-CR-19-26893_Findings and Order_2020-09-29_20251126174721_PDFSIGS.txt</v>
      </c>
      <c r="L5" s="7" t="str">
        <f aca="false">HYPERLINK("https://mncourtfraud.com/file/MCRO_27-CR-19-26893_Findings_and_Order_2020-09-29_20251126174721.zip","MCRO_27-CR-19-26893_Findings_and_Order_2020-09-29_20251126174721.zip")</f>
        <v>MCRO_27-CR-19-26893_Findings_and_Order_2020-09-29_20251126174721.zip</v>
      </c>
    </row>
    <row r="6" customFormat="false" ht="18.7" hidden="false" customHeight="true" outlineLevel="0" collapsed="false">
      <c r="A6" s="1" t="n">
        <v>5</v>
      </c>
      <c r="B6" s="7" t="str">
        <f aca="false">HYPERLINK("https://mncourtfraud.com/file/27-CR-19-26893.pdf","27-CR-19-26893")</f>
        <v>27-CR-19-26893</v>
      </c>
      <c r="C6" s="1" t="n">
        <v>1</v>
      </c>
      <c r="D6" s="2" t="s">
        <v>12</v>
      </c>
      <c r="E6" s="8" t="n">
        <v>44225</v>
      </c>
      <c r="F6" s="2" t="s">
        <v>15</v>
      </c>
      <c r="G6" s="7" t="str">
        <f aca="false">HYPERLINK("https://mncourtfraud.com/file/MCRO_27-CR-19-26893_Order-Evaluation for Competency to Proceed (Rule 20.01)_2021-01-29_20251126174927.pdf","MCRO_27-CR-19-26893_Order-Evaluation for Competency to Proceed (Rule 20.01)_2021-01-29_20251126174927.pdf")</f>
        <v>MCRO_27-CR-19-26893_Order-Evaluation for Competency to Proceed (Rule 20.01)_2021-01-29_20251126174927.pdf</v>
      </c>
      <c r="H6" s="2" t="s">
        <v>21</v>
      </c>
      <c r="I6" s="7" t="str">
        <f aca="false">HYPERLINK("https://mncourtfraud.com/file/MCRO_27-CR-19-26893_Order-Evaluation for Competency to Proceed (Rule 20.01)_2021-01-29_20251126174927.pdf.ots","MCRO_27-CR-19-26893_Order-Evaluation for Competency to Proceed (Rule 20.01)_2021-01-29_20251126174927.pdf.ots")</f>
        <v>MCRO_27-CR-19-26893_Order-Evaluation for Competency to Proceed (Rule 20.01)_2021-01-29_20251126174927.pdf.ots</v>
      </c>
      <c r="J6" s="7" t="str">
        <f aca="false">HYPERLINK("https://mncourtfraud.com/file/MCRO_27-CR-19-26893_Order-Evaluation for Competency to Proceed (Rule 20.01)_2021-01-29_20251126174927_META.txt","MCRO_27-CR-19-26893_Order-Evaluation for Competency to Proceed (Rule 20.01)_2021-01-29_20251126174927_META.txt")</f>
        <v>MCRO_27-CR-19-26893_Order-Evaluation for Competency to Proceed (Rule 20.01)_2021-01-29_20251126174927_META.txt</v>
      </c>
      <c r="K6" s="7" t="str">
        <f aca="false">HYPERLINK("https://mncourtfraud.com/file/MCRO_27-CR-19-26893_Order-Evaluation for Competency to Proceed (Rule 20.01)_2021-01-29_20251126174927_PDFSIGS.txt","MCRO_27-CR-19-26893_Order-Evaluation for Competency to Proceed (Rule 20.01)_2021-01-29_20251126174927_PDFSIGS.txt")</f>
        <v>MCRO_27-CR-19-26893_Order-Evaluation for Competency to Proceed (Rule 20.01)_2021-01-29_20251126174927_PDFSIGS.txt</v>
      </c>
      <c r="L6" s="7" t="str">
        <f aca="false">HYPERLINK("https://mncourtfraud.com/file/MCRO_27-CR-19-26893_Order-Evaluation_for_Competency_to_Proceed_(Rule_20.01)_2021-01-29_20251126174927.zip","MCRO_27-CR-19-26893_Order-Evaluation_for_Competency_to_Proceed_(Rule_20.01)_2021-01-29_20251126174927.zip")</f>
        <v>MCRO_27-CR-19-26893_Order-Evaluation_for_Competency_to_Proceed_(Rule_20.01)_2021-01-29_20251126174927.zip</v>
      </c>
    </row>
    <row r="7" customFormat="false" ht="18.7" hidden="false" customHeight="true" outlineLevel="0" collapsed="false">
      <c r="A7" s="1" t="n">
        <v>6</v>
      </c>
      <c r="B7" s="7" t="str">
        <f aca="false">HYPERLINK("https://mncourtfraud.com/file/27-CR-19-26893.pdf","27-CR-19-26893")</f>
        <v>27-CR-19-26893</v>
      </c>
      <c r="C7" s="1" t="n">
        <v>1</v>
      </c>
      <c r="D7" s="2" t="s">
        <v>12</v>
      </c>
      <c r="E7" s="8" t="n">
        <v>44396</v>
      </c>
      <c r="F7" s="2" t="s">
        <v>15</v>
      </c>
      <c r="G7" s="7" t="str">
        <f aca="false">HYPERLINK("https://mncourtfraud.com/file/MCRO_27-CR-19-26893_Order-Evaluation for Competency to Proceed (Rule 20.01)_2021-07-19_20251126174939.pdf","MCRO_27-CR-19-26893_Order-Evaluation for Competency to Proceed (Rule 20.01)_2021-07-19_20251126174939.pdf")</f>
        <v>MCRO_27-CR-19-26893_Order-Evaluation for Competency to Proceed (Rule 20.01)_2021-07-19_20251126174939.pdf</v>
      </c>
      <c r="H7" s="2" t="s">
        <v>22</v>
      </c>
      <c r="I7" s="7" t="str">
        <f aca="false">HYPERLINK("https://mncourtfraud.com/file/MCRO_27-CR-19-26893_Order-Evaluation for Competency to Proceed (Rule 20.01)_2021-07-19_20251126174939.pdf.ots","MCRO_27-CR-19-26893_Order-Evaluation for Competency to Proceed (Rule 20.01)_2021-07-19_20251126174939.pdf.ots")</f>
        <v>MCRO_27-CR-19-26893_Order-Evaluation for Competency to Proceed (Rule 20.01)_2021-07-19_20251126174939.pdf.ots</v>
      </c>
      <c r="J7" s="7" t="str">
        <f aca="false">HYPERLINK("https://mncourtfraud.com/file/MCRO_27-CR-19-26893_Order-Evaluation for Competency to Proceed (Rule 20.01)_2021-07-19_20251126174939_META.txt","MCRO_27-CR-19-26893_Order-Evaluation for Competency to Proceed (Rule 20.01)_2021-07-19_20251126174939_META.txt")</f>
        <v>MCRO_27-CR-19-26893_Order-Evaluation for Competency to Proceed (Rule 20.01)_2021-07-19_20251126174939_META.txt</v>
      </c>
      <c r="K7" s="7" t="str">
        <f aca="false">HYPERLINK("https://mncourtfraud.com/file/MCRO_27-CR-19-26893_Order-Evaluation for Competency to Proceed (Rule 20.01)_2021-07-19_20251126174939_PDFSIGS.txt","MCRO_27-CR-19-26893_Order-Evaluation for Competency to Proceed (Rule 20.01)_2021-07-19_20251126174939_PDFSIGS.txt")</f>
        <v>MCRO_27-CR-19-26893_Order-Evaluation for Competency to Proceed (Rule 20.01)_2021-07-19_20251126174939_PDFSIGS.txt</v>
      </c>
      <c r="L7" s="7" t="str">
        <f aca="false">HYPERLINK("https://mncourtfraud.com/file/MCRO_27-CR-19-26893_Order-Evaluation_for_Competency_to_Proceed_(Rule_20.01)_2021-07-19_20251126174939.zip","MCRO_27-CR-19-26893_Order-Evaluation_for_Competency_to_Proceed_(Rule_20.01)_2021-07-19_20251126174939.zip")</f>
        <v>MCRO_27-CR-19-26893_Order-Evaluation_for_Competency_to_Proceed_(Rule_20.01)_2021-07-19_20251126174939.zip</v>
      </c>
    </row>
    <row r="8" customFormat="false" ht="18.7" hidden="false" customHeight="true" outlineLevel="0" collapsed="false">
      <c r="A8" s="1" t="n">
        <v>7</v>
      </c>
      <c r="B8" s="7" t="str">
        <f aca="false">HYPERLINK("https://mncourtfraud.com/file/27-CR-19-26893.pdf","27-CR-19-26893")</f>
        <v>27-CR-19-26893</v>
      </c>
      <c r="C8" s="1" t="n">
        <v>1</v>
      </c>
      <c r="D8" s="2" t="s">
        <v>12</v>
      </c>
      <c r="E8" s="8" t="n">
        <v>44439</v>
      </c>
      <c r="F8" s="2" t="s">
        <v>19</v>
      </c>
      <c r="G8" s="7" t="str">
        <f aca="false">HYPERLINK("https://mncourtfraud.com/file/MCRO_27-CR-19-26893_Findings and Order_2021-08-31_20251126174732.pdf","MCRO_27-CR-19-26893_Findings and Order_2021-08-31_20251126174732.pdf")</f>
        <v>MCRO_27-CR-19-26893_Findings and Order_2021-08-31_20251126174732.pdf</v>
      </c>
      <c r="H8" s="2" t="s">
        <v>23</v>
      </c>
      <c r="I8" s="7" t="str">
        <f aca="false">HYPERLINK("https://mncourtfraud.com/file/MCRO_27-CR-19-26893_Findings and Order_2021-08-31_20251126174732.pdf.ots","MCRO_27-CR-19-26893_Findings and Order_2021-08-31_20251126174732.pdf.ots")</f>
        <v>MCRO_27-CR-19-26893_Findings and Order_2021-08-31_20251126174732.pdf.ots</v>
      </c>
      <c r="J8" s="7" t="str">
        <f aca="false">HYPERLINK("https://mncourtfraud.com/file/MCRO_27-CR-19-26893_Findings and Order_2021-08-31_20251126174732_META.txt","MCRO_27-CR-19-26893_Findings and Order_2021-08-31_20251126174732_META.txt")</f>
        <v>MCRO_27-CR-19-26893_Findings and Order_2021-08-31_20251126174732_META.txt</v>
      </c>
      <c r="K8" s="7" t="str">
        <f aca="false">HYPERLINK("https://mncourtfraud.com/file/MCRO_27-CR-19-26893_Findings and Order_2021-08-31_20251126174732_PDFSIGS.txt","MCRO_27-CR-19-26893_Findings and Order_2021-08-31_20251126174732_PDFSIGS.txt")</f>
        <v>MCRO_27-CR-19-26893_Findings and Order_2021-08-31_20251126174732_PDFSIGS.txt</v>
      </c>
      <c r="L8" s="7" t="str">
        <f aca="false">HYPERLINK("https://mncourtfraud.com/file/MCRO_27-CR-19-26893_Findings_and_Order_2021-08-31_20251126174732.zip","MCRO_27-CR-19-26893_Findings_and_Order_2021-08-31_20251126174732.zip")</f>
        <v>MCRO_27-CR-19-26893_Findings_and_Order_2021-08-31_20251126174732.zip</v>
      </c>
    </row>
    <row r="9" customFormat="false" ht="18.7" hidden="false" customHeight="true" outlineLevel="0" collapsed="false">
      <c r="A9" s="1" t="n">
        <v>8</v>
      </c>
      <c r="B9" s="7" t="str">
        <f aca="false">HYPERLINK("https://mncourtfraud.com/file/27-CR-19-26893.pdf","27-CR-19-26893")</f>
        <v>27-CR-19-26893</v>
      </c>
      <c r="C9" s="1" t="n">
        <v>1</v>
      </c>
      <c r="D9" s="2" t="s">
        <v>12</v>
      </c>
      <c r="E9" s="8" t="n">
        <v>44460</v>
      </c>
      <c r="F9" s="2" t="s">
        <v>24</v>
      </c>
      <c r="G9" s="7" t="str">
        <f aca="false">HYPERLINK("https://mncourtfraud.com/file/MCRO_27-CR-19-26893_Order for Conditional Release_2021-09-21_20251126174758.pdf","MCRO_27-CR-19-26893_Order for Conditional Release_2021-09-21_20251126174758.pdf")</f>
        <v>MCRO_27-CR-19-26893_Order for Conditional Release_2021-09-21_20251126174758.pdf</v>
      </c>
      <c r="H9" s="2" t="s">
        <v>25</v>
      </c>
      <c r="I9" s="7" t="str">
        <f aca="false">HYPERLINK("https://mncourtfraud.com/file/MCRO_27-CR-19-26893_Order for Conditional Release_2021-09-21_20251126174758.pdf.ots","MCRO_27-CR-19-26893_Order for Conditional Release_2021-09-21_20251126174758.pdf.ots")</f>
        <v>MCRO_27-CR-19-26893_Order for Conditional Release_2021-09-21_20251126174758.pdf.ots</v>
      </c>
      <c r="J9" s="7" t="str">
        <f aca="false">HYPERLINK("https://mncourtfraud.com/file/MCRO_27-CR-19-26893_Order for Conditional Release_2021-09-21_20251126174758_META.txt","MCRO_27-CR-19-26893_Order for Conditional Release_2021-09-21_20251126174758_META.txt")</f>
        <v>MCRO_27-CR-19-26893_Order for Conditional Release_2021-09-21_20251126174758_META.txt</v>
      </c>
      <c r="K9" s="7" t="str">
        <f aca="false">HYPERLINK("https://mncourtfraud.com/file/MCRO_27-CR-19-26893_Order for Conditional Release_2021-09-21_20251126174758_PDFSIGS.txt","MCRO_27-CR-19-26893_Order for Conditional Release_2021-09-21_20251126174758_PDFSIGS.txt")</f>
        <v>MCRO_27-CR-19-26893_Order for Conditional Release_2021-09-21_20251126174758_PDFSIGS.txt</v>
      </c>
      <c r="L9" s="7" t="str">
        <f aca="false">HYPERLINK("https://mncourtfraud.com/file/MCRO_27-CR-19-26893_Order_for_Conditional_Release_2021-09-21_20251126174758.zip","MCRO_27-CR-19-26893_Order_for_Conditional_Release_2021-09-21_20251126174758.zip")</f>
        <v>MCRO_27-CR-19-26893_Order_for_Conditional_Release_2021-09-21_20251126174758.zip</v>
      </c>
    </row>
    <row r="10" customFormat="false" ht="18.7" hidden="false" customHeight="true" outlineLevel="0" collapsed="false">
      <c r="A10" s="1" t="n">
        <v>9</v>
      </c>
      <c r="B10" s="7" t="str">
        <f aca="false">HYPERLINK("https://mncourtfraud.com/file/27-CR-19-26893.pdf","27-CR-19-26893")</f>
        <v>27-CR-19-26893</v>
      </c>
      <c r="C10" s="1" t="n">
        <v>1</v>
      </c>
      <c r="D10" s="2" t="s">
        <v>12</v>
      </c>
      <c r="E10" s="8" t="n">
        <v>44468</v>
      </c>
      <c r="F10" s="2" t="s">
        <v>24</v>
      </c>
      <c r="G10" s="7" t="str">
        <f aca="false">HYPERLINK("https://mncourtfraud.com/file/MCRO_27-CR-19-26893_Order for Conditional Release_2021-09-29_20251126174746.pdf","MCRO_27-CR-19-26893_Order for Conditional Release_2021-09-29_20251126174746.pdf")</f>
        <v>MCRO_27-CR-19-26893_Order for Conditional Release_2021-09-29_20251126174746.pdf</v>
      </c>
      <c r="H10" s="2" t="s">
        <v>26</v>
      </c>
      <c r="I10" s="7" t="str">
        <f aca="false">HYPERLINK("https://mncourtfraud.com/file/MCRO_27-CR-19-26893_Order for Conditional Release_2021-09-29_20251126174746.pdf.ots","MCRO_27-CR-19-26893_Order for Conditional Release_2021-09-29_20251126174746.pdf.ots")</f>
        <v>MCRO_27-CR-19-26893_Order for Conditional Release_2021-09-29_20251126174746.pdf.ots</v>
      </c>
      <c r="J10" s="7" t="str">
        <f aca="false">HYPERLINK("https://mncourtfraud.com/file/MCRO_27-CR-19-26893_Order for Conditional Release_2021-09-29_20251126174746_META.txt","MCRO_27-CR-19-26893_Order for Conditional Release_2021-09-29_20251126174746_META.txt")</f>
        <v>MCRO_27-CR-19-26893_Order for Conditional Release_2021-09-29_20251126174746_META.txt</v>
      </c>
      <c r="K10" s="7" t="str">
        <f aca="false">HYPERLINK("https://mncourtfraud.com/file/MCRO_27-CR-19-26893_Order for Conditional Release_2021-09-29_20251126174746_PDFSIGS.txt","MCRO_27-CR-19-26893_Order for Conditional Release_2021-09-29_20251126174746_PDFSIGS.txt")</f>
        <v>MCRO_27-CR-19-26893_Order for Conditional Release_2021-09-29_20251126174746_PDFSIGS.txt</v>
      </c>
      <c r="L10" s="7" t="str">
        <f aca="false">HYPERLINK("https://mncourtfraud.com/file/MCRO_27-CR-19-26893_Order_for_Conditional_Release_2021-09-29_20251126174746.zip","MCRO_27-CR-19-26893_Order_for_Conditional_Release_2021-09-29_20251126174746.zip")</f>
        <v>MCRO_27-CR-19-26893_Order_for_Conditional_Release_2021-09-29_20251126174746.zip</v>
      </c>
    </row>
    <row r="11" customFormat="false" ht="18.7" hidden="false" customHeight="true" outlineLevel="0" collapsed="false">
      <c r="A11" s="1" t="n">
        <v>10</v>
      </c>
      <c r="B11" s="7" t="str">
        <f aca="false">HYPERLINK("https://mncourtfraud.com/file/27-CR-19-26893.pdf","27-CR-19-26893")</f>
        <v>27-CR-19-26893</v>
      </c>
      <c r="C11" s="1" t="n">
        <v>1</v>
      </c>
      <c r="D11" s="2" t="s">
        <v>12</v>
      </c>
      <c r="E11" s="8" t="n">
        <v>44543</v>
      </c>
      <c r="F11" s="2" t="s">
        <v>15</v>
      </c>
      <c r="G11" s="7" t="str">
        <f aca="false">HYPERLINK("https://mncourtfraud.com/file/MCRO_27-CR-19-26893_Order-Evaluation for Competency to Proceed (Rule 20.01)_2021-12-13_20251126174821.pdf","MCRO_27-CR-19-26893_Order-Evaluation for Competency to Proceed (Rule 20.01)_2021-12-13_20251126174821.pdf")</f>
        <v>MCRO_27-CR-19-26893_Order-Evaluation for Competency to Proceed (Rule 20.01)_2021-12-13_20251126174821.pdf</v>
      </c>
      <c r="H11" s="2" t="s">
        <v>27</v>
      </c>
      <c r="I11" s="7" t="str">
        <f aca="false">HYPERLINK("https://mncourtfraud.com/file/MCRO_27-CR-19-26893_Order-Evaluation for Competency to Proceed (Rule 20.01)_2021-12-13_20251126174821.pdf.ots","MCRO_27-CR-19-26893_Order-Evaluation for Competency to Proceed (Rule 20.01)_2021-12-13_20251126174821.pdf.ots")</f>
        <v>MCRO_27-CR-19-26893_Order-Evaluation for Competency to Proceed (Rule 20.01)_2021-12-13_20251126174821.pdf.ots</v>
      </c>
      <c r="J11" s="7" t="str">
        <f aca="false">HYPERLINK("https://mncourtfraud.com/file/MCRO_27-CR-19-26893_Order-Evaluation for Competency to Proceed (Rule 20.01)_2021-12-13_20251126174821_META.txt","MCRO_27-CR-19-26893_Order-Evaluation for Competency to Proceed (Rule 20.01)_2021-12-13_20251126174821_META.txt")</f>
        <v>MCRO_27-CR-19-26893_Order-Evaluation for Competency to Proceed (Rule 20.01)_2021-12-13_20251126174821_META.txt</v>
      </c>
      <c r="K11" s="7" t="str">
        <f aca="false">HYPERLINK("https://mncourtfraud.com/file/MCRO_27-CR-19-26893_Order-Evaluation for Competency to Proceed (Rule 20.01)_2021-12-13_20251126174821_PDFSIGS.txt","MCRO_27-CR-19-26893_Order-Evaluation for Competency to Proceed (Rule 20.01)_2021-12-13_20251126174821_PDFSIGS.txt")</f>
        <v>MCRO_27-CR-19-26893_Order-Evaluation for Competency to Proceed (Rule 20.01)_2021-12-13_20251126174821_PDFSIGS.txt</v>
      </c>
      <c r="L11" s="7" t="str">
        <f aca="false">HYPERLINK("https://mncourtfraud.com/file/MCRO_27-CR-19-26893_Order-Evaluation_for_Competency_to_Proceed_(Rule_20.01)_2021-12-13_20251126174821.zip","MCRO_27-CR-19-26893_Order-Evaluation_for_Competency_to_Proceed_(Rule_20.01)_2021-12-13_20251126174821.zip")</f>
        <v>MCRO_27-CR-19-26893_Order-Evaluation_for_Competency_to_Proceed_(Rule_20.01)_2021-12-13_20251126174821.zip</v>
      </c>
    </row>
    <row r="12" customFormat="false" ht="18.7" hidden="false" customHeight="true" outlineLevel="0" collapsed="false">
      <c r="A12" s="1" t="n">
        <v>11</v>
      </c>
      <c r="B12" s="7" t="str">
        <f aca="false">HYPERLINK("https://mncourtfraud.com/file/27-CR-19-26893.pdf","27-CR-19-26893")</f>
        <v>27-CR-19-26893</v>
      </c>
      <c r="C12" s="1" t="n">
        <v>1</v>
      </c>
      <c r="D12" s="2" t="s">
        <v>12</v>
      </c>
      <c r="E12" s="8" t="n">
        <v>44558</v>
      </c>
      <c r="F12" s="2" t="s">
        <v>15</v>
      </c>
      <c r="G12" s="7" t="str">
        <f aca="false">HYPERLINK("https://mncourtfraud.com/file/MCRO_27-CR-19-26893_Order-Evaluation for Competency to Proceed (Rule 20.01)_2021-12-28_20251126174832.pdf","MCRO_27-CR-19-26893_Order-Evaluation for Competency to Proceed (Rule 20.01)_2021-12-28_20251126174832.pdf")</f>
        <v>MCRO_27-CR-19-26893_Order-Evaluation for Competency to Proceed (Rule 20.01)_2021-12-28_20251126174832.pdf</v>
      </c>
      <c r="H12" s="2" t="s">
        <v>28</v>
      </c>
      <c r="I12" s="7" t="str">
        <f aca="false">HYPERLINK("https://mncourtfraud.com/file/MCRO_27-CR-19-26893_Order-Evaluation for Competency to Proceed (Rule 20.01)_2021-12-28_20251126174832.pdf.ots","MCRO_27-CR-19-26893_Order-Evaluation for Competency to Proceed (Rule 20.01)_2021-12-28_20251126174832.pdf.ots")</f>
        <v>MCRO_27-CR-19-26893_Order-Evaluation for Competency to Proceed (Rule 20.01)_2021-12-28_20251126174832.pdf.ots</v>
      </c>
      <c r="J12" s="7" t="str">
        <f aca="false">HYPERLINK("https://mncourtfraud.com/file/MCRO_27-CR-19-26893_Order-Evaluation for Competency to Proceed (Rule 20.01)_2021-12-28_20251126174832_META.txt","MCRO_27-CR-19-26893_Order-Evaluation for Competency to Proceed (Rule 20.01)_2021-12-28_20251126174832_META.txt")</f>
        <v>MCRO_27-CR-19-26893_Order-Evaluation for Competency to Proceed (Rule 20.01)_2021-12-28_20251126174832_META.txt</v>
      </c>
      <c r="K12" s="7" t="str">
        <f aca="false">HYPERLINK("https://mncourtfraud.com/file/MCRO_27-CR-19-26893_Order-Evaluation for Competency to Proceed (Rule 20.01)_2021-12-28_20251126174832_PDFSIGS.txt","MCRO_27-CR-19-26893_Order-Evaluation for Competency to Proceed (Rule 20.01)_2021-12-28_20251126174832_PDFSIGS.txt")</f>
        <v>MCRO_27-CR-19-26893_Order-Evaluation for Competency to Proceed (Rule 20.01)_2021-12-28_20251126174832_PDFSIGS.txt</v>
      </c>
      <c r="L12" s="7" t="str">
        <f aca="false">HYPERLINK("https://mncourtfraud.com/file/MCRO_27-CR-19-26893_Order-Evaluation_for_Competency_to_Proceed_(Rule_20.01)_2021-12-28_20251126174832.zip","MCRO_27-CR-19-26893_Order-Evaluation_for_Competency_to_Proceed_(Rule_20.01)_2021-12-28_20251126174832.zip")</f>
        <v>MCRO_27-CR-19-26893_Order-Evaluation_for_Competency_to_Proceed_(Rule_20.01)_2021-12-28_20251126174832.zip</v>
      </c>
    </row>
    <row r="13" customFormat="false" ht="18.7" hidden="false" customHeight="true" outlineLevel="0" collapsed="false">
      <c r="A13" s="1" t="n">
        <v>12</v>
      </c>
      <c r="B13" s="7" t="str">
        <f aca="false">HYPERLINK("https://mncourtfraud.com/file/27-CR-19-26893.pdf","27-CR-19-26893")</f>
        <v>27-CR-19-26893</v>
      </c>
      <c r="C13" s="1" t="n">
        <v>1</v>
      </c>
      <c r="D13" s="2" t="s">
        <v>12</v>
      </c>
      <c r="E13" s="8" t="n">
        <v>44593</v>
      </c>
      <c r="F13" s="2" t="s">
        <v>19</v>
      </c>
      <c r="G13" s="7" t="str">
        <f aca="false">HYPERLINK("https://mncourtfraud.com/file/MCRO_27-CR-19-26893_Findings and Order_2022-02-01_20251126174710.pdf","MCRO_27-CR-19-26893_Findings and Order_2022-02-01_20251126174710.pdf")</f>
        <v>MCRO_27-CR-19-26893_Findings and Order_2022-02-01_20251126174710.pdf</v>
      </c>
      <c r="H13" s="2" t="s">
        <v>29</v>
      </c>
      <c r="I13" s="7" t="str">
        <f aca="false">HYPERLINK("https://mncourtfraud.com/file/MCRO_27-CR-19-26893_Findings and Order_2022-02-01_20251126174710.pdf.ots","MCRO_27-CR-19-26893_Findings and Order_2022-02-01_20251126174710.pdf.ots")</f>
        <v>MCRO_27-CR-19-26893_Findings and Order_2022-02-01_20251126174710.pdf.ots</v>
      </c>
      <c r="J13" s="7" t="str">
        <f aca="false">HYPERLINK("https://mncourtfraud.com/file/MCRO_27-CR-19-26893_Findings and Order_2022-02-01_20251126174710_META.txt","MCRO_27-CR-19-26893_Findings and Order_2022-02-01_20251126174710_META.txt")</f>
        <v>MCRO_27-CR-19-26893_Findings and Order_2022-02-01_20251126174710_META.txt</v>
      </c>
      <c r="K13" s="7" t="str">
        <f aca="false">HYPERLINK("https://mncourtfraud.com/file/MCRO_27-CR-19-26893_Findings and Order_2022-02-01_20251126174710_PDFSIGS.txt","MCRO_27-CR-19-26893_Findings and Order_2022-02-01_20251126174710_PDFSIGS.txt")</f>
        <v>MCRO_27-CR-19-26893_Findings and Order_2022-02-01_20251126174710_PDFSIGS.txt</v>
      </c>
      <c r="L13" s="7" t="str">
        <f aca="false">HYPERLINK("https://mncourtfraud.com/file/MCRO_27-CR-19-26893_Findings_and_Order_2022-02-01_20251126174710.zip","MCRO_27-CR-19-26893_Findings_and_Order_2022-02-01_20251126174710.zip")</f>
        <v>MCRO_27-CR-19-26893_Findings_and_Order_2022-02-01_20251126174710.zip</v>
      </c>
    </row>
    <row r="14" customFormat="false" ht="18.7" hidden="false" customHeight="true" outlineLevel="0" collapsed="false">
      <c r="A14" s="1" t="n">
        <v>13</v>
      </c>
      <c r="B14" s="7" t="str">
        <f aca="false">HYPERLINK("https://mncourtfraud.com/file/27-CR-19-26893.pdf","27-CR-19-26893")</f>
        <v>27-CR-19-26893</v>
      </c>
      <c r="C14" s="1" t="n">
        <v>1</v>
      </c>
      <c r="D14" s="2" t="s">
        <v>12</v>
      </c>
      <c r="E14" s="8" t="n">
        <v>44692</v>
      </c>
      <c r="F14" s="2" t="s">
        <v>15</v>
      </c>
      <c r="G14" s="7" t="str">
        <f aca="false">HYPERLINK("https://mncourtfraud.com/file/MCRO_27-CR-19-26893_Order-Evaluation for Competency to Proceed (Rule 20.01)_2022-05-11_20251126174846.pdf","MCRO_27-CR-19-26893_Order-Evaluation for Competency to Proceed (Rule 20.01)_2022-05-11_20251126174846.pdf")</f>
        <v>MCRO_27-CR-19-26893_Order-Evaluation for Competency to Proceed (Rule 20.01)_2022-05-11_20251126174846.pdf</v>
      </c>
      <c r="H14" s="2" t="s">
        <v>30</v>
      </c>
      <c r="I14" s="7" t="str">
        <f aca="false">HYPERLINK("https://mncourtfraud.com/file/MCRO_27-CR-19-26893_Order-Evaluation for Competency to Proceed (Rule 20.01)_2022-05-11_20251126174846.pdf.ots","MCRO_27-CR-19-26893_Order-Evaluation for Competency to Proceed (Rule 20.01)_2022-05-11_20251126174846.pdf.ots")</f>
        <v>MCRO_27-CR-19-26893_Order-Evaluation for Competency to Proceed (Rule 20.01)_2022-05-11_20251126174846.pdf.ots</v>
      </c>
      <c r="J14" s="7" t="str">
        <f aca="false">HYPERLINK("https://mncourtfraud.com/file/MCRO_27-CR-19-26893_Order-Evaluation for Competency to Proceed (Rule 20.01)_2022-05-11_20251126174846_META.txt","MCRO_27-CR-19-26893_Order-Evaluation for Competency to Proceed (Rule 20.01)_2022-05-11_20251126174846_META.txt")</f>
        <v>MCRO_27-CR-19-26893_Order-Evaluation for Competency to Proceed (Rule 20.01)_2022-05-11_20251126174846_META.txt</v>
      </c>
      <c r="K14" s="7" t="str">
        <f aca="false">HYPERLINK("https://mncourtfraud.com/file/MCRO_27-CR-19-26893_Order-Evaluation for Competency to Proceed (Rule 20.01)_2022-05-11_20251126174846_PDFSIGS.txt","MCRO_27-CR-19-26893_Order-Evaluation for Competency to Proceed (Rule 20.01)_2022-05-11_20251126174846_PDFSIGS.txt")</f>
        <v>MCRO_27-CR-19-26893_Order-Evaluation for Competency to Proceed (Rule 20.01)_2022-05-11_20251126174846_PDFSIGS.txt</v>
      </c>
      <c r="L14" s="7" t="str">
        <f aca="false">HYPERLINK("https://mncourtfraud.com/file/MCRO_27-CR-19-26893_Order-Evaluation_for_Competency_to_Proceed_(Rule_20.01)_2022-05-11_20251126174846.zip","MCRO_27-CR-19-26893_Order-Evaluation_for_Competency_to_Proceed_(Rule_20.01)_2022-05-11_20251126174846.zip")</f>
        <v>MCRO_27-CR-19-26893_Order-Evaluation_for_Competency_to_Proceed_(Rule_20.01)_2022-05-11_20251126174846.zip</v>
      </c>
    </row>
    <row r="15" customFormat="false" ht="18.7" hidden="false" customHeight="true" outlineLevel="0" collapsed="false">
      <c r="A15" s="1" t="n">
        <v>14</v>
      </c>
      <c r="B15" s="7" t="str">
        <f aca="false">HYPERLINK("https://mncourtfraud.com/file/27-CR-19-26893.pdf","27-CR-19-26893")</f>
        <v>27-CR-19-26893</v>
      </c>
      <c r="C15" s="1" t="n">
        <v>1</v>
      </c>
      <c r="D15" s="2" t="s">
        <v>12</v>
      </c>
      <c r="E15" s="8" t="n">
        <v>44895</v>
      </c>
      <c r="F15" s="2" t="s">
        <v>15</v>
      </c>
      <c r="G15" s="7" t="str">
        <f aca="false">HYPERLINK("https://mncourtfraud.com/file/MCRO_27-CR-19-26893_Order-Evaluation for Competency to Proceed (Rule 20.01)_2022-11-30_20251126174859.pdf","MCRO_27-CR-19-26893_Order-Evaluation for Competency to Proceed (Rule 20.01)_2022-11-30_20251126174859.pdf")</f>
        <v>MCRO_27-CR-19-26893_Order-Evaluation for Competency to Proceed (Rule 20.01)_2022-11-30_20251126174859.pdf</v>
      </c>
      <c r="H15" s="2" t="s">
        <v>31</v>
      </c>
      <c r="I15" s="7" t="str">
        <f aca="false">HYPERLINK("https://mncourtfraud.com/file/MCRO_27-CR-19-26893_Order-Evaluation for Competency to Proceed (Rule 20.01)_2022-11-30_20251126174859.pdf.ots","MCRO_27-CR-19-26893_Order-Evaluation for Competency to Proceed (Rule 20.01)_2022-11-30_20251126174859.pdf.ots")</f>
        <v>MCRO_27-CR-19-26893_Order-Evaluation for Competency to Proceed (Rule 20.01)_2022-11-30_20251126174859.pdf.ots</v>
      </c>
      <c r="J15" s="7" t="str">
        <f aca="false">HYPERLINK("https://mncourtfraud.com/file/MCRO_27-CR-19-26893_Order-Evaluation for Competency to Proceed (Rule 20.01)_2022-11-30_20251126174859_META.txt","MCRO_27-CR-19-26893_Order-Evaluation for Competency to Proceed (Rule 20.01)_2022-11-30_20251126174859_META.txt")</f>
        <v>MCRO_27-CR-19-26893_Order-Evaluation for Competency to Proceed (Rule 20.01)_2022-11-30_20251126174859_META.txt</v>
      </c>
      <c r="K15" s="7" t="str">
        <f aca="false">HYPERLINK("https://mncourtfraud.com/file/MCRO_27-CR-19-26893_Order-Evaluation for Competency to Proceed (Rule 20.01)_2022-11-30_20251126174859_PDFSIGS.txt","MCRO_27-CR-19-26893_Order-Evaluation for Competency to Proceed (Rule 20.01)_2022-11-30_20251126174859_PDFSIGS.txt")</f>
        <v>MCRO_27-CR-19-26893_Order-Evaluation for Competency to Proceed (Rule 20.01)_2022-11-30_20251126174859_PDFSIGS.txt</v>
      </c>
      <c r="L15" s="7" t="str">
        <f aca="false">HYPERLINK("https://mncourtfraud.com/file/MCRO_27-CR-19-26893_Order-Evaluation_for_Competency_to_Proceed_(Rule_20.01)_2022-11-30_20251126174859.zip","MCRO_27-CR-19-26893_Order-Evaluation_for_Competency_to_Proceed_(Rule_20.01)_2022-11-30_20251126174859.zip")</f>
        <v>MCRO_27-CR-19-26893_Order-Evaluation_for_Competency_to_Proceed_(Rule_20.01)_2022-11-30_20251126174859.zip</v>
      </c>
    </row>
    <row r="16" customFormat="false" ht="18.7" hidden="false" customHeight="true" outlineLevel="0" collapsed="false">
      <c r="A16" s="1" t="n">
        <v>15</v>
      </c>
      <c r="B16" s="7" t="str">
        <f aca="false">HYPERLINK("https://mncourtfraud.com/file/27-CR-19-4578.pdf","27-CR-19-4578")</f>
        <v>27-CR-19-4578</v>
      </c>
      <c r="C16" s="1" t="n">
        <v>1</v>
      </c>
      <c r="D16" s="2" t="s">
        <v>12</v>
      </c>
      <c r="E16" s="8" t="n">
        <v>43844</v>
      </c>
      <c r="F16" s="2" t="s">
        <v>13</v>
      </c>
      <c r="G16" s="7" t="str">
        <f aca="false">HYPERLINK("https://mncourtfraud.com/file/MCRO_27-CR-19-4578_Find of Fact-Order, Pet Commitment-Dfd Found Incompetent_2020-01-14_20251126175028.pdf","MCRO_27-CR-19-4578_Find of Fact-Order, Pet Commitment-Dfd Found Incompetent_2020-01-14_20251126175028.pdf")</f>
        <v>MCRO_27-CR-19-4578_Find of Fact-Order, Pet Commitment-Dfd Found Incompetent_2020-01-14_20251126175028.pdf</v>
      </c>
      <c r="H16" s="2" t="s">
        <v>32</v>
      </c>
      <c r="I16" s="7" t="str">
        <f aca="false">HYPERLINK("https://mncourtfraud.com/file/MCRO_27-CR-19-4578_Find of Fact-Order, Pet Commitment-Dfd Found Incompetent_2020-01-14_20251126175028.pdf.ots","MCRO_27-CR-19-4578_Find of Fact-Order, Pet Commitment-Dfd Found Incompetent_2020-01-14_20251126175028.pdf.ots")</f>
        <v>MCRO_27-CR-19-4578_Find of Fact-Order, Pet Commitment-Dfd Found Incompetent_2020-01-14_20251126175028.pdf.ots</v>
      </c>
      <c r="J16" s="7" t="str">
        <f aca="false">HYPERLINK("https://mncourtfraud.com/file/MCRO_27-CR-19-4578_Find of Fact-Order, Pet Commitment-Dfd Found Incompetent_2020-01-14_20251126175028_META.txt","MCRO_27-CR-19-4578_Find of Fact-Order, Pet Commitment-Dfd Found Incompetent_2020-01-14_20251126175028_META.txt")</f>
        <v>MCRO_27-CR-19-4578_Find of Fact-Order, Pet Commitment-Dfd Found Incompetent_2020-01-14_20251126175028_META.txt</v>
      </c>
      <c r="K16" s="7" t="str">
        <f aca="false">HYPERLINK("https://mncourtfraud.com/file/MCRO_27-CR-19-4578_Find of Fact-Order, Pet Commitment-Dfd Found Incompetent_2020-01-14_20251126175028_PDFSIGS.txt","MCRO_27-CR-19-4578_Find of Fact-Order, Pet Commitment-Dfd Found Incompetent_2020-01-14_20251126175028_PDFSIGS.txt")</f>
        <v>MCRO_27-CR-19-4578_Find of Fact-Order, Pet Commitment-Dfd Found Incompetent_2020-01-14_20251126175028_PDFSIGS.txt</v>
      </c>
      <c r="L16" s="7" t="str">
        <f aca="false">HYPERLINK("https://mncourtfraud.com/file/MCRO_27-CR-19-4578_Find_of_Fact-Order,_Pet_Commitment-Dfd_Found_Incompetent_2020-01-14_20251126175028.zip","MCRO_27-CR-19-4578_Find_of_Fact-Order,_Pet_Commitment-Dfd_Found_Incompetent_2020-01-14_20251126175028.zip")</f>
        <v>MCRO_27-CR-19-4578_Find_of_Fact-Order,_Pet_Commitment-Dfd_Found_Incompetent_2020-01-14_20251126175028.zip</v>
      </c>
    </row>
    <row r="17" customFormat="false" ht="18.7" hidden="false" customHeight="true" outlineLevel="0" collapsed="false">
      <c r="A17" s="1" t="n">
        <v>16</v>
      </c>
      <c r="B17" s="7" t="str">
        <f aca="false">HYPERLINK("https://mncourtfraud.com/file/27-CR-19-4578.pdf","27-CR-19-4578")</f>
        <v>27-CR-19-4578</v>
      </c>
      <c r="C17" s="1" t="n">
        <v>1</v>
      </c>
      <c r="D17" s="2" t="s">
        <v>12</v>
      </c>
      <c r="E17" s="8" t="n">
        <v>43902</v>
      </c>
      <c r="F17" s="2" t="s">
        <v>15</v>
      </c>
      <c r="G17" s="7" t="str">
        <f aca="false">HYPERLINK("https://mncourtfraud.com/file/MCRO_27-CR-19-4578_Order-Evaluation for Competency to Proceed (Rule 20.01)_2020-03-12_20251126175310.pdf","MCRO_27-CR-19-4578_Order-Evaluation for Competency to Proceed (Rule 20.01)_2020-03-12_20251126175310.pdf")</f>
        <v>MCRO_27-CR-19-4578_Order-Evaluation for Competency to Proceed (Rule 20.01)_2020-03-12_20251126175310.pdf</v>
      </c>
      <c r="H17" s="2" t="s">
        <v>33</v>
      </c>
      <c r="I17" s="7" t="str">
        <f aca="false">HYPERLINK("https://mncourtfraud.com/file/MCRO_27-CR-19-4578_Order-Evaluation for Competency to Proceed (Rule 20.01)_2020-03-12_20251126175310.pdf.ots","MCRO_27-CR-19-4578_Order-Evaluation for Competency to Proceed (Rule 20.01)_2020-03-12_20251126175310.pdf.ots")</f>
        <v>MCRO_27-CR-19-4578_Order-Evaluation for Competency to Proceed (Rule 20.01)_2020-03-12_20251126175310.pdf.ots</v>
      </c>
      <c r="J17" s="7" t="str">
        <f aca="false">HYPERLINK("https://mncourtfraud.com/file/MCRO_27-CR-19-4578_Order-Evaluation for Competency to Proceed (Rule 20.01)_2020-03-12_20251126175310_META.txt","MCRO_27-CR-19-4578_Order-Evaluation for Competency to Proceed (Rule 20.01)_2020-03-12_20251126175310_META.txt")</f>
        <v>MCRO_27-CR-19-4578_Order-Evaluation for Competency to Proceed (Rule 20.01)_2020-03-12_20251126175310_META.txt</v>
      </c>
      <c r="K17" s="7" t="str">
        <f aca="false">HYPERLINK("https://mncourtfraud.com/file/MCRO_27-CR-19-4578_Order-Evaluation for Competency to Proceed (Rule 20.01)_2020-03-12_20251126175310_PDFSIGS.txt","MCRO_27-CR-19-4578_Order-Evaluation for Competency to Proceed (Rule 20.01)_2020-03-12_20251126175310_PDFSIGS.txt")</f>
        <v>MCRO_27-CR-19-4578_Order-Evaluation for Competency to Proceed (Rule 20.01)_2020-03-12_20251126175310_PDFSIGS.txt</v>
      </c>
      <c r="L17" s="7" t="str">
        <f aca="false">HYPERLINK("https://mncourtfraud.com/file/MCRO_27-CR-19-4578_Order-Evaluation_for_Competency_to_Proceed_(Rule_20.01)_2020-03-12_20251126175310.zip","MCRO_27-CR-19-4578_Order-Evaluation_for_Competency_to_Proceed_(Rule_20.01)_2020-03-12_20251126175310.zip")</f>
        <v>MCRO_27-CR-19-4578_Order-Evaluation_for_Competency_to_Proceed_(Rule_20.01)_2020-03-12_20251126175310.zip</v>
      </c>
    </row>
    <row r="18" customFormat="false" ht="18.7" hidden="false" customHeight="true" outlineLevel="0" collapsed="false">
      <c r="A18" s="1" t="n">
        <v>17</v>
      </c>
      <c r="B18" s="7" t="str">
        <f aca="false">HYPERLINK("https://mncourtfraud.com/file/27-CR-19-4578.pdf","27-CR-19-4578")</f>
        <v>27-CR-19-4578</v>
      </c>
      <c r="C18" s="1" t="n">
        <v>1</v>
      </c>
      <c r="D18" s="2" t="s">
        <v>12</v>
      </c>
      <c r="E18" s="8" t="n">
        <v>43970</v>
      </c>
      <c r="F18" s="2" t="s">
        <v>17</v>
      </c>
      <c r="G18" s="7" t="str">
        <f aca="false">HYPERLINK("https://mncourtfraud.com/file/MCRO_27-CR-19-4578_Returned Mail_2020-05-19_20251126175340.pdf","MCRO_27-CR-19-4578_Returned Mail_2020-05-19_20251126175340.pdf")</f>
        <v>MCRO_27-CR-19-4578_Returned Mail_2020-05-19_20251126175340.pdf</v>
      </c>
      <c r="H18" s="2" t="s">
        <v>34</v>
      </c>
      <c r="I18" s="7" t="str">
        <f aca="false">HYPERLINK("https://mncourtfraud.com/file/MCRO_27-CR-19-4578_Returned Mail_2020-05-19_20251126175340.pdf.ots","MCRO_27-CR-19-4578_Returned Mail_2020-05-19_20251126175340.pdf.ots")</f>
        <v>MCRO_27-CR-19-4578_Returned Mail_2020-05-19_20251126175340.pdf.ots</v>
      </c>
      <c r="J18" s="7" t="str">
        <f aca="false">HYPERLINK("https://mncourtfraud.com/file/MCRO_27-CR-19-4578_Returned Mail_2020-05-19_20251126175340_META.txt","MCRO_27-CR-19-4578_Returned Mail_2020-05-19_20251126175340_META.txt")</f>
        <v>MCRO_27-CR-19-4578_Returned Mail_2020-05-19_20251126175340_META.txt</v>
      </c>
      <c r="K18" s="7" t="str">
        <f aca="false">HYPERLINK("https://mncourtfraud.com/file/MCRO_27-CR-19-4578_Returned Mail_2020-05-19_20251126175340_PDFSIGS.txt","MCRO_27-CR-19-4578_Returned Mail_2020-05-19_20251126175340_PDFSIGS.txt")</f>
        <v>MCRO_27-CR-19-4578_Returned Mail_2020-05-19_20251126175340_PDFSIGS.txt</v>
      </c>
      <c r="L18" s="7" t="str">
        <f aca="false">HYPERLINK("https://mncourtfraud.com/file/MCRO_27-CR-19-4578_Returned_Mail_2020-05-19_20251126175340.zip","MCRO_27-CR-19-4578_Returned_Mail_2020-05-19_20251126175340.zip")</f>
        <v>MCRO_27-CR-19-4578_Returned_Mail_2020-05-19_20251126175340.zip</v>
      </c>
    </row>
    <row r="19" customFormat="false" ht="18.7" hidden="false" customHeight="true" outlineLevel="0" collapsed="false">
      <c r="A19" s="1" t="n">
        <v>18</v>
      </c>
      <c r="B19" s="7" t="str">
        <f aca="false">HYPERLINK("https://mncourtfraud.com/file/27-CR-19-4578.pdf","27-CR-19-4578")</f>
        <v>27-CR-19-4578</v>
      </c>
      <c r="C19" s="1" t="n">
        <v>1</v>
      </c>
      <c r="D19" s="2" t="s">
        <v>12</v>
      </c>
      <c r="E19" s="8" t="n">
        <v>44103</v>
      </c>
      <c r="F19" s="2" t="s">
        <v>19</v>
      </c>
      <c r="G19" s="7" t="str">
        <f aca="false">HYPERLINK("https://mncourtfraud.com/file/MCRO_27-CR-19-4578_Findings and Order_2020-09-29_20251126175057.pdf","MCRO_27-CR-19-4578_Findings and Order_2020-09-29_20251126175057.pdf")</f>
        <v>MCRO_27-CR-19-4578_Findings and Order_2020-09-29_20251126175057.pdf</v>
      </c>
      <c r="H19" s="2" t="s">
        <v>35</v>
      </c>
      <c r="I19" s="7" t="str">
        <f aca="false">HYPERLINK("https://mncourtfraud.com/file/MCRO_27-CR-19-4578_Findings and Order_2020-09-29_20251126175057.pdf.ots","MCRO_27-CR-19-4578_Findings and Order_2020-09-29_20251126175057.pdf.ots")</f>
        <v>MCRO_27-CR-19-4578_Findings and Order_2020-09-29_20251126175057.pdf.ots</v>
      </c>
      <c r="J19" s="7" t="str">
        <f aca="false">HYPERLINK("https://mncourtfraud.com/file/MCRO_27-CR-19-4578_Findings and Order_2020-09-29_20251126175057_META.txt","MCRO_27-CR-19-4578_Findings and Order_2020-09-29_20251126175057_META.txt")</f>
        <v>MCRO_27-CR-19-4578_Findings and Order_2020-09-29_20251126175057_META.txt</v>
      </c>
      <c r="K19" s="7" t="str">
        <f aca="false">HYPERLINK("https://mncourtfraud.com/file/MCRO_27-CR-19-4578_Findings and Order_2020-09-29_20251126175057_PDFSIGS.txt","MCRO_27-CR-19-4578_Findings and Order_2020-09-29_20251126175057_PDFSIGS.txt")</f>
        <v>MCRO_27-CR-19-4578_Findings and Order_2020-09-29_20251126175057_PDFSIGS.txt</v>
      </c>
      <c r="L19" s="7" t="str">
        <f aca="false">HYPERLINK("https://mncourtfraud.com/file/MCRO_27-CR-19-4578_Findings_and_Order_2020-09-29_20251126175057.zip","MCRO_27-CR-19-4578_Findings_and_Order_2020-09-29_20251126175057.zip")</f>
        <v>MCRO_27-CR-19-4578_Findings_and_Order_2020-09-29_20251126175057.zip</v>
      </c>
    </row>
    <row r="20" customFormat="false" ht="18.7" hidden="false" customHeight="true" outlineLevel="0" collapsed="false">
      <c r="A20" s="1" t="n">
        <v>19</v>
      </c>
      <c r="B20" s="7" t="str">
        <f aca="false">HYPERLINK("https://mncourtfraud.com/file/27-CR-19-4578.pdf","27-CR-19-4578")</f>
        <v>27-CR-19-4578</v>
      </c>
      <c r="C20" s="1" t="n">
        <v>1</v>
      </c>
      <c r="D20" s="2" t="s">
        <v>12</v>
      </c>
      <c r="E20" s="8" t="n">
        <v>44225</v>
      </c>
      <c r="F20" s="2" t="s">
        <v>15</v>
      </c>
      <c r="G20" s="7" t="str">
        <f aca="false">HYPERLINK("https://mncourtfraud.com/file/MCRO_27-CR-19-4578_Order-Evaluation for Competency to Proceed (Rule 20.01)_2021-01-29_20251126175321.pdf","MCRO_27-CR-19-4578_Order-Evaluation for Competency to Proceed (Rule 20.01)_2021-01-29_20251126175321.pdf")</f>
        <v>MCRO_27-CR-19-4578_Order-Evaluation for Competency to Proceed (Rule 20.01)_2021-01-29_20251126175321.pdf</v>
      </c>
      <c r="H20" s="2" t="s">
        <v>36</v>
      </c>
      <c r="I20" s="7" t="str">
        <f aca="false">HYPERLINK("https://mncourtfraud.com/file/MCRO_27-CR-19-4578_Order-Evaluation for Competency to Proceed (Rule 20.01)_2021-01-29_20251126175321.pdf.ots","MCRO_27-CR-19-4578_Order-Evaluation for Competency to Proceed (Rule 20.01)_2021-01-29_20251126175321.pdf.ots")</f>
        <v>MCRO_27-CR-19-4578_Order-Evaluation for Competency to Proceed (Rule 20.01)_2021-01-29_20251126175321.pdf.ots</v>
      </c>
      <c r="J20" s="7" t="str">
        <f aca="false">HYPERLINK("https://mncourtfraud.com/file/MCRO_27-CR-19-4578_Order-Evaluation for Competency to Proceed (Rule 20.01)_2021-01-29_20251126175321_META.txt","MCRO_27-CR-19-4578_Order-Evaluation for Competency to Proceed (Rule 20.01)_2021-01-29_20251126175321_META.txt")</f>
        <v>MCRO_27-CR-19-4578_Order-Evaluation for Competency to Proceed (Rule 20.01)_2021-01-29_20251126175321_META.txt</v>
      </c>
      <c r="K20" s="7" t="str">
        <f aca="false">HYPERLINK("https://mncourtfraud.com/file/MCRO_27-CR-19-4578_Order-Evaluation for Competency to Proceed (Rule 20.01)_2021-01-29_20251126175321_PDFSIGS.txt","MCRO_27-CR-19-4578_Order-Evaluation for Competency to Proceed (Rule 20.01)_2021-01-29_20251126175321_PDFSIGS.txt")</f>
        <v>MCRO_27-CR-19-4578_Order-Evaluation for Competency to Proceed (Rule 20.01)_2021-01-29_20251126175321_PDFSIGS.txt</v>
      </c>
      <c r="L20" s="7" t="str">
        <f aca="false">HYPERLINK("https://mncourtfraud.com/file/MCRO_27-CR-19-4578_Order-Evaluation_for_Competency_to_Proceed_(Rule_20.01)_2021-01-29_20251126175321.zip","MCRO_27-CR-19-4578_Order-Evaluation_for_Competency_to_Proceed_(Rule_20.01)_2021-01-29_20251126175321.zip")</f>
        <v>MCRO_27-CR-19-4578_Order-Evaluation_for_Competency_to_Proceed_(Rule_20.01)_2021-01-29_20251126175321.zip</v>
      </c>
    </row>
    <row r="21" customFormat="false" ht="18.7" hidden="false" customHeight="true" outlineLevel="0" collapsed="false">
      <c r="A21" s="1" t="n">
        <v>20</v>
      </c>
      <c r="B21" s="7" t="str">
        <f aca="false">HYPERLINK("https://mncourtfraud.com/file/27-CR-19-4578.pdf","27-CR-19-4578")</f>
        <v>27-CR-19-4578</v>
      </c>
      <c r="C21" s="1" t="n">
        <v>1</v>
      </c>
      <c r="D21" s="2" t="s">
        <v>12</v>
      </c>
      <c r="E21" s="8" t="n">
        <v>44396</v>
      </c>
      <c r="F21" s="2" t="s">
        <v>15</v>
      </c>
      <c r="G21" s="7" t="str">
        <f aca="false">HYPERLINK("https://mncourtfraud.com/file/MCRO_27-CR-19-4578_Order-Evaluation for Competency to Proceed (Rule 20.01)_2021-07-19_20251126175155.pdf","MCRO_27-CR-19-4578_Order-Evaluation for Competency to Proceed (Rule 20.01)_2021-07-19_20251126175155.pdf")</f>
        <v>MCRO_27-CR-19-4578_Order-Evaluation for Competency to Proceed (Rule 20.01)_2021-07-19_20251126175155.pdf</v>
      </c>
      <c r="H21" s="2" t="s">
        <v>37</v>
      </c>
      <c r="I21" s="7" t="str">
        <f aca="false">HYPERLINK("https://mncourtfraud.com/file/MCRO_27-CR-19-4578_Order-Evaluation for Competency to Proceed (Rule 20.01)_2021-07-19_20251126175155.pdf.ots","MCRO_27-CR-19-4578_Order-Evaluation for Competency to Proceed (Rule 20.01)_2021-07-19_20251126175155.pdf.ots")</f>
        <v>MCRO_27-CR-19-4578_Order-Evaluation for Competency to Proceed (Rule 20.01)_2021-07-19_20251126175155.pdf.ots</v>
      </c>
      <c r="J21" s="7" t="str">
        <f aca="false">HYPERLINK("https://mncourtfraud.com/file/MCRO_27-CR-19-4578_Order-Evaluation for Competency to Proceed (Rule 20.01)_2021-07-19_20251126175155_META.txt","MCRO_27-CR-19-4578_Order-Evaluation for Competency to Proceed (Rule 20.01)_2021-07-19_20251126175155_META.txt")</f>
        <v>MCRO_27-CR-19-4578_Order-Evaluation for Competency to Proceed (Rule 20.01)_2021-07-19_20251126175155_META.txt</v>
      </c>
      <c r="K21" s="7" t="str">
        <f aca="false">HYPERLINK("https://mncourtfraud.com/file/MCRO_27-CR-19-4578_Order-Evaluation for Competency to Proceed (Rule 20.01)_2021-07-19_20251126175155_PDFSIGS.txt","MCRO_27-CR-19-4578_Order-Evaluation for Competency to Proceed (Rule 20.01)_2021-07-19_20251126175155_PDFSIGS.txt")</f>
        <v>MCRO_27-CR-19-4578_Order-Evaluation for Competency to Proceed (Rule 20.01)_2021-07-19_20251126175155_PDFSIGS.txt</v>
      </c>
      <c r="L21" s="7" t="str">
        <f aca="false">HYPERLINK("https://mncourtfraud.com/file/MCRO_27-CR-19-4578_Order-Evaluation_for_Competency_to_Proceed_(Rule_20.01)_2021-07-19_20251126175155.zip","MCRO_27-CR-19-4578_Order-Evaluation_for_Competency_to_Proceed_(Rule_20.01)_2021-07-19_20251126175155.zip")</f>
        <v>MCRO_27-CR-19-4578_Order-Evaluation_for_Competency_to_Proceed_(Rule_20.01)_2021-07-19_20251126175155.zip</v>
      </c>
    </row>
    <row r="22" customFormat="false" ht="18.7" hidden="false" customHeight="true" outlineLevel="0" collapsed="false">
      <c r="A22" s="1" t="n">
        <v>21</v>
      </c>
      <c r="B22" s="7" t="str">
        <f aca="false">HYPERLINK("https://mncourtfraud.com/file/27-CR-19-4578.pdf","27-CR-19-4578")</f>
        <v>27-CR-19-4578</v>
      </c>
      <c r="C22" s="1" t="n">
        <v>1</v>
      </c>
      <c r="D22" s="2" t="s">
        <v>12</v>
      </c>
      <c r="E22" s="8" t="n">
        <v>44439</v>
      </c>
      <c r="F22" s="2" t="s">
        <v>19</v>
      </c>
      <c r="G22" s="7" t="str">
        <f aca="false">HYPERLINK("https://mncourtfraud.com/file/MCRO_27-CR-19-4578_Findings and Order_2021-08-31_20251126175106.pdf","MCRO_27-CR-19-4578_Findings and Order_2021-08-31_20251126175106.pdf")</f>
        <v>MCRO_27-CR-19-4578_Findings and Order_2021-08-31_20251126175106.pdf</v>
      </c>
      <c r="H22" s="2" t="s">
        <v>38</v>
      </c>
      <c r="I22" s="7" t="str">
        <f aca="false">HYPERLINK("https://mncourtfraud.com/file/MCRO_27-CR-19-4578_Findings and Order_2021-08-31_20251126175106.pdf.ots","MCRO_27-CR-19-4578_Findings and Order_2021-08-31_20251126175106.pdf.ots")</f>
        <v>MCRO_27-CR-19-4578_Findings and Order_2021-08-31_20251126175106.pdf.ots</v>
      </c>
      <c r="J22" s="7" t="str">
        <f aca="false">HYPERLINK("https://mncourtfraud.com/file/MCRO_27-CR-19-4578_Findings and Order_2021-08-31_20251126175106_META.txt","MCRO_27-CR-19-4578_Findings and Order_2021-08-31_20251126175106_META.txt")</f>
        <v>MCRO_27-CR-19-4578_Findings and Order_2021-08-31_20251126175106_META.txt</v>
      </c>
      <c r="K22" s="7" t="str">
        <f aca="false">HYPERLINK("https://mncourtfraud.com/file/MCRO_27-CR-19-4578_Findings and Order_2021-08-31_20251126175106_PDFSIGS.txt","MCRO_27-CR-19-4578_Findings and Order_2021-08-31_20251126175106_PDFSIGS.txt")</f>
        <v>MCRO_27-CR-19-4578_Findings and Order_2021-08-31_20251126175106_PDFSIGS.txt</v>
      </c>
      <c r="L22" s="7" t="str">
        <f aca="false">HYPERLINK("https://mncourtfraud.com/file/MCRO_27-CR-19-4578_Findings_and_Order_2021-08-31_20251126175106.zip","MCRO_27-CR-19-4578_Findings_and_Order_2021-08-31_20251126175106.zip")</f>
        <v>MCRO_27-CR-19-4578_Findings_and_Order_2021-08-31_20251126175106.zip</v>
      </c>
    </row>
    <row r="23" customFormat="false" ht="18.7" hidden="false" customHeight="true" outlineLevel="0" collapsed="false">
      <c r="A23" s="1" t="n">
        <v>22</v>
      </c>
      <c r="B23" s="7" t="str">
        <f aca="false">HYPERLINK("https://mncourtfraud.com/file/27-CR-19-4578.pdf","27-CR-19-4578")</f>
        <v>27-CR-19-4578</v>
      </c>
      <c r="C23" s="1" t="n">
        <v>1</v>
      </c>
      <c r="D23" s="2" t="s">
        <v>12</v>
      </c>
      <c r="E23" s="8" t="n">
        <v>44460</v>
      </c>
      <c r="F23" s="2" t="s">
        <v>24</v>
      </c>
      <c r="G23" s="7" t="str">
        <f aca="false">HYPERLINK("https://mncourtfraud.com/file/MCRO_27-CR-19-4578_Order for Conditional Release_2021-09-21_20251126175125.pdf","MCRO_27-CR-19-4578_Order for Conditional Release_2021-09-21_20251126175125.pdf")</f>
        <v>MCRO_27-CR-19-4578_Order for Conditional Release_2021-09-21_20251126175125.pdf</v>
      </c>
      <c r="H23" s="2" t="s">
        <v>39</v>
      </c>
      <c r="I23" s="7" t="str">
        <f aca="false">HYPERLINK("https://mncourtfraud.com/file/MCRO_27-CR-19-4578_Order for Conditional Release_2021-09-21_20251126175125.pdf.ots","MCRO_27-CR-19-4578_Order for Conditional Release_2021-09-21_20251126175125.pdf.ots")</f>
        <v>MCRO_27-CR-19-4578_Order for Conditional Release_2021-09-21_20251126175125.pdf.ots</v>
      </c>
      <c r="J23" s="7" t="str">
        <f aca="false">HYPERLINK("https://mncourtfraud.com/file/MCRO_27-CR-19-4578_Order for Conditional Release_2021-09-21_20251126175125_META.txt","MCRO_27-CR-19-4578_Order for Conditional Release_2021-09-21_20251126175125_META.txt")</f>
        <v>MCRO_27-CR-19-4578_Order for Conditional Release_2021-09-21_20251126175125_META.txt</v>
      </c>
      <c r="K23" s="7" t="str">
        <f aca="false">HYPERLINK("https://mncourtfraud.com/file/MCRO_27-CR-19-4578_Order for Conditional Release_2021-09-21_20251126175125_PDFSIGS.txt","MCRO_27-CR-19-4578_Order for Conditional Release_2021-09-21_20251126175125_PDFSIGS.txt")</f>
        <v>MCRO_27-CR-19-4578_Order for Conditional Release_2021-09-21_20251126175125_PDFSIGS.txt</v>
      </c>
      <c r="L23" s="7" t="str">
        <f aca="false">HYPERLINK("https://mncourtfraud.com/file/MCRO_27-CR-19-4578_Order_for_Conditional_Release_2021-09-21_20251126175125.zip","MCRO_27-CR-19-4578_Order_for_Conditional_Release_2021-09-21_20251126175125.zip")</f>
        <v>MCRO_27-CR-19-4578_Order_for_Conditional_Release_2021-09-21_20251126175125.zip</v>
      </c>
    </row>
    <row r="24" customFormat="false" ht="18.7" hidden="false" customHeight="true" outlineLevel="0" collapsed="false">
      <c r="A24" s="1" t="n">
        <v>23</v>
      </c>
      <c r="B24" s="7" t="str">
        <f aca="false">HYPERLINK("https://mncourtfraud.com/file/27-CR-19-4578.pdf","27-CR-19-4578")</f>
        <v>27-CR-19-4578</v>
      </c>
      <c r="C24" s="1" t="n">
        <v>1</v>
      </c>
      <c r="D24" s="2" t="s">
        <v>12</v>
      </c>
      <c r="E24" s="8" t="n">
        <v>44468</v>
      </c>
      <c r="F24" s="2" t="s">
        <v>24</v>
      </c>
      <c r="G24" s="7" t="str">
        <f aca="false">HYPERLINK("https://mncourtfraud.com/file/MCRO_27-CR-19-4578_Order for Conditional Release_2021-09-29_20251126175138.pdf","MCRO_27-CR-19-4578_Order for Conditional Release_2021-09-29_20251126175138.pdf")</f>
        <v>MCRO_27-CR-19-4578_Order for Conditional Release_2021-09-29_20251126175138.pdf</v>
      </c>
      <c r="H24" s="2" t="s">
        <v>40</v>
      </c>
      <c r="I24" s="7" t="str">
        <f aca="false">HYPERLINK("https://mncourtfraud.com/file/MCRO_27-CR-19-4578_Order for Conditional Release_2021-09-29_20251126175138.pdf.ots","MCRO_27-CR-19-4578_Order for Conditional Release_2021-09-29_20251126175138.pdf.ots")</f>
        <v>MCRO_27-CR-19-4578_Order for Conditional Release_2021-09-29_20251126175138.pdf.ots</v>
      </c>
      <c r="J24" s="7" t="str">
        <f aca="false">HYPERLINK("https://mncourtfraud.com/file/MCRO_27-CR-19-4578_Order for Conditional Release_2021-09-29_20251126175138_META.txt","MCRO_27-CR-19-4578_Order for Conditional Release_2021-09-29_20251126175138_META.txt")</f>
        <v>MCRO_27-CR-19-4578_Order for Conditional Release_2021-09-29_20251126175138_META.txt</v>
      </c>
      <c r="K24" s="7" t="str">
        <f aca="false">HYPERLINK("https://mncourtfraud.com/file/MCRO_27-CR-19-4578_Order for Conditional Release_2021-09-29_20251126175138_PDFSIGS.txt","MCRO_27-CR-19-4578_Order for Conditional Release_2021-09-29_20251126175138_PDFSIGS.txt")</f>
        <v>MCRO_27-CR-19-4578_Order for Conditional Release_2021-09-29_20251126175138_PDFSIGS.txt</v>
      </c>
      <c r="L24" s="7" t="str">
        <f aca="false">HYPERLINK("https://mncourtfraud.com/file/MCRO_27-CR-19-4578_Order_for_Conditional_Release_2021-09-29_20251126175138.zip","MCRO_27-CR-19-4578_Order_for_Conditional_Release_2021-09-29_20251126175138.zip")</f>
        <v>MCRO_27-CR-19-4578_Order_for_Conditional_Release_2021-09-29_20251126175138.zip</v>
      </c>
    </row>
    <row r="25" customFormat="false" ht="18.7" hidden="false" customHeight="true" outlineLevel="0" collapsed="false">
      <c r="A25" s="1" t="n">
        <v>24</v>
      </c>
      <c r="B25" s="7" t="str">
        <f aca="false">HYPERLINK("https://mncourtfraud.com/file/27-CR-19-4578.pdf","27-CR-19-4578")</f>
        <v>27-CR-19-4578</v>
      </c>
      <c r="C25" s="1" t="n">
        <v>1</v>
      </c>
      <c r="D25" s="2" t="s">
        <v>12</v>
      </c>
      <c r="E25" s="8" t="n">
        <v>44543</v>
      </c>
      <c r="F25" s="2" t="s">
        <v>15</v>
      </c>
      <c r="G25" s="7" t="str">
        <f aca="false">HYPERLINK("https://mncourtfraud.com/file/MCRO_27-CR-19-4578_Order-Evaluation for Competency to Proceed (Rule 20.01)_2021-12-13_20251126175209.pdf","MCRO_27-CR-19-4578_Order-Evaluation for Competency to Proceed (Rule 20.01)_2021-12-13_20251126175209.pdf")</f>
        <v>MCRO_27-CR-19-4578_Order-Evaluation for Competency to Proceed (Rule 20.01)_2021-12-13_20251126175209.pdf</v>
      </c>
      <c r="H25" s="2" t="s">
        <v>41</v>
      </c>
      <c r="I25" s="7" t="str">
        <f aca="false">HYPERLINK("https://mncourtfraud.com/file/MCRO_27-CR-19-4578_Order-Evaluation for Competency to Proceed (Rule 20.01)_2021-12-13_20251126175209.pdf.ots","MCRO_27-CR-19-4578_Order-Evaluation for Competency to Proceed (Rule 20.01)_2021-12-13_20251126175209.pdf.ots")</f>
        <v>MCRO_27-CR-19-4578_Order-Evaluation for Competency to Proceed (Rule 20.01)_2021-12-13_20251126175209.pdf.ots</v>
      </c>
      <c r="J25" s="7" t="str">
        <f aca="false">HYPERLINK("https://mncourtfraud.com/file/MCRO_27-CR-19-4578_Order-Evaluation for Competency to Proceed (Rule 20.01)_2021-12-13_20251126175209_META.txt","MCRO_27-CR-19-4578_Order-Evaluation for Competency to Proceed (Rule 20.01)_2021-12-13_20251126175209_META.txt")</f>
        <v>MCRO_27-CR-19-4578_Order-Evaluation for Competency to Proceed (Rule 20.01)_2021-12-13_20251126175209_META.txt</v>
      </c>
      <c r="K25" s="7" t="str">
        <f aca="false">HYPERLINK("https://mncourtfraud.com/file/MCRO_27-CR-19-4578_Order-Evaluation for Competency to Proceed (Rule 20.01)_2021-12-13_20251126175209_PDFSIGS.txt","MCRO_27-CR-19-4578_Order-Evaluation for Competency to Proceed (Rule 20.01)_2021-12-13_20251126175209_PDFSIGS.txt")</f>
        <v>MCRO_27-CR-19-4578_Order-Evaluation for Competency to Proceed (Rule 20.01)_2021-12-13_20251126175209_PDFSIGS.txt</v>
      </c>
      <c r="L25" s="7" t="str">
        <f aca="false">HYPERLINK("https://mncourtfraud.com/file/MCRO_27-CR-19-4578_Order-Evaluation_for_Competency_to_Proceed_(Rule_20.01)_2021-12-13_20251126175209.zip","MCRO_27-CR-19-4578_Order-Evaluation_for_Competency_to_Proceed_(Rule_20.01)_2021-12-13_20251126175209.zip")</f>
        <v>MCRO_27-CR-19-4578_Order-Evaluation_for_Competency_to_Proceed_(Rule_20.01)_2021-12-13_20251126175209.zip</v>
      </c>
    </row>
    <row r="26" customFormat="false" ht="18.7" hidden="false" customHeight="true" outlineLevel="0" collapsed="false">
      <c r="A26" s="1" t="n">
        <v>25</v>
      </c>
      <c r="B26" s="7" t="str">
        <f aca="false">HYPERLINK("https://mncourtfraud.com/file/27-CR-19-4578.pdf","27-CR-19-4578")</f>
        <v>27-CR-19-4578</v>
      </c>
      <c r="C26" s="1" t="n">
        <v>1</v>
      </c>
      <c r="D26" s="2" t="s">
        <v>12</v>
      </c>
      <c r="E26" s="8" t="n">
        <v>44558</v>
      </c>
      <c r="F26" s="2" t="s">
        <v>15</v>
      </c>
      <c r="G26" s="7" t="str">
        <f aca="false">HYPERLINK("https://mncourtfraud.com/file/MCRO_27-CR-19-4578_Order-Evaluation for Competency to Proceed (Rule 20.01)_2021-12-28_20251126175221.pdf","MCRO_27-CR-19-4578_Order-Evaluation for Competency to Proceed (Rule 20.01)_2021-12-28_20251126175221.pdf")</f>
        <v>MCRO_27-CR-19-4578_Order-Evaluation for Competency to Proceed (Rule 20.01)_2021-12-28_20251126175221.pdf</v>
      </c>
      <c r="H26" s="2" t="s">
        <v>42</v>
      </c>
      <c r="I26" s="7" t="str">
        <f aca="false">HYPERLINK("https://mncourtfraud.com/file/MCRO_27-CR-19-4578_Order-Evaluation for Competency to Proceed (Rule 20.01)_2021-12-28_20251126175221.pdf.ots","MCRO_27-CR-19-4578_Order-Evaluation for Competency to Proceed (Rule 20.01)_2021-12-28_20251126175221.pdf.ots")</f>
        <v>MCRO_27-CR-19-4578_Order-Evaluation for Competency to Proceed (Rule 20.01)_2021-12-28_20251126175221.pdf.ots</v>
      </c>
      <c r="J26" s="7" t="str">
        <f aca="false">HYPERLINK("https://mncourtfraud.com/file/MCRO_27-CR-19-4578_Order-Evaluation for Competency to Proceed (Rule 20.01)_2021-12-28_20251126175221_META.txt","MCRO_27-CR-19-4578_Order-Evaluation for Competency to Proceed (Rule 20.01)_2021-12-28_20251126175221_META.txt")</f>
        <v>MCRO_27-CR-19-4578_Order-Evaluation for Competency to Proceed (Rule 20.01)_2021-12-28_20251126175221_META.txt</v>
      </c>
      <c r="K26" s="7" t="str">
        <f aca="false">HYPERLINK("https://mncourtfraud.com/file/MCRO_27-CR-19-4578_Order-Evaluation for Competency to Proceed (Rule 20.01)_2021-12-28_20251126175221_PDFSIGS.txt","MCRO_27-CR-19-4578_Order-Evaluation for Competency to Proceed (Rule 20.01)_2021-12-28_20251126175221_PDFSIGS.txt")</f>
        <v>MCRO_27-CR-19-4578_Order-Evaluation for Competency to Proceed (Rule 20.01)_2021-12-28_20251126175221_PDFSIGS.txt</v>
      </c>
      <c r="L26" s="7" t="str">
        <f aca="false">HYPERLINK("https://mncourtfraud.com/file/MCRO_27-CR-19-4578_Order-Evaluation_for_Competency_to_Proceed_(Rule_20.01)_2021-12-28_20251126175221.zip","MCRO_27-CR-19-4578_Order-Evaluation_for_Competency_to_Proceed_(Rule_20.01)_2021-12-28_20251126175221.zip")</f>
        <v>MCRO_27-CR-19-4578_Order-Evaluation_for_Competency_to_Proceed_(Rule_20.01)_2021-12-28_20251126175221.zip</v>
      </c>
    </row>
    <row r="27" customFormat="false" ht="18.7" hidden="false" customHeight="true" outlineLevel="0" collapsed="false">
      <c r="A27" s="1" t="n">
        <v>26</v>
      </c>
      <c r="B27" s="7" t="str">
        <f aca="false">HYPERLINK("https://mncourtfraud.com/file/27-CR-19-4578.pdf","27-CR-19-4578")</f>
        <v>27-CR-19-4578</v>
      </c>
      <c r="C27" s="1" t="n">
        <v>1</v>
      </c>
      <c r="D27" s="2" t="s">
        <v>12</v>
      </c>
      <c r="E27" s="8" t="n">
        <v>44593</v>
      </c>
      <c r="F27" s="2" t="s">
        <v>19</v>
      </c>
      <c r="G27" s="7" t="str">
        <f aca="false">HYPERLINK("https://mncourtfraud.com/file/MCRO_27-CR-19-4578_Findings and Order_2022-02-01_20251126175043.pdf","MCRO_27-CR-19-4578_Findings and Order_2022-02-01_20251126175043.pdf")</f>
        <v>MCRO_27-CR-19-4578_Findings and Order_2022-02-01_20251126175043.pdf</v>
      </c>
      <c r="H27" s="2" t="s">
        <v>43</v>
      </c>
      <c r="I27" s="7" t="str">
        <f aca="false">HYPERLINK("https://mncourtfraud.com/file/MCRO_27-CR-19-4578_Findings and Order_2022-02-01_20251126175043.pdf.ots","MCRO_27-CR-19-4578_Findings and Order_2022-02-01_20251126175043.pdf.ots")</f>
        <v>MCRO_27-CR-19-4578_Findings and Order_2022-02-01_20251126175043.pdf.ots</v>
      </c>
      <c r="J27" s="7" t="str">
        <f aca="false">HYPERLINK("https://mncourtfraud.com/file/MCRO_27-CR-19-4578_Findings and Order_2022-02-01_20251126175043_META.txt","MCRO_27-CR-19-4578_Findings and Order_2022-02-01_20251126175043_META.txt")</f>
        <v>MCRO_27-CR-19-4578_Findings and Order_2022-02-01_20251126175043_META.txt</v>
      </c>
      <c r="K27" s="7" t="str">
        <f aca="false">HYPERLINK("https://mncourtfraud.com/file/MCRO_27-CR-19-4578_Findings and Order_2022-02-01_20251126175043_PDFSIGS.txt","MCRO_27-CR-19-4578_Findings and Order_2022-02-01_20251126175043_PDFSIGS.txt")</f>
        <v>MCRO_27-CR-19-4578_Findings and Order_2022-02-01_20251126175043_PDFSIGS.txt</v>
      </c>
      <c r="L27" s="7" t="str">
        <f aca="false">HYPERLINK("https://mncourtfraud.com/file/MCRO_27-CR-19-4578_Findings_and_Order_2022-02-01_20251126175043.zip","MCRO_27-CR-19-4578_Findings_and_Order_2022-02-01_20251126175043.zip")</f>
        <v>MCRO_27-CR-19-4578_Findings_and_Order_2022-02-01_20251126175043.zip</v>
      </c>
    </row>
    <row r="28" customFormat="false" ht="18.7" hidden="false" customHeight="true" outlineLevel="0" collapsed="false">
      <c r="A28" s="1" t="n">
        <v>27</v>
      </c>
      <c r="B28" s="7" t="str">
        <f aca="false">HYPERLINK("https://mncourtfraud.com/file/27-CR-19-4578.pdf","27-CR-19-4578")</f>
        <v>27-CR-19-4578</v>
      </c>
      <c r="C28" s="1" t="n">
        <v>1</v>
      </c>
      <c r="D28" s="2" t="s">
        <v>12</v>
      </c>
      <c r="E28" s="8" t="n">
        <v>44692</v>
      </c>
      <c r="F28" s="2" t="s">
        <v>15</v>
      </c>
      <c r="G28" s="7" t="str">
        <f aca="false">HYPERLINK("https://mncourtfraud.com/file/MCRO_27-CR-19-4578_Order-Evaluation for Competency to Proceed (Rule 20.01)_2022-05-11_20251126175233.pdf","MCRO_27-CR-19-4578_Order-Evaluation for Competency to Proceed (Rule 20.01)_2022-05-11_20251126175233.pdf")</f>
        <v>MCRO_27-CR-19-4578_Order-Evaluation for Competency to Proceed (Rule 20.01)_2022-05-11_20251126175233.pdf</v>
      </c>
      <c r="H28" s="2" t="s">
        <v>44</v>
      </c>
      <c r="I28" s="7" t="str">
        <f aca="false">HYPERLINK("https://mncourtfraud.com/file/MCRO_27-CR-19-4578_Order-Evaluation for Competency to Proceed (Rule 20.01)_2022-05-11_20251126175233.pdf.ots","MCRO_27-CR-19-4578_Order-Evaluation for Competency to Proceed (Rule 20.01)_2022-05-11_20251126175233.pdf.ots")</f>
        <v>MCRO_27-CR-19-4578_Order-Evaluation for Competency to Proceed (Rule 20.01)_2022-05-11_20251126175233.pdf.ots</v>
      </c>
      <c r="J28" s="7" t="str">
        <f aca="false">HYPERLINK("https://mncourtfraud.com/file/MCRO_27-CR-19-4578_Order-Evaluation for Competency to Proceed (Rule 20.01)_2022-05-11_20251126175233_META.txt","MCRO_27-CR-19-4578_Order-Evaluation for Competency to Proceed (Rule 20.01)_2022-05-11_20251126175233_META.txt")</f>
        <v>MCRO_27-CR-19-4578_Order-Evaluation for Competency to Proceed (Rule 20.01)_2022-05-11_20251126175233_META.txt</v>
      </c>
      <c r="K28" s="7" t="str">
        <f aca="false">HYPERLINK("https://mncourtfraud.com/file/MCRO_27-CR-19-4578_Order-Evaluation for Competency to Proceed (Rule 20.01)_2022-05-11_20251126175233_PDFSIGS.txt","MCRO_27-CR-19-4578_Order-Evaluation for Competency to Proceed (Rule 20.01)_2022-05-11_20251126175233_PDFSIGS.txt")</f>
        <v>MCRO_27-CR-19-4578_Order-Evaluation for Competency to Proceed (Rule 20.01)_2022-05-11_20251126175233_PDFSIGS.txt</v>
      </c>
      <c r="L28" s="7" t="str">
        <f aca="false">HYPERLINK("https://mncourtfraud.com/file/MCRO_27-CR-19-4578_Order-Evaluation_for_Competency_to_Proceed_(Rule_20.01)_2022-05-11_20251126175233.zip","MCRO_27-CR-19-4578_Order-Evaluation_for_Competency_to_Proceed_(Rule_20.01)_2022-05-11_20251126175233.zip")</f>
        <v>MCRO_27-CR-19-4578_Order-Evaluation_for_Competency_to_Proceed_(Rule_20.01)_2022-05-11_20251126175233.zip</v>
      </c>
    </row>
    <row r="29" customFormat="false" ht="18.7" hidden="false" customHeight="true" outlineLevel="0" collapsed="false">
      <c r="A29" s="1" t="n">
        <v>28</v>
      </c>
      <c r="B29" s="7" t="str">
        <f aca="false">HYPERLINK("https://mncourtfraud.com/file/27-CR-19-4578.pdf","27-CR-19-4578")</f>
        <v>27-CR-19-4578</v>
      </c>
      <c r="C29" s="1" t="n">
        <v>1</v>
      </c>
      <c r="D29" s="2" t="s">
        <v>12</v>
      </c>
      <c r="E29" s="8" t="n">
        <v>44895</v>
      </c>
      <c r="F29" s="2" t="s">
        <v>15</v>
      </c>
      <c r="G29" s="7" t="str">
        <f aca="false">HYPERLINK("https://mncourtfraud.com/file/MCRO_27-CR-19-4578_Order-Evaluation for Competency to Proceed (Rule 20.01)_2022-11-30_20251126175245.pdf","MCRO_27-CR-19-4578_Order-Evaluation for Competency to Proceed (Rule 20.01)_2022-11-30_20251126175245.pdf")</f>
        <v>MCRO_27-CR-19-4578_Order-Evaluation for Competency to Proceed (Rule 20.01)_2022-11-30_20251126175245.pdf</v>
      </c>
      <c r="H29" s="2" t="s">
        <v>45</v>
      </c>
      <c r="I29" s="7" t="str">
        <f aca="false">HYPERLINK("https://mncourtfraud.com/file/MCRO_27-CR-19-4578_Order-Evaluation for Competency to Proceed (Rule 20.01)_2022-11-30_20251126175245.pdf.ots","MCRO_27-CR-19-4578_Order-Evaluation for Competency to Proceed (Rule 20.01)_2022-11-30_20251126175245.pdf.ots")</f>
        <v>MCRO_27-CR-19-4578_Order-Evaluation for Competency to Proceed (Rule 20.01)_2022-11-30_20251126175245.pdf.ots</v>
      </c>
      <c r="J29" s="7" t="str">
        <f aca="false">HYPERLINK("https://mncourtfraud.com/file/MCRO_27-CR-19-4578_Order-Evaluation for Competency to Proceed (Rule 20.01)_2022-11-30_20251126175245_META.txt","MCRO_27-CR-19-4578_Order-Evaluation for Competency to Proceed (Rule 20.01)_2022-11-30_20251126175245_META.txt")</f>
        <v>MCRO_27-CR-19-4578_Order-Evaluation for Competency to Proceed (Rule 20.01)_2022-11-30_20251126175245_META.txt</v>
      </c>
      <c r="K29" s="7" t="str">
        <f aca="false">HYPERLINK("https://mncourtfraud.com/file/MCRO_27-CR-19-4578_Order-Evaluation for Competency to Proceed (Rule 20.01)_2022-11-30_20251126175245_PDFSIGS.txt","MCRO_27-CR-19-4578_Order-Evaluation for Competency to Proceed (Rule 20.01)_2022-11-30_20251126175245_PDFSIGS.txt")</f>
        <v>MCRO_27-CR-19-4578_Order-Evaluation for Competency to Proceed (Rule 20.01)_2022-11-30_20251126175245_PDFSIGS.txt</v>
      </c>
      <c r="L29" s="7" t="str">
        <f aca="false">HYPERLINK("https://mncourtfraud.com/file/MCRO_27-CR-19-4578_Order-Evaluation_for_Competency_to_Proceed_(Rule_20.01)_2022-11-30_20251126175245.zip","MCRO_27-CR-19-4578_Order-Evaluation_for_Competency_to_Proceed_(Rule_20.01)_2022-11-30_20251126175245.zip")</f>
        <v>MCRO_27-CR-19-4578_Order-Evaluation_for_Competency_to_Proceed_(Rule_20.01)_2022-11-30_20251126175245.zip</v>
      </c>
    </row>
    <row r="30" customFormat="false" ht="18.7" hidden="false" customHeight="true" outlineLevel="0" collapsed="false">
      <c r="A30" s="1" t="n">
        <v>29</v>
      </c>
      <c r="B30" s="7" t="str">
        <f aca="false">HYPERLINK("https://mncourtfraud.com/file/27-CR-19-5875.pdf","27-CR-19-5875")</f>
        <v>27-CR-19-5875</v>
      </c>
      <c r="C30" s="1" t="n">
        <v>1</v>
      </c>
      <c r="D30" s="2" t="s">
        <v>12</v>
      </c>
      <c r="E30" s="8" t="n">
        <v>43844</v>
      </c>
      <c r="F30" s="2" t="s">
        <v>13</v>
      </c>
      <c r="G30" s="7" t="str">
        <f aca="false">HYPERLINK("https://mncourtfraud.com/file/MCRO_27-CR-19-5875_Find of Fact-Order, Pet Commitment-Dfd Found Incompetent_2020-01-14_20251126175409.pdf","MCRO_27-CR-19-5875_Find of Fact-Order, Pet Commitment-Dfd Found Incompetent_2020-01-14_20251126175409.pdf")</f>
        <v>MCRO_27-CR-19-5875_Find of Fact-Order, Pet Commitment-Dfd Found Incompetent_2020-01-14_20251126175409.pdf</v>
      </c>
      <c r="H30" s="2" t="s">
        <v>46</v>
      </c>
      <c r="I30" s="7" t="str">
        <f aca="false">HYPERLINK("https://mncourtfraud.com/file/MCRO_27-CR-19-5875_Find of Fact-Order, Pet Commitment-Dfd Found Incompetent_2020-01-14_20251126175409.pdf.ots","MCRO_27-CR-19-5875_Find of Fact-Order, Pet Commitment-Dfd Found Incompetent_2020-01-14_20251126175409.pdf.ots")</f>
        <v>MCRO_27-CR-19-5875_Find of Fact-Order, Pet Commitment-Dfd Found Incompetent_2020-01-14_20251126175409.pdf.ots</v>
      </c>
      <c r="J30" s="7" t="str">
        <f aca="false">HYPERLINK("https://mncourtfraud.com/file/MCRO_27-CR-19-5875_Find of Fact-Order, Pet Commitment-Dfd Found Incompetent_2020-01-14_20251126175409_META.txt","MCRO_27-CR-19-5875_Find of Fact-Order, Pet Commitment-Dfd Found Incompetent_2020-01-14_20251126175409_META.txt")</f>
        <v>MCRO_27-CR-19-5875_Find of Fact-Order, Pet Commitment-Dfd Found Incompetent_2020-01-14_20251126175409_META.txt</v>
      </c>
      <c r="K30" s="7" t="str">
        <f aca="false">HYPERLINK("https://mncourtfraud.com/file/MCRO_27-CR-19-5875_Find of Fact-Order, Pet Commitment-Dfd Found Incompetent_2020-01-14_20251126175409_PDFSIGS.txt","MCRO_27-CR-19-5875_Find of Fact-Order, Pet Commitment-Dfd Found Incompetent_2020-01-14_20251126175409_PDFSIGS.txt")</f>
        <v>MCRO_27-CR-19-5875_Find of Fact-Order, Pet Commitment-Dfd Found Incompetent_2020-01-14_20251126175409_PDFSIGS.txt</v>
      </c>
      <c r="L30" s="7" t="str">
        <f aca="false">HYPERLINK("https://mncourtfraud.com/file/MCRO_27-CR-19-5875_Find_of_Fact-Order,_Pet_Commitment-Dfd_Found_Incompetent_2020-01-14_20251126175409.zip","MCRO_27-CR-19-5875_Find_of_Fact-Order,_Pet_Commitment-Dfd_Found_Incompetent_2020-01-14_20251126175409.zip")</f>
        <v>MCRO_27-CR-19-5875_Find_of_Fact-Order,_Pet_Commitment-Dfd_Found_Incompetent_2020-01-14_20251126175409.zip</v>
      </c>
    </row>
    <row r="31" customFormat="false" ht="18.7" hidden="false" customHeight="true" outlineLevel="0" collapsed="false">
      <c r="A31" s="1" t="n">
        <v>30</v>
      </c>
      <c r="B31" s="7" t="str">
        <f aca="false">HYPERLINK("https://mncourtfraud.com/file/27-CR-19-5875.pdf","27-CR-19-5875")</f>
        <v>27-CR-19-5875</v>
      </c>
      <c r="C31" s="1" t="n">
        <v>1</v>
      </c>
      <c r="D31" s="2" t="s">
        <v>12</v>
      </c>
      <c r="E31" s="8" t="n">
        <v>43902</v>
      </c>
      <c r="F31" s="2" t="s">
        <v>15</v>
      </c>
      <c r="G31" s="7" t="str">
        <f aca="false">HYPERLINK("https://mncourtfraud.com/file/MCRO_27-CR-19-5875_Order-Evaluation for Competency to Proceed (Rule 20.01)_2020-03-12_20251126175636.pdf","MCRO_27-CR-19-5875_Order-Evaluation for Competency to Proceed (Rule 20.01)_2020-03-12_20251126175636.pdf")</f>
        <v>MCRO_27-CR-19-5875_Order-Evaluation for Competency to Proceed (Rule 20.01)_2020-03-12_20251126175636.pdf</v>
      </c>
      <c r="H31" s="2" t="s">
        <v>47</v>
      </c>
      <c r="I31" s="7" t="str">
        <f aca="false">HYPERLINK("https://mncourtfraud.com/file/MCRO_27-CR-19-5875_Order-Evaluation for Competency to Proceed (Rule 20.01)_2020-03-12_20251126175636.pdf.ots","MCRO_27-CR-19-5875_Order-Evaluation for Competency to Proceed (Rule 20.01)_2020-03-12_20251126175636.pdf.ots")</f>
        <v>MCRO_27-CR-19-5875_Order-Evaluation for Competency to Proceed (Rule 20.01)_2020-03-12_20251126175636.pdf.ots</v>
      </c>
      <c r="J31" s="7" t="str">
        <f aca="false">HYPERLINK("https://mncourtfraud.com/file/MCRO_27-CR-19-5875_Order-Evaluation for Competency to Proceed (Rule 20.01)_2020-03-12_20251126175636_META.txt","MCRO_27-CR-19-5875_Order-Evaluation for Competency to Proceed (Rule 20.01)_2020-03-12_20251126175636_META.txt")</f>
        <v>MCRO_27-CR-19-5875_Order-Evaluation for Competency to Proceed (Rule 20.01)_2020-03-12_20251126175636_META.txt</v>
      </c>
      <c r="K31" s="7" t="str">
        <f aca="false">HYPERLINK("https://mncourtfraud.com/file/MCRO_27-CR-19-5875_Order-Evaluation for Competency to Proceed (Rule 20.01)_2020-03-12_20251126175636_PDFSIGS.txt","MCRO_27-CR-19-5875_Order-Evaluation for Competency to Proceed (Rule 20.01)_2020-03-12_20251126175636_PDFSIGS.txt")</f>
        <v>MCRO_27-CR-19-5875_Order-Evaluation for Competency to Proceed (Rule 20.01)_2020-03-12_20251126175636_PDFSIGS.txt</v>
      </c>
      <c r="L31" s="7" t="str">
        <f aca="false">HYPERLINK("https://mncourtfraud.com/file/MCRO_27-CR-19-5875_Order-Evaluation_for_Competency_to_Proceed_(Rule_20.01)_2020-03-12_20251126175636.zip","MCRO_27-CR-19-5875_Order-Evaluation_for_Competency_to_Proceed_(Rule_20.01)_2020-03-12_20251126175636.zip")</f>
        <v>MCRO_27-CR-19-5875_Order-Evaluation_for_Competency_to_Proceed_(Rule_20.01)_2020-03-12_20251126175636.zip</v>
      </c>
    </row>
    <row r="32" customFormat="false" ht="18.7" hidden="false" customHeight="true" outlineLevel="0" collapsed="false">
      <c r="A32" s="1" t="n">
        <v>31</v>
      </c>
      <c r="B32" s="7" t="str">
        <f aca="false">HYPERLINK("https://mncourtfraud.com/file/27-CR-19-5875.pdf","27-CR-19-5875")</f>
        <v>27-CR-19-5875</v>
      </c>
      <c r="C32" s="1" t="n">
        <v>1</v>
      </c>
      <c r="D32" s="2" t="s">
        <v>12</v>
      </c>
      <c r="E32" s="8" t="n">
        <v>43970</v>
      </c>
      <c r="F32" s="2" t="s">
        <v>17</v>
      </c>
      <c r="G32" s="7" t="str">
        <f aca="false">HYPERLINK("https://mncourtfraud.com/file/MCRO_27-CR-19-5875_Returned Mail_2020-05-19_20251126175700.pdf","MCRO_27-CR-19-5875_Returned Mail_2020-05-19_20251126175700.pdf")</f>
        <v>MCRO_27-CR-19-5875_Returned Mail_2020-05-19_20251126175700.pdf</v>
      </c>
      <c r="H32" s="2" t="s">
        <v>48</v>
      </c>
      <c r="I32" s="7" t="str">
        <f aca="false">HYPERLINK("https://mncourtfraud.com/file/MCRO_27-CR-19-5875_Returned Mail_2020-05-19_20251126175700.pdf.ots","MCRO_27-CR-19-5875_Returned Mail_2020-05-19_20251126175700.pdf.ots")</f>
        <v>MCRO_27-CR-19-5875_Returned Mail_2020-05-19_20251126175700.pdf.ots</v>
      </c>
      <c r="J32" s="7" t="str">
        <f aca="false">HYPERLINK("https://mncourtfraud.com/file/MCRO_27-CR-19-5875_Returned Mail_2020-05-19_20251126175700_META.txt","MCRO_27-CR-19-5875_Returned Mail_2020-05-19_20251126175700_META.txt")</f>
        <v>MCRO_27-CR-19-5875_Returned Mail_2020-05-19_20251126175700_META.txt</v>
      </c>
      <c r="K32" s="7" t="str">
        <f aca="false">HYPERLINK("https://mncourtfraud.com/file/MCRO_27-CR-19-5875_Returned Mail_2020-05-19_20251126175700_PDFSIGS.txt","MCRO_27-CR-19-5875_Returned Mail_2020-05-19_20251126175700_PDFSIGS.txt")</f>
        <v>MCRO_27-CR-19-5875_Returned Mail_2020-05-19_20251126175700_PDFSIGS.txt</v>
      </c>
      <c r="L32" s="7" t="str">
        <f aca="false">HYPERLINK("https://mncourtfraud.com/file/MCRO_27-CR-19-5875_Returned_Mail_2020-05-19_20251126175700.zip","MCRO_27-CR-19-5875_Returned_Mail_2020-05-19_20251126175700.zip")</f>
        <v>MCRO_27-CR-19-5875_Returned_Mail_2020-05-19_20251126175700.zip</v>
      </c>
    </row>
    <row r="33" customFormat="false" ht="18.7" hidden="false" customHeight="true" outlineLevel="0" collapsed="false">
      <c r="A33" s="1" t="n">
        <v>32</v>
      </c>
      <c r="B33" s="7" t="str">
        <f aca="false">HYPERLINK("https://mncourtfraud.com/file/27-CR-19-5875.pdf","27-CR-19-5875")</f>
        <v>27-CR-19-5875</v>
      </c>
      <c r="C33" s="1" t="n">
        <v>1</v>
      </c>
      <c r="D33" s="2" t="s">
        <v>12</v>
      </c>
      <c r="E33" s="8" t="n">
        <v>44103</v>
      </c>
      <c r="F33" s="2" t="s">
        <v>19</v>
      </c>
      <c r="G33" s="7" t="str">
        <f aca="false">HYPERLINK("https://mncourtfraud.com/file/MCRO_27-CR-19-5875_Findings and Order_2020-09-29_20251126175434.pdf","MCRO_27-CR-19-5875_Findings and Order_2020-09-29_20251126175434.pdf")</f>
        <v>MCRO_27-CR-19-5875_Findings and Order_2020-09-29_20251126175434.pdf</v>
      </c>
      <c r="H33" s="2" t="s">
        <v>49</v>
      </c>
      <c r="I33" s="7" t="str">
        <f aca="false">HYPERLINK("https://mncourtfraud.com/file/MCRO_27-CR-19-5875_Findings and Order_2020-09-29_20251126175434.pdf.ots","MCRO_27-CR-19-5875_Findings and Order_2020-09-29_20251126175434.pdf.ots")</f>
        <v>MCRO_27-CR-19-5875_Findings and Order_2020-09-29_20251126175434.pdf.ots</v>
      </c>
      <c r="J33" s="7" t="str">
        <f aca="false">HYPERLINK("https://mncourtfraud.com/file/MCRO_27-CR-19-5875_Findings and Order_2020-09-29_20251126175434_META.txt","MCRO_27-CR-19-5875_Findings and Order_2020-09-29_20251126175434_META.txt")</f>
        <v>MCRO_27-CR-19-5875_Findings and Order_2020-09-29_20251126175434_META.txt</v>
      </c>
      <c r="K33" s="7" t="str">
        <f aca="false">HYPERLINK("https://mncourtfraud.com/file/MCRO_27-CR-19-5875_Findings and Order_2020-09-29_20251126175434_PDFSIGS.txt","MCRO_27-CR-19-5875_Findings and Order_2020-09-29_20251126175434_PDFSIGS.txt")</f>
        <v>MCRO_27-CR-19-5875_Findings and Order_2020-09-29_20251126175434_PDFSIGS.txt</v>
      </c>
      <c r="L33" s="7" t="str">
        <f aca="false">HYPERLINK("https://mncourtfraud.com/file/MCRO_27-CR-19-5875_Findings_and_Order_2020-09-29_20251126175434.zip","MCRO_27-CR-19-5875_Findings_and_Order_2020-09-29_20251126175434.zip")</f>
        <v>MCRO_27-CR-19-5875_Findings_and_Order_2020-09-29_20251126175434.zip</v>
      </c>
    </row>
    <row r="34" customFormat="false" ht="18.7" hidden="false" customHeight="true" outlineLevel="0" collapsed="false">
      <c r="A34" s="1" t="n">
        <v>33</v>
      </c>
      <c r="B34" s="7" t="str">
        <f aca="false">HYPERLINK("https://mncourtfraud.com/file/27-CR-19-5875.pdf","27-CR-19-5875")</f>
        <v>27-CR-19-5875</v>
      </c>
      <c r="C34" s="1" t="n">
        <v>1</v>
      </c>
      <c r="D34" s="2" t="s">
        <v>12</v>
      </c>
      <c r="E34" s="8" t="n">
        <v>44225</v>
      </c>
      <c r="F34" s="2" t="s">
        <v>15</v>
      </c>
      <c r="G34" s="7" t="str">
        <f aca="false">HYPERLINK("https://mncourtfraud.com/file/MCRO_27-CR-19-5875_Order-Evaluation for Competency to Proceed (Rule 20.01)_2021-01-29_20251126175645.pdf","MCRO_27-CR-19-5875_Order-Evaluation for Competency to Proceed (Rule 20.01)_2021-01-29_20251126175645.pdf")</f>
        <v>MCRO_27-CR-19-5875_Order-Evaluation for Competency to Proceed (Rule 20.01)_2021-01-29_20251126175645.pdf</v>
      </c>
      <c r="H34" s="2" t="s">
        <v>50</v>
      </c>
      <c r="I34" s="7" t="str">
        <f aca="false">HYPERLINK("https://mncourtfraud.com/file/MCRO_27-CR-19-5875_Order-Evaluation for Competency to Proceed (Rule 20.01)_2021-01-29_20251126175645.pdf.ots","MCRO_27-CR-19-5875_Order-Evaluation for Competency to Proceed (Rule 20.01)_2021-01-29_20251126175645.pdf.ots")</f>
        <v>MCRO_27-CR-19-5875_Order-Evaluation for Competency to Proceed (Rule 20.01)_2021-01-29_20251126175645.pdf.ots</v>
      </c>
      <c r="J34" s="7" t="str">
        <f aca="false">HYPERLINK("https://mncourtfraud.com/file/MCRO_27-CR-19-5875_Order-Evaluation for Competency to Proceed (Rule 20.01)_2021-01-29_20251126175645_META.txt","MCRO_27-CR-19-5875_Order-Evaluation for Competency to Proceed (Rule 20.01)_2021-01-29_20251126175645_META.txt")</f>
        <v>MCRO_27-CR-19-5875_Order-Evaluation for Competency to Proceed (Rule 20.01)_2021-01-29_20251126175645_META.txt</v>
      </c>
      <c r="K34" s="7" t="str">
        <f aca="false">HYPERLINK("https://mncourtfraud.com/file/MCRO_27-CR-19-5875_Order-Evaluation for Competency to Proceed (Rule 20.01)_2021-01-29_20251126175645_PDFSIGS.txt","MCRO_27-CR-19-5875_Order-Evaluation for Competency to Proceed (Rule 20.01)_2021-01-29_20251126175645_PDFSIGS.txt")</f>
        <v>MCRO_27-CR-19-5875_Order-Evaluation for Competency to Proceed (Rule 20.01)_2021-01-29_20251126175645_PDFSIGS.txt</v>
      </c>
      <c r="L34" s="7" t="str">
        <f aca="false">HYPERLINK("https://mncourtfraud.com/file/MCRO_27-CR-19-5875_Order-Evaluation_for_Competency_to_Proceed_(Rule_20.01)_2021-01-29_20251126175645.zip","MCRO_27-CR-19-5875_Order-Evaluation_for_Competency_to_Proceed_(Rule_20.01)_2021-01-29_20251126175645.zip")</f>
        <v>MCRO_27-CR-19-5875_Order-Evaluation_for_Competency_to_Proceed_(Rule_20.01)_2021-01-29_20251126175645.zip</v>
      </c>
    </row>
    <row r="35" customFormat="false" ht="18.7" hidden="false" customHeight="true" outlineLevel="0" collapsed="false">
      <c r="A35" s="1" t="n">
        <v>34</v>
      </c>
      <c r="B35" s="7" t="str">
        <f aca="false">HYPERLINK("https://mncourtfraud.com/file/27-CR-19-5875.pdf","27-CR-19-5875")</f>
        <v>27-CR-19-5875</v>
      </c>
      <c r="C35" s="1" t="n">
        <v>1</v>
      </c>
      <c r="D35" s="2" t="s">
        <v>12</v>
      </c>
      <c r="E35" s="8" t="n">
        <v>44396</v>
      </c>
      <c r="F35" s="2" t="s">
        <v>15</v>
      </c>
      <c r="G35" s="7" t="str">
        <f aca="false">HYPERLINK("https://mncourtfraud.com/file/MCRO_27-CR-19-5875_Order-Evaluation for Competency to Proceed (Rule 20.01)_2021-07-19_20251126175529.pdf","MCRO_27-CR-19-5875_Order-Evaluation for Competency to Proceed (Rule 20.01)_2021-07-19_20251126175529.pdf")</f>
        <v>MCRO_27-CR-19-5875_Order-Evaluation for Competency to Proceed (Rule 20.01)_2021-07-19_20251126175529.pdf</v>
      </c>
      <c r="H35" s="2" t="s">
        <v>51</v>
      </c>
      <c r="I35" s="7" t="str">
        <f aca="false">HYPERLINK("https://mncourtfraud.com/file/MCRO_27-CR-19-5875_Order-Evaluation for Competency to Proceed (Rule 20.01)_2021-07-19_20251126175529.pdf.ots","MCRO_27-CR-19-5875_Order-Evaluation for Competency to Proceed (Rule 20.01)_2021-07-19_20251126175529.pdf.ots")</f>
        <v>MCRO_27-CR-19-5875_Order-Evaluation for Competency to Proceed (Rule 20.01)_2021-07-19_20251126175529.pdf.ots</v>
      </c>
      <c r="J35" s="7" t="str">
        <f aca="false">HYPERLINK("https://mncourtfraud.com/file/MCRO_27-CR-19-5875_Order-Evaluation for Competency to Proceed (Rule 20.01)_2021-07-19_20251126175529_META.txt","MCRO_27-CR-19-5875_Order-Evaluation for Competency to Proceed (Rule 20.01)_2021-07-19_20251126175529_META.txt")</f>
        <v>MCRO_27-CR-19-5875_Order-Evaluation for Competency to Proceed (Rule 20.01)_2021-07-19_20251126175529_META.txt</v>
      </c>
      <c r="K35" s="7" t="str">
        <f aca="false">HYPERLINK("https://mncourtfraud.com/file/MCRO_27-CR-19-5875_Order-Evaluation for Competency to Proceed (Rule 20.01)_2021-07-19_20251126175529_PDFSIGS.txt","MCRO_27-CR-19-5875_Order-Evaluation for Competency to Proceed (Rule 20.01)_2021-07-19_20251126175529_PDFSIGS.txt")</f>
        <v>MCRO_27-CR-19-5875_Order-Evaluation for Competency to Proceed (Rule 20.01)_2021-07-19_20251126175529_PDFSIGS.txt</v>
      </c>
      <c r="L35" s="7" t="str">
        <f aca="false">HYPERLINK("https://mncourtfraud.com/file/MCRO_27-CR-19-5875_Order-Evaluation_for_Competency_to_Proceed_(Rule_20.01)_2021-07-19_20251126175529.zip","MCRO_27-CR-19-5875_Order-Evaluation_for_Competency_to_Proceed_(Rule_20.01)_2021-07-19_20251126175529.zip")</f>
        <v>MCRO_27-CR-19-5875_Order-Evaluation_for_Competency_to_Proceed_(Rule_20.01)_2021-07-19_20251126175529.zip</v>
      </c>
    </row>
    <row r="36" customFormat="false" ht="18.7" hidden="false" customHeight="true" outlineLevel="0" collapsed="false">
      <c r="A36" s="1" t="n">
        <v>35</v>
      </c>
      <c r="B36" s="7" t="str">
        <f aca="false">HYPERLINK("https://mncourtfraud.com/file/27-CR-19-5875.pdf","27-CR-19-5875")</f>
        <v>27-CR-19-5875</v>
      </c>
      <c r="C36" s="1" t="n">
        <v>1</v>
      </c>
      <c r="D36" s="2" t="s">
        <v>12</v>
      </c>
      <c r="E36" s="8" t="n">
        <v>44439</v>
      </c>
      <c r="F36" s="2" t="s">
        <v>19</v>
      </c>
      <c r="G36" s="7" t="str">
        <f aca="false">HYPERLINK("https://mncourtfraud.com/file/MCRO_27-CR-19-5875_Findings and Order_2021-08-31_20251126175446.pdf","MCRO_27-CR-19-5875_Findings and Order_2021-08-31_20251126175446.pdf")</f>
        <v>MCRO_27-CR-19-5875_Findings and Order_2021-08-31_20251126175446.pdf</v>
      </c>
      <c r="H36" s="2" t="s">
        <v>52</v>
      </c>
      <c r="I36" s="7" t="str">
        <f aca="false">HYPERLINK("https://mncourtfraud.com/file/MCRO_27-CR-19-5875_Findings and Order_2021-08-31_20251126175446.pdf.ots","MCRO_27-CR-19-5875_Findings and Order_2021-08-31_20251126175446.pdf.ots")</f>
        <v>MCRO_27-CR-19-5875_Findings and Order_2021-08-31_20251126175446.pdf.ots</v>
      </c>
      <c r="J36" s="7" t="str">
        <f aca="false">HYPERLINK("https://mncourtfraud.com/file/MCRO_27-CR-19-5875_Findings and Order_2021-08-31_20251126175446_META.txt","MCRO_27-CR-19-5875_Findings and Order_2021-08-31_20251126175446_META.txt")</f>
        <v>MCRO_27-CR-19-5875_Findings and Order_2021-08-31_20251126175446_META.txt</v>
      </c>
      <c r="K36" s="7" t="str">
        <f aca="false">HYPERLINK("https://mncourtfraud.com/file/MCRO_27-CR-19-5875_Findings and Order_2021-08-31_20251126175446_PDFSIGS.txt","MCRO_27-CR-19-5875_Findings and Order_2021-08-31_20251126175446_PDFSIGS.txt")</f>
        <v>MCRO_27-CR-19-5875_Findings and Order_2021-08-31_20251126175446_PDFSIGS.txt</v>
      </c>
      <c r="L36" s="7" t="str">
        <f aca="false">HYPERLINK("https://mncourtfraud.com/file/MCRO_27-CR-19-5875_Findings_and_Order_2021-08-31_20251126175446.zip","MCRO_27-CR-19-5875_Findings_and_Order_2021-08-31_20251126175446.zip")</f>
        <v>MCRO_27-CR-19-5875_Findings_and_Order_2021-08-31_20251126175446.zip</v>
      </c>
    </row>
    <row r="37" customFormat="false" ht="18.7" hidden="false" customHeight="true" outlineLevel="0" collapsed="false">
      <c r="A37" s="1" t="n">
        <v>36</v>
      </c>
      <c r="B37" s="7" t="str">
        <f aca="false">HYPERLINK("https://mncourtfraud.com/file/27-CR-19-5875.pdf","27-CR-19-5875")</f>
        <v>27-CR-19-5875</v>
      </c>
      <c r="C37" s="1" t="n">
        <v>1</v>
      </c>
      <c r="D37" s="2" t="s">
        <v>12</v>
      </c>
      <c r="E37" s="8" t="n">
        <v>44460</v>
      </c>
      <c r="F37" s="2" t="s">
        <v>24</v>
      </c>
      <c r="G37" s="7" t="str">
        <f aca="false">HYPERLINK("https://mncourtfraud.com/file/MCRO_27-CR-19-5875_Order for Conditional Release_2021-09-21_20251126175513.pdf","MCRO_27-CR-19-5875_Order for Conditional Release_2021-09-21_20251126175513.pdf")</f>
        <v>MCRO_27-CR-19-5875_Order for Conditional Release_2021-09-21_20251126175513.pdf</v>
      </c>
      <c r="H37" s="2" t="s">
        <v>53</v>
      </c>
      <c r="I37" s="7" t="str">
        <f aca="false">HYPERLINK("https://mncourtfraud.com/file/MCRO_27-CR-19-5875_Order for Conditional Release_2021-09-21_20251126175513.pdf.ots","MCRO_27-CR-19-5875_Order for Conditional Release_2021-09-21_20251126175513.pdf.ots")</f>
        <v>MCRO_27-CR-19-5875_Order for Conditional Release_2021-09-21_20251126175513.pdf.ots</v>
      </c>
      <c r="J37" s="7" t="str">
        <f aca="false">HYPERLINK("https://mncourtfraud.com/file/MCRO_27-CR-19-5875_Order for Conditional Release_2021-09-21_20251126175513_META.txt","MCRO_27-CR-19-5875_Order for Conditional Release_2021-09-21_20251126175513_META.txt")</f>
        <v>MCRO_27-CR-19-5875_Order for Conditional Release_2021-09-21_20251126175513_META.txt</v>
      </c>
      <c r="K37" s="7" t="str">
        <f aca="false">HYPERLINK("https://mncourtfraud.com/file/MCRO_27-CR-19-5875_Order for Conditional Release_2021-09-21_20251126175513_PDFSIGS.txt","MCRO_27-CR-19-5875_Order for Conditional Release_2021-09-21_20251126175513_PDFSIGS.txt")</f>
        <v>MCRO_27-CR-19-5875_Order for Conditional Release_2021-09-21_20251126175513_PDFSIGS.txt</v>
      </c>
      <c r="L37" s="7" t="str">
        <f aca="false">HYPERLINK("https://mncourtfraud.com/file/MCRO_27-CR-19-5875_Order_for_Conditional_Release_2021-09-21_20251126175513.zip","MCRO_27-CR-19-5875_Order_for_Conditional_Release_2021-09-21_20251126175513.zip")</f>
        <v>MCRO_27-CR-19-5875_Order_for_Conditional_Release_2021-09-21_20251126175513.zip</v>
      </c>
    </row>
    <row r="38" customFormat="false" ht="18.7" hidden="false" customHeight="true" outlineLevel="0" collapsed="false">
      <c r="A38" s="1" t="n">
        <v>37</v>
      </c>
      <c r="B38" s="7" t="str">
        <f aca="false">HYPERLINK("https://mncourtfraud.com/file/27-CR-19-5875.pdf","27-CR-19-5875")</f>
        <v>27-CR-19-5875</v>
      </c>
      <c r="C38" s="1" t="n">
        <v>1</v>
      </c>
      <c r="D38" s="2" t="s">
        <v>12</v>
      </c>
      <c r="E38" s="8" t="n">
        <v>44468</v>
      </c>
      <c r="F38" s="2" t="s">
        <v>24</v>
      </c>
      <c r="G38" s="7" t="str">
        <f aca="false">HYPERLINK("https://mncourtfraud.com/file/MCRO_27-CR-19-5875_Order for Conditional Release_2021-09-29_20251126175502.pdf","MCRO_27-CR-19-5875_Order for Conditional Release_2021-09-29_20251126175502.pdf")</f>
        <v>MCRO_27-CR-19-5875_Order for Conditional Release_2021-09-29_20251126175502.pdf</v>
      </c>
      <c r="H38" s="2" t="s">
        <v>54</v>
      </c>
      <c r="I38" s="7" t="str">
        <f aca="false">HYPERLINK("https://mncourtfraud.com/file/MCRO_27-CR-19-5875_Order for Conditional Release_2021-09-29_20251126175502.pdf.ots","MCRO_27-CR-19-5875_Order for Conditional Release_2021-09-29_20251126175502.pdf.ots")</f>
        <v>MCRO_27-CR-19-5875_Order for Conditional Release_2021-09-29_20251126175502.pdf.ots</v>
      </c>
      <c r="J38" s="7" t="str">
        <f aca="false">HYPERLINK("https://mncourtfraud.com/file/MCRO_27-CR-19-5875_Order for Conditional Release_2021-09-29_20251126175502_META.txt","MCRO_27-CR-19-5875_Order for Conditional Release_2021-09-29_20251126175502_META.txt")</f>
        <v>MCRO_27-CR-19-5875_Order for Conditional Release_2021-09-29_20251126175502_META.txt</v>
      </c>
      <c r="K38" s="7" t="str">
        <f aca="false">HYPERLINK("https://mncourtfraud.com/file/MCRO_27-CR-19-5875_Order for Conditional Release_2021-09-29_20251126175502_PDFSIGS.txt","MCRO_27-CR-19-5875_Order for Conditional Release_2021-09-29_20251126175502_PDFSIGS.txt")</f>
        <v>MCRO_27-CR-19-5875_Order for Conditional Release_2021-09-29_20251126175502_PDFSIGS.txt</v>
      </c>
      <c r="L38" s="7" t="str">
        <f aca="false">HYPERLINK("https://mncourtfraud.com/file/MCRO_27-CR-19-5875_Order_for_Conditional_Release_2021-09-29_20251126175502.zip","MCRO_27-CR-19-5875_Order_for_Conditional_Release_2021-09-29_20251126175502.zip")</f>
        <v>MCRO_27-CR-19-5875_Order_for_Conditional_Release_2021-09-29_20251126175502.zip</v>
      </c>
    </row>
    <row r="39" customFormat="false" ht="18.7" hidden="false" customHeight="true" outlineLevel="0" collapsed="false">
      <c r="A39" s="1" t="n">
        <v>38</v>
      </c>
      <c r="B39" s="7" t="str">
        <f aca="false">HYPERLINK("https://mncourtfraud.com/file/27-CR-19-5875.pdf","27-CR-19-5875")</f>
        <v>27-CR-19-5875</v>
      </c>
      <c r="C39" s="1" t="n">
        <v>1</v>
      </c>
      <c r="D39" s="2" t="s">
        <v>12</v>
      </c>
      <c r="E39" s="8" t="n">
        <v>44543</v>
      </c>
      <c r="F39" s="2" t="s">
        <v>15</v>
      </c>
      <c r="G39" s="7" t="str">
        <f aca="false">HYPERLINK("https://mncourtfraud.com/file/MCRO_27-CR-19-5875_Order-Evaluation for Competency to Proceed (Rule 20.01)_2021-12-13_20251126175541.pdf","MCRO_27-CR-19-5875_Order-Evaluation for Competency to Proceed (Rule 20.01)_2021-12-13_20251126175541.pdf")</f>
        <v>MCRO_27-CR-19-5875_Order-Evaluation for Competency to Proceed (Rule 20.01)_2021-12-13_20251126175541.pdf</v>
      </c>
      <c r="H39" s="2" t="s">
        <v>55</v>
      </c>
      <c r="I39" s="7" t="str">
        <f aca="false">HYPERLINK("https://mncourtfraud.com/file/MCRO_27-CR-19-5875_Order-Evaluation for Competency to Proceed (Rule 20.01)_2021-12-13_20251126175541.pdf.ots","MCRO_27-CR-19-5875_Order-Evaluation for Competency to Proceed (Rule 20.01)_2021-12-13_20251126175541.pdf.ots")</f>
        <v>MCRO_27-CR-19-5875_Order-Evaluation for Competency to Proceed (Rule 20.01)_2021-12-13_20251126175541.pdf.ots</v>
      </c>
      <c r="J39" s="7" t="str">
        <f aca="false">HYPERLINK("https://mncourtfraud.com/file/MCRO_27-CR-19-5875_Order-Evaluation for Competency to Proceed (Rule 20.01)_2021-12-13_20251126175541_META.txt","MCRO_27-CR-19-5875_Order-Evaluation for Competency to Proceed (Rule 20.01)_2021-12-13_20251126175541_META.txt")</f>
        <v>MCRO_27-CR-19-5875_Order-Evaluation for Competency to Proceed (Rule 20.01)_2021-12-13_20251126175541_META.txt</v>
      </c>
      <c r="K39" s="7" t="str">
        <f aca="false">HYPERLINK("https://mncourtfraud.com/file/MCRO_27-CR-19-5875_Order-Evaluation for Competency to Proceed (Rule 20.01)_2021-12-13_20251126175541_PDFSIGS.txt","MCRO_27-CR-19-5875_Order-Evaluation for Competency to Proceed (Rule 20.01)_2021-12-13_20251126175541_PDFSIGS.txt")</f>
        <v>MCRO_27-CR-19-5875_Order-Evaluation for Competency to Proceed (Rule 20.01)_2021-12-13_20251126175541_PDFSIGS.txt</v>
      </c>
      <c r="L39" s="7" t="str">
        <f aca="false">HYPERLINK("https://mncourtfraud.com/file/MCRO_27-CR-19-5875_Order-Evaluation_for_Competency_to_Proceed_(Rule_20.01)_2021-12-13_20251126175541.zip","MCRO_27-CR-19-5875_Order-Evaluation_for_Competency_to_Proceed_(Rule_20.01)_2021-12-13_20251126175541.zip")</f>
        <v>MCRO_27-CR-19-5875_Order-Evaluation_for_Competency_to_Proceed_(Rule_20.01)_2021-12-13_20251126175541.zip</v>
      </c>
    </row>
    <row r="40" customFormat="false" ht="18.7" hidden="false" customHeight="true" outlineLevel="0" collapsed="false">
      <c r="A40" s="1" t="n">
        <v>39</v>
      </c>
      <c r="B40" s="7" t="str">
        <f aca="false">HYPERLINK("https://mncourtfraud.com/file/27-CR-19-5875.pdf","27-CR-19-5875")</f>
        <v>27-CR-19-5875</v>
      </c>
      <c r="C40" s="1" t="n">
        <v>1</v>
      </c>
      <c r="D40" s="2" t="s">
        <v>12</v>
      </c>
      <c r="E40" s="8" t="n">
        <v>44558</v>
      </c>
      <c r="F40" s="2" t="s">
        <v>15</v>
      </c>
      <c r="G40" s="7" t="str">
        <f aca="false">HYPERLINK("https://mncourtfraud.com/file/MCRO_27-CR-19-5875_Order-Evaluation for Competency to Proceed (Rule 20.01)_2021-12-28_20251126175553.pdf","MCRO_27-CR-19-5875_Order-Evaluation for Competency to Proceed (Rule 20.01)_2021-12-28_20251126175553.pdf")</f>
        <v>MCRO_27-CR-19-5875_Order-Evaluation for Competency to Proceed (Rule 20.01)_2021-12-28_20251126175553.pdf</v>
      </c>
      <c r="H40" s="2" t="s">
        <v>56</v>
      </c>
      <c r="I40" s="7" t="str">
        <f aca="false">HYPERLINK("https://mncourtfraud.com/file/MCRO_27-CR-19-5875_Order-Evaluation for Competency to Proceed (Rule 20.01)_2021-12-28_20251126175553.pdf.ots","MCRO_27-CR-19-5875_Order-Evaluation for Competency to Proceed (Rule 20.01)_2021-12-28_20251126175553.pdf.ots")</f>
        <v>MCRO_27-CR-19-5875_Order-Evaluation for Competency to Proceed (Rule 20.01)_2021-12-28_20251126175553.pdf.ots</v>
      </c>
      <c r="J40" s="7" t="str">
        <f aca="false">HYPERLINK("https://mncourtfraud.com/file/MCRO_27-CR-19-5875_Order-Evaluation for Competency to Proceed (Rule 20.01)_2021-12-28_20251126175553_META.txt","MCRO_27-CR-19-5875_Order-Evaluation for Competency to Proceed (Rule 20.01)_2021-12-28_20251126175553_META.txt")</f>
        <v>MCRO_27-CR-19-5875_Order-Evaluation for Competency to Proceed (Rule 20.01)_2021-12-28_20251126175553_META.txt</v>
      </c>
      <c r="K40" s="7" t="str">
        <f aca="false">HYPERLINK("https://mncourtfraud.com/file/MCRO_27-CR-19-5875_Order-Evaluation for Competency to Proceed (Rule 20.01)_2021-12-28_20251126175553_PDFSIGS.txt","MCRO_27-CR-19-5875_Order-Evaluation for Competency to Proceed (Rule 20.01)_2021-12-28_20251126175553_PDFSIGS.txt")</f>
        <v>MCRO_27-CR-19-5875_Order-Evaluation for Competency to Proceed (Rule 20.01)_2021-12-28_20251126175553_PDFSIGS.txt</v>
      </c>
      <c r="L40" s="7" t="str">
        <f aca="false">HYPERLINK("https://mncourtfraud.com/file/MCRO_27-CR-19-5875_Order-Evaluation_for_Competency_to_Proceed_(Rule_20.01)_2021-12-28_20251126175553.zip","MCRO_27-CR-19-5875_Order-Evaluation_for_Competency_to_Proceed_(Rule_20.01)_2021-12-28_20251126175553.zip")</f>
        <v>MCRO_27-CR-19-5875_Order-Evaluation_for_Competency_to_Proceed_(Rule_20.01)_2021-12-28_20251126175553.zip</v>
      </c>
    </row>
    <row r="41" customFormat="false" ht="18.7" hidden="false" customHeight="true" outlineLevel="0" collapsed="false">
      <c r="A41" s="1" t="n">
        <v>40</v>
      </c>
      <c r="B41" s="7" t="str">
        <f aca="false">HYPERLINK("https://mncourtfraud.com/file/27-CR-19-5875.pdf","27-CR-19-5875")</f>
        <v>27-CR-19-5875</v>
      </c>
      <c r="C41" s="1" t="n">
        <v>1</v>
      </c>
      <c r="D41" s="2" t="s">
        <v>12</v>
      </c>
      <c r="E41" s="8" t="n">
        <v>44593</v>
      </c>
      <c r="F41" s="2" t="s">
        <v>19</v>
      </c>
      <c r="G41" s="7" t="str">
        <f aca="false">HYPERLINK("https://mncourtfraud.com/file/MCRO_27-CR-19-5875_Findings and Order_2022-02-01_20251126175424.pdf","MCRO_27-CR-19-5875_Findings and Order_2022-02-01_20251126175424.pdf")</f>
        <v>MCRO_27-CR-19-5875_Findings and Order_2022-02-01_20251126175424.pdf</v>
      </c>
      <c r="H41" s="2" t="s">
        <v>57</v>
      </c>
      <c r="I41" s="7" t="str">
        <f aca="false">HYPERLINK("https://mncourtfraud.com/file/MCRO_27-CR-19-5875_Findings and Order_2022-02-01_20251126175424.pdf.ots","MCRO_27-CR-19-5875_Findings and Order_2022-02-01_20251126175424.pdf.ots")</f>
        <v>MCRO_27-CR-19-5875_Findings and Order_2022-02-01_20251126175424.pdf.ots</v>
      </c>
      <c r="J41" s="7" t="str">
        <f aca="false">HYPERLINK("https://mncourtfraud.com/file/MCRO_27-CR-19-5875_Findings and Order_2022-02-01_20251126175424_META.txt","MCRO_27-CR-19-5875_Findings and Order_2022-02-01_20251126175424_META.txt")</f>
        <v>MCRO_27-CR-19-5875_Findings and Order_2022-02-01_20251126175424_META.txt</v>
      </c>
      <c r="K41" s="7" t="str">
        <f aca="false">HYPERLINK("https://mncourtfraud.com/file/MCRO_27-CR-19-5875_Findings and Order_2022-02-01_20251126175424_PDFSIGS.txt","MCRO_27-CR-19-5875_Findings and Order_2022-02-01_20251126175424_PDFSIGS.txt")</f>
        <v>MCRO_27-CR-19-5875_Findings and Order_2022-02-01_20251126175424_PDFSIGS.txt</v>
      </c>
      <c r="L41" s="7" t="str">
        <f aca="false">HYPERLINK("https://mncourtfraud.com/file/MCRO_27-CR-19-5875_Findings_and_Order_2022-02-01_20251126175424.zip","MCRO_27-CR-19-5875_Findings_and_Order_2022-02-01_20251126175424.zip")</f>
        <v>MCRO_27-CR-19-5875_Findings_and_Order_2022-02-01_20251126175424.zip</v>
      </c>
    </row>
    <row r="42" customFormat="false" ht="18.7" hidden="false" customHeight="true" outlineLevel="0" collapsed="false">
      <c r="A42" s="1" t="n">
        <v>41</v>
      </c>
      <c r="B42" s="7" t="str">
        <f aca="false">HYPERLINK("https://mncourtfraud.com/file/27-CR-19-5875.pdf","27-CR-19-5875")</f>
        <v>27-CR-19-5875</v>
      </c>
      <c r="C42" s="1" t="n">
        <v>1</v>
      </c>
      <c r="D42" s="2" t="s">
        <v>12</v>
      </c>
      <c r="E42" s="8" t="n">
        <v>44692</v>
      </c>
      <c r="F42" s="2" t="s">
        <v>15</v>
      </c>
      <c r="G42" s="7" t="str">
        <f aca="false">HYPERLINK("https://mncourtfraud.com/file/MCRO_27-CR-19-5875_Order-Evaluation for Competency to Proceed (Rule 20.01)_2022-05-11_20251126175604.pdf","MCRO_27-CR-19-5875_Order-Evaluation for Competency to Proceed (Rule 20.01)_2022-05-11_20251126175604.pdf")</f>
        <v>MCRO_27-CR-19-5875_Order-Evaluation for Competency to Proceed (Rule 20.01)_2022-05-11_20251126175604.pdf</v>
      </c>
      <c r="H42" s="2" t="s">
        <v>58</v>
      </c>
      <c r="I42" s="7" t="str">
        <f aca="false">HYPERLINK("https://mncourtfraud.com/file/MCRO_27-CR-19-5875_Order-Evaluation for Competency to Proceed (Rule 20.01)_2022-05-11_20251126175604.pdf.ots","MCRO_27-CR-19-5875_Order-Evaluation for Competency to Proceed (Rule 20.01)_2022-05-11_20251126175604.pdf.ots")</f>
        <v>MCRO_27-CR-19-5875_Order-Evaluation for Competency to Proceed (Rule 20.01)_2022-05-11_20251126175604.pdf.ots</v>
      </c>
      <c r="J42" s="7" t="str">
        <f aca="false">HYPERLINK("https://mncourtfraud.com/file/MCRO_27-CR-19-5875_Order-Evaluation for Competency to Proceed (Rule 20.01)_2022-05-11_20251126175604_META.txt","MCRO_27-CR-19-5875_Order-Evaluation for Competency to Proceed (Rule 20.01)_2022-05-11_20251126175604_META.txt")</f>
        <v>MCRO_27-CR-19-5875_Order-Evaluation for Competency to Proceed (Rule 20.01)_2022-05-11_20251126175604_META.txt</v>
      </c>
      <c r="K42" s="7" t="str">
        <f aca="false">HYPERLINK("https://mncourtfraud.com/file/MCRO_27-CR-19-5875_Order-Evaluation for Competency to Proceed (Rule 20.01)_2022-05-11_20251126175604_PDFSIGS.txt","MCRO_27-CR-19-5875_Order-Evaluation for Competency to Proceed (Rule 20.01)_2022-05-11_20251126175604_PDFSIGS.txt")</f>
        <v>MCRO_27-CR-19-5875_Order-Evaluation for Competency to Proceed (Rule 20.01)_2022-05-11_20251126175604_PDFSIGS.txt</v>
      </c>
      <c r="L42" s="7" t="str">
        <f aca="false">HYPERLINK("https://mncourtfraud.com/file/MCRO_27-CR-19-5875_Order-Evaluation_for_Competency_to_Proceed_(Rule_20.01)_2022-05-11_20251126175604.zip","MCRO_27-CR-19-5875_Order-Evaluation_for_Competency_to_Proceed_(Rule_20.01)_2022-05-11_20251126175604.zip")</f>
        <v>MCRO_27-CR-19-5875_Order-Evaluation_for_Competency_to_Proceed_(Rule_20.01)_2022-05-11_20251126175604.zip</v>
      </c>
    </row>
    <row r="43" customFormat="false" ht="18.7" hidden="false" customHeight="true" outlineLevel="0" collapsed="false">
      <c r="A43" s="1" t="n">
        <v>42</v>
      </c>
      <c r="B43" s="7" t="str">
        <f aca="false">HYPERLINK("https://mncourtfraud.com/file/27-CR-19-5875.pdf","27-CR-19-5875")</f>
        <v>27-CR-19-5875</v>
      </c>
      <c r="C43" s="1" t="n">
        <v>1</v>
      </c>
      <c r="D43" s="2" t="s">
        <v>12</v>
      </c>
      <c r="E43" s="8" t="n">
        <v>44895</v>
      </c>
      <c r="F43" s="2" t="s">
        <v>15</v>
      </c>
      <c r="G43" s="7" t="str">
        <f aca="false">HYPERLINK("https://mncourtfraud.com/file/MCRO_27-CR-19-5875_Order-Evaluation for Competency to Proceed (Rule 20.01)_2022-11-30_20251126175616.pdf","MCRO_27-CR-19-5875_Order-Evaluation for Competency to Proceed (Rule 20.01)_2022-11-30_20251126175616.pdf")</f>
        <v>MCRO_27-CR-19-5875_Order-Evaluation for Competency to Proceed (Rule 20.01)_2022-11-30_20251126175616.pdf</v>
      </c>
      <c r="H43" s="2" t="s">
        <v>59</v>
      </c>
      <c r="I43" s="7" t="str">
        <f aca="false">HYPERLINK("https://mncourtfraud.com/file/MCRO_27-CR-19-5875_Order-Evaluation for Competency to Proceed (Rule 20.01)_2022-11-30_20251126175616.pdf.ots","MCRO_27-CR-19-5875_Order-Evaluation for Competency to Proceed (Rule 20.01)_2022-11-30_20251126175616.pdf.ots")</f>
        <v>MCRO_27-CR-19-5875_Order-Evaluation for Competency to Proceed (Rule 20.01)_2022-11-30_20251126175616.pdf.ots</v>
      </c>
      <c r="J43" s="7" t="str">
        <f aca="false">HYPERLINK("https://mncourtfraud.com/file/MCRO_27-CR-19-5875_Order-Evaluation for Competency to Proceed (Rule 20.01)_2022-11-30_20251126175616_META.txt","MCRO_27-CR-19-5875_Order-Evaluation for Competency to Proceed (Rule 20.01)_2022-11-30_20251126175616_META.txt")</f>
        <v>MCRO_27-CR-19-5875_Order-Evaluation for Competency to Proceed (Rule 20.01)_2022-11-30_20251126175616_META.txt</v>
      </c>
      <c r="K43" s="7" t="str">
        <f aca="false">HYPERLINK("https://mncourtfraud.com/file/MCRO_27-CR-19-5875_Order-Evaluation for Competency to Proceed (Rule 20.01)_2022-11-30_20251126175616_PDFSIGS.txt","MCRO_27-CR-19-5875_Order-Evaluation for Competency to Proceed (Rule 20.01)_2022-11-30_20251126175616_PDFSIGS.txt")</f>
        <v>MCRO_27-CR-19-5875_Order-Evaluation for Competency to Proceed (Rule 20.01)_2022-11-30_20251126175616_PDFSIGS.txt</v>
      </c>
      <c r="L43" s="7" t="str">
        <f aca="false">HYPERLINK("https://mncourtfraud.com/file/MCRO_27-CR-19-5875_Order-Evaluation_for_Competency_to_Proceed_(Rule_20.01)_2022-11-30_20251126175616.zip","MCRO_27-CR-19-5875_Order-Evaluation_for_Competency_to_Proceed_(Rule_20.01)_2022-11-30_20251126175616.zip")</f>
        <v>MCRO_27-CR-19-5875_Order-Evaluation_for_Competency_to_Proceed_(Rule_20.01)_2022-11-30_20251126175616.zip</v>
      </c>
    </row>
    <row r="44" customFormat="false" ht="18.7" hidden="false" customHeight="true" outlineLevel="0" collapsed="false">
      <c r="A44" s="1" t="n">
        <v>43</v>
      </c>
      <c r="B44" s="7" t="str">
        <f aca="false">HYPERLINK("https://mncourtfraud.com/file/27-CR-20-14626.pdf","27-CR-20-14626")</f>
        <v>27-CR-20-14626</v>
      </c>
      <c r="C44" s="1" t="n">
        <v>1</v>
      </c>
      <c r="D44" s="2" t="s">
        <v>12</v>
      </c>
      <c r="E44" s="8" t="n">
        <v>44103</v>
      </c>
      <c r="F44" s="2" t="s">
        <v>19</v>
      </c>
      <c r="G44" s="7" t="str">
        <f aca="false">HYPERLINK("https://mncourtfraud.com/file/MCRO_27-CR-20-14626_Findings and Order_2020-09-29_20251126175748.pdf","MCRO_27-CR-20-14626_Findings and Order_2020-09-29_20251126175748.pdf")</f>
        <v>MCRO_27-CR-20-14626_Findings and Order_2020-09-29_20251126175748.pdf</v>
      </c>
      <c r="H44" s="2" t="s">
        <v>60</v>
      </c>
      <c r="I44" s="7" t="str">
        <f aca="false">HYPERLINK("https://mncourtfraud.com/file/MCRO_27-CR-20-14626_Findings and Order_2020-09-29_20251126175748.pdf.ots","MCRO_27-CR-20-14626_Findings and Order_2020-09-29_20251126175748.pdf.ots")</f>
        <v>MCRO_27-CR-20-14626_Findings and Order_2020-09-29_20251126175748.pdf.ots</v>
      </c>
      <c r="J44" s="7" t="str">
        <f aca="false">HYPERLINK("https://mncourtfraud.com/file/MCRO_27-CR-20-14626_Findings and Order_2020-09-29_20251126175748_META.txt","MCRO_27-CR-20-14626_Findings and Order_2020-09-29_20251126175748_META.txt")</f>
        <v>MCRO_27-CR-20-14626_Findings and Order_2020-09-29_20251126175748_META.txt</v>
      </c>
      <c r="K44" s="7" t="str">
        <f aca="false">HYPERLINK("https://mncourtfraud.com/file/MCRO_27-CR-20-14626_Findings and Order_2020-09-29_20251126175748_PDFSIGS.txt","MCRO_27-CR-20-14626_Findings and Order_2020-09-29_20251126175748_PDFSIGS.txt")</f>
        <v>MCRO_27-CR-20-14626_Findings and Order_2020-09-29_20251126175748_PDFSIGS.txt</v>
      </c>
      <c r="L44" s="7" t="str">
        <f aca="false">HYPERLINK("https://mncourtfraud.com/file/MCRO_27-CR-20-14626_Findings_and_Order_2020-09-29_20251126175748.zip","MCRO_27-CR-20-14626_Findings_and_Order_2020-09-29_20251126175748.zip")</f>
        <v>MCRO_27-CR-20-14626_Findings_and_Order_2020-09-29_20251126175748.zip</v>
      </c>
    </row>
    <row r="45" customFormat="false" ht="18.7" hidden="false" customHeight="true" outlineLevel="0" collapsed="false">
      <c r="A45" s="1" t="n">
        <v>44</v>
      </c>
      <c r="B45" s="7" t="str">
        <f aca="false">HYPERLINK("https://mncourtfraud.com/file/27-CR-20-14626.pdf","27-CR-20-14626")</f>
        <v>27-CR-20-14626</v>
      </c>
      <c r="C45" s="1" t="n">
        <v>1</v>
      </c>
      <c r="D45" s="2" t="s">
        <v>12</v>
      </c>
      <c r="E45" s="8" t="n">
        <v>44225</v>
      </c>
      <c r="F45" s="2" t="s">
        <v>15</v>
      </c>
      <c r="G45" s="7" t="str">
        <f aca="false">HYPERLINK("https://mncourtfraud.com/file/MCRO_27-CR-20-14626_Order-Evaluation for Competency to Proceed (Rule 20.01)_2021-01-29_20251126175944.pdf","MCRO_27-CR-20-14626_Order-Evaluation for Competency to Proceed (Rule 20.01)_2021-01-29_20251126175944.pdf")</f>
        <v>MCRO_27-CR-20-14626_Order-Evaluation for Competency to Proceed (Rule 20.01)_2021-01-29_20251126175944.pdf</v>
      </c>
      <c r="H45" s="2" t="s">
        <v>61</v>
      </c>
      <c r="I45" s="7" t="str">
        <f aca="false">HYPERLINK("https://mncourtfraud.com/file/MCRO_27-CR-20-14626_Order-Evaluation for Competency to Proceed (Rule 20.01)_2021-01-29_20251126175944.pdf.ots","MCRO_27-CR-20-14626_Order-Evaluation for Competency to Proceed (Rule 20.01)_2021-01-29_20251126175944.pdf.ots")</f>
        <v>MCRO_27-CR-20-14626_Order-Evaluation for Competency to Proceed (Rule 20.01)_2021-01-29_20251126175944.pdf.ots</v>
      </c>
      <c r="J45" s="7" t="str">
        <f aca="false">HYPERLINK("https://mncourtfraud.com/file/MCRO_27-CR-20-14626_Order-Evaluation for Competency to Proceed (Rule 20.01)_2021-01-29_20251126175944_META.txt","MCRO_27-CR-20-14626_Order-Evaluation for Competency to Proceed (Rule 20.01)_2021-01-29_20251126175944_META.txt")</f>
        <v>MCRO_27-CR-20-14626_Order-Evaluation for Competency to Proceed (Rule 20.01)_2021-01-29_20251126175944_META.txt</v>
      </c>
      <c r="K45" s="7" t="str">
        <f aca="false">HYPERLINK("https://mncourtfraud.com/file/MCRO_27-CR-20-14626_Order-Evaluation for Competency to Proceed (Rule 20.01)_2021-01-29_20251126175944_PDFSIGS.txt","MCRO_27-CR-20-14626_Order-Evaluation for Competency to Proceed (Rule 20.01)_2021-01-29_20251126175944_PDFSIGS.txt")</f>
        <v>MCRO_27-CR-20-14626_Order-Evaluation for Competency to Proceed (Rule 20.01)_2021-01-29_20251126175944_PDFSIGS.txt</v>
      </c>
      <c r="L45" s="7" t="str">
        <f aca="false">HYPERLINK("https://mncourtfraud.com/file/MCRO_27-CR-20-14626_Order-Evaluation_for_Competency_to_Proceed_(Rule_20.01)_2021-01-29_20251126175944.zip","MCRO_27-CR-20-14626_Order-Evaluation_for_Competency_to_Proceed_(Rule_20.01)_2021-01-29_20251126175944.zip")</f>
        <v>MCRO_27-CR-20-14626_Order-Evaluation_for_Competency_to_Proceed_(Rule_20.01)_2021-01-29_20251126175944.zip</v>
      </c>
    </row>
    <row r="46" customFormat="false" ht="18.7" hidden="false" customHeight="true" outlineLevel="0" collapsed="false">
      <c r="A46" s="1" t="n">
        <v>45</v>
      </c>
      <c r="B46" s="7" t="str">
        <f aca="false">HYPERLINK("https://mncourtfraud.com/file/27-CR-20-14626.pdf","27-CR-20-14626")</f>
        <v>27-CR-20-14626</v>
      </c>
      <c r="C46" s="1" t="n">
        <v>1</v>
      </c>
      <c r="D46" s="2" t="s">
        <v>12</v>
      </c>
      <c r="E46" s="8" t="n">
        <v>44396</v>
      </c>
      <c r="F46" s="2" t="s">
        <v>15</v>
      </c>
      <c r="G46" s="7" t="str">
        <f aca="false">HYPERLINK("https://mncourtfraud.com/file/MCRO_27-CR-20-14626_Order-Evaluation for Competency to Proceed (Rule 20.01)_2021-07-19_20251126175844.pdf","MCRO_27-CR-20-14626_Order-Evaluation for Competency to Proceed (Rule 20.01)_2021-07-19_20251126175844.pdf")</f>
        <v>MCRO_27-CR-20-14626_Order-Evaluation for Competency to Proceed (Rule 20.01)_2021-07-19_20251126175844.pdf</v>
      </c>
      <c r="H46" s="2" t="s">
        <v>62</v>
      </c>
      <c r="I46" s="7" t="str">
        <f aca="false">HYPERLINK("https://mncourtfraud.com/file/MCRO_27-CR-20-14626_Order-Evaluation for Competency to Proceed (Rule 20.01)_2021-07-19_20251126175844.pdf.ots","MCRO_27-CR-20-14626_Order-Evaluation for Competency to Proceed (Rule 20.01)_2021-07-19_20251126175844.pdf.ots")</f>
        <v>MCRO_27-CR-20-14626_Order-Evaluation for Competency to Proceed (Rule 20.01)_2021-07-19_20251126175844.pdf.ots</v>
      </c>
      <c r="J46" s="7" t="str">
        <f aca="false">HYPERLINK("https://mncourtfraud.com/file/MCRO_27-CR-20-14626_Order-Evaluation for Competency to Proceed (Rule 20.01)_2021-07-19_20251126175844_META.txt","MCRO_27-CR-20-14626_Order-Evaluation for Competency to Proceed (Rule 20.01)_2021-07-19_20251126175844_META.txt")</f>
        <v>MCRO_27-CR-20-14626_Order-Evaluation for Competency to Proceed (Rule 20.01)_2021-07-19_20251126175844_META.txt</v>
      </c>
      <c r="K46" s="7" t="str">
        <f aca="false">HYPERLINK("https://mncourtfraud.com/file/MCRO_27-CR-20-14626_Order-Evaluation for Competency to Proceed (Rule 20.01)_2021-07-19_20251126175844_PDFSIGS.txt","MCRO_27-CR-20-14626_Order-Evaluation for Competency to Proceed (Rule 20.01)_2021-07-19_20251126175844_PDFSIGS.txt")</f>
        <v>MCRO_27-CR-20-14626_Order-Evaluation for Competency to Proceed (Rule 20.01)_2021-07-19_20251126175844_PDFSIGS.txt</v>
      </c>
      <c r="L46" s="7" t="str">
        <f aca="false">HYPERLINK("https://mncourtfraud.com/file/MCRO_27-CR-20-14626_Order-Evaluation_for_Competency_to_Proceed_(Rule_20.01)_2021-07-19_20251126175844.zip","MCRO_27-CR-20-14626_Order-Evaluation_for_Competency_to_Proceed_(Rule_20.01)_2021-07-19_20251126175844.zip")</f>
        <v>MCRO_27-CR-20-14626_Order-Evaluation_for_Competency_to_Proceed_(Rule_20.01)_2021-07-19_20251126175844.zip</v>
      </c>
    </row>
    <row r="47" customFormat="false" ht="18.7" hidden="false" customHeight="true" outlineLevel="0" collapsed="false">
      <c r="A47" s="1" t="n">
        <v>46</v>
      </c>
      <c r="B47" s="7" t="str">
        <f aca="false">HYPERLINK("https://mncourtfraud.com/file/27-CR-20-14626.pdf","27-CR-20-14626")</f>
        <v>27-CR-20-14626</v>
      </c>
      <c r="C47" s="1" t="n">
        <v>1</v>
      </c>
      <c r="D47" s="2" t="s">
        <v>12</v>
      </c>
      <c r="E47" s="8" t="n">
        <v>44439</v>
      </c>
      <c r="F47" s="2" t="s">
        <v>19</v>
      </c>
      <c r="G47" s="7" t="str">
        <f aca="false">HYPERLINK("https://mncourtfraud.com/file/MCRO_27-CR-20-14626_Findings and Order_2021-08-31_20251126175800.pdf","MCRO_27-CR-20-14626_Findings and Order_2021-08-31_20251126175800.pdf")</f>
        <v>MCRO_27-CR-20-14626_Findings and Order_2021-08-31_20251126175800.pdf</v>
      </c>
      <c r="H47" s="2" t="s">
        <v>63</v>
      </c>
      <c r="I47" s="7" t="str">
        <f aca="false">HYPERLINK("https://mncourtfraud.com/file/MCRO_27-CR-20-14626_Findings and Order_2021-08-31_20251126175800.pdf.ots","MCRO_27-CR-20-14626_Findings and Order_2021-08-31_20251126175800.pdf.ots")</f>
        <v>MCRO_27-CR-20-14626_Findings and Order_2021-08-31_20251126175800.pdf.ots</v>
      </c>
      <c r="J47" s="7" t="str">
        <f aca="false">HYPERLINK("https://mncourtfraud.com/file/MCRO_27-CR-20-14626_Findings and Order_2021-08-31_20251126175800_META.txt","MCRO_27-CR-20-14626_Findings and Order_2021-08-31_20251126175800_META.txt")</f>
        <v>MCRO_27-CR-20-14626_Findings and Order_2021-08-31_20251126175800_META.txt</v>
      </c>
      <c r="K47" s="7" t="str">
        <f aca="false">HYPERLINK("https://mncourtfraud.com/file/MCRO_27-CR-20-14626_Findings and Order_2021-08-31_20251126175800_PDFSIGS.txt","MCRO_27-CR-20-14626_Findings and Order_2021-08-31_20251126175800_PDFSIGS.txt")</f>
        <v>MCRO_27-CR-20-14626_Findings and Order_2021-08-31_20251126175800_PDFSIGS.txt</v>
      </c>
      <c r="L47" s="7" t="str">
        <f aca="false">HYPERLINK("https://mncourtfraud.com/file/MCRO_27-CR-20-14626_Findings_and_Order_2021-08-31_20251126175800.zip","MCRO_27-CR-20-14626_Findings_and_Order_2021-08-31_20251126175800.zip")</f>
        <v>MCRO_27-CR-20-14626_Findings_and_Order_2021-08-31_20251126175800.zip</v>
      </c>
    </row>
    <row r="48" customFormat="false" ht="18.7" hidden="false" customHeight="true" outlineLevel="0" collapsed="false">
      <c r="A48" s="1" t="n">
        <v>47</v>
      </c>
      <c r="B48" s="7" t="str">
        <f aca="false">HYPERLINK("https://mncourtfraud.com/file/27-CR-20-14626.pdf","27-CR-20-14626")</f>
        <v>27-CR-20-14626</v>
      </c>
      <c r="C48" s="1" t="n">
        <v>1</v>
      </c>
      <c r="D48" s="2" t="s">
        <v>12</v>
      </c>
      <c r="E48" s="8" t="n">
        <v>44460</v>
      </c>
      <c r="F48" s="2" t="s">
        <v>24</v>
      </c>
      <c r="G48" s="7" t="str">
        <f aca="false">HYPERLINK("https://mncourtfraud.com/file/MCRO_27-CR-20-14626_Order for Conditional Release_2021-09-21_20251126175819.pdf","MCRO_27-CR-20-14626_Order for Conditional Release_2021-09-21_20251126175819.pdf")</f>
        <v>MCRO_27-CR-20-14626_Order for Conditional Release_2021-09-21_20251126175819.pdf</v>
      </c>
      <c r="H48" s="2" t="s">
        <v>64</v>
      </c>
      <c r="I48" s="7" t="str">
        <f aca="false">HYPERLINK("https://mncourtfraud.com/file/MCRO_27-CR-20-14626_Order for Conditional Release_2021-09-21_20251126175819.pdf.ots","MCRO_27-CR-20-14626_Order for Conditional Release_2021-09-21_20251126175819.pdf.ots")</f>
        <v>MCRO_27-CR-20-14626_Order for Conditional Release_2021-09-21_20251126175819.pdf.ots</v>
      </c>
      <c r="J48" s="7" t="str">
        <f aca="false">HYPERLINK("https://mncourtfraud.com/file/MCRO_27-CR-20-14626_Order for Conditional Release_2021-09-21_20251126175819_META.txt","MCRO_27-CR-20-14626_Order for Conditional Release_2021-09-21_20251126175819_META.txt")</f>
        <v>MCRO_27-CR-20-14626_Order for Conditional Release_2021-09-21_20251126175819_META.txt</v>
      </c>
      <c r="K48" s="7" t="str">
        <f aca="false">HYPERLINK("https://mncourtfraud.com/file/MCRO_27-CR-20-14626_Order for Conditional Release_2021-09-21_20251126175819_PDFSIGS.txt","MCRO_27-CR-20-14626_Order for Conditional Release_2021-09-21_20251126175819_PDFSIGS.txt")</f>
        <v>MCRO_27-CR-20-14626_Order for Conditional Release_2021-09-21_20251126175819_PDFSIGS.txt</v>
      </c>
      <c r="L48" s="7" t="str">
        <f aca="false">HYPERLINK("https://mncourtfraud.com/file/MCRO_27-CR-20-14626_Order_for_Conditional_Release_2021-09-21_20251126175819.zip","MCRO_27-CR-20-14626_Order_for_Conditional_Release_2021-09-21_20251126175819.zip")</f>
        <v>MCRO_27-CR-20-14626_Order_for_Conditional_Release_2021-09-21_20251126175819.zip</v>
      </c>
    </row>
    <row r="49" customFormat="false" ht="18.7" hidden="false" customHeight="true" outlineLevel="0" collapsed="false">
      <c r="A49" s="1" t="n">
        <v>48</v>
      </c>
      <c r="B49" s="7" t="str">
        <f aca="false">HYPERLINK("https://mncourtfraud.com/file/27-CR-20-14626.pdf","27-CR-20-14626")</f>
        <v>27-CR-20-14626</v>
      </c>
      <c r="C49" s="1" t="n">
        <v>1</v>
      </c>
      <c r="D49" s="2" t="s">
        <v>12</v>
      </c>
      <c r="E49" s="8" t="n">
        <v>44468</v>
      </c>
      <c r="F49" s="2" t="s">
        <v>24</v>
      </c>
      <c r="G49" s="7" t="str">
        <f aca="false">HYPERLINK("https://mncourtfraud.com/file/MCRO_27-CR-20-14626_Order for Conditional Release_2021-09-29_20251126175828.pdf","MCRO_27-CR-20-14626_Order for Conditional Release_2021-09-29_20251126175828.pdf")</f>
        <v>MCRO_27-CR-20-14626_Order for Conditional Release_2021-09-29_20251126175828.pdf</v>
      </c>
      <c r="H49" s="2" t="s">
        <v>65</v>
      </c>
      <c r="I49" s="7" t="str">
        <f aca="false">HYPERLINK("https://mncourtfraud.com/file/MCRO_27-CR-20-14626_Order for Conditional Release_2021-09-29_20251126175828.pdf.ots","MCRO_27-CR-20-14626_Order for Conditional Release_2021-09-29_20251126175828.pdf.ots")</f>
        <v>MCRO_27-CR-20-14626_Order for Conditional Release_2021-09-29_20251126175828.pdf.ots</v>
      </c>
      <c r="J49" s="7" t="str">
        <f aca="false">HYPERLINK("https://mncourtfraud.com/file/MCRO_27-CR-20-14626_Order for Conditional Release_2021-09-29_20251126175828_META.txt","MCRO_27-CR-20-14626_Order for Conditional Release_2021-09-29_20251126175828_META.txt")</f>
        <v>MCRO_27-CR-20-14626_Order for Conditional Release_2021-09-29_20251126175828_META.txt</v>
      </c>
      <c r="K49" s="7" t="str">
        <f aca="false">HYPERLINK("https://mncourtfraud.com/file/MCRO_27-CR-20-14626_Order for Conditional Release_2021-09-29_20251126175828_PDFSIGS.txt","MCRO_27-CR-20-14626_Order for Conditional Release_2021-09-29_20251126175828_PDFSIGS.txt")</f>
        <v>MCRO_27-CR-20-14626_Order for Conditional Release_2021-09-29_20251126175828_PDFSIGS.txt</v>
      </c>
      <c r="L49" s="7" t="str">
        <f aca="false">HYPERLINK("https://mncourtfraud.com/file/MCRO_27-CR-20-14626_Order_for_Conditional_Release_2021-09-29_20251126175828.zip","MCRO_27-CR-20-14626_Order_for_Conditional_Release_2021-09-29_20251126175828.zip")</f>
        <v>MCRO_27-CR-20-14626_Order_for_Conditional_Release_2021-09-29_20251126175828.zip</v>
      </c>
    </row>
    <row r="50" customFormat="false" ht="18.7" hidden="false" customHeight="true" outlineLevel="0" collapsed="false">
      <c r="A50" s="1" t="n">
        <v>49</v>
      </c>
      <c r="B50" s="7" t="str">
        <f aca="false">HYPERLINK("https://mncourtfraud.com/file/27-CR-20-14626.pdf","27-CR-20-14626")</f>
        <v>27-CR-20-14626</v>
      </c>
      <c r="C50" s="1" t="n">
        <v>1</v>
      </c>
      <c r="D50" s="2" t="s">
        <v>12</v>
      </c>
      <c r="E50" s="8" t="n">
        <v>44543</v>
      </c>
      <c r="F50" s="2" t="s">
        <v>15</v>
      </c>
      <c r="G50" s="7" t="str">
        <f aca="false">HYPERLINK("https://mncourtfraud.com/file/MCRO_27-CR-20-14626_Order-Evaluation for Competency to Proceed (Rule 20.01)_2021-12-13_20251126175855.pdf","MCRO_27-CR-20-14626_Order-Evaluation for Competency to Proceed (Rule 20.01)_2021-12-13_20251126175855.pdf")</f>
        <v>MCRO_27-CR-20-14626_Order-Evaluation for Competency to Proceed (Rule 20.01)_2021-12-13_20251126175855.pdf</v>
      </c>
      <c r="H50" s="2" t="s">
        <v>66</v>
      </c>
      <c r="I50" s="7" t="str">
        <f aca="false">HYPERLINK("https://mncourtfraud.com/file/MCRO_27-CR-20-14626_Order-Evaluation for Competency to Proceed (Rule 20.01)_2021-12-13_20251126175855.pdf.ots","MCRO_27-CR-20-14626_Order-Evaluation for Competency to Proceed (Rule 20.01)_2021-12-13_20251126175855.pdf.ots")</f>
        <v>MCRO_27-CR-20-14626_Order-Evaluation for Competency to Proceed (Rule 20.01)_2021-12-13_20251126175855.pdf.ots</v>
      </c>
      <c r="J50" s="7" t="str">
        <f aca="false">HYPERLINK("https://mncourtfraud.com/file/MCRO_27-CR-20-14626_Order-Evaluation for Competency to Proceed (Rule 20.01)_2021-12-13_20251126175855_META.txt","MCRO_27-CR-20-14626_Order-Evaluation for Competency to Proceed (Rule 20.01)_2021-12-13_20251126175855_META.txt")</f>
        <v>MCRO_27-CR-20-14626_Order-Evaluation for Competency to Proceed (Rule 20.01)_2021-12-13_20251126175855_META.txt</v>
      </c>
      <c r="K50" s="7" t="str">
        <f aca="false">HYPERLINK("https://mncourtfraud.com/file/MCRO_27-CR-20-14626_Order-Evaluation for Competency to Proceed (Rule 20.01)_2021-12-13_20251126175855_PDFSIGS.txt","MCRO_27-CR-20-14626_Order-Evaluation for Competency to Proceed (Rule 20.01)_2021-12-13_20251126175855_PDFSIGS.txt")</f>
        <v>MCRO_27-CR-20-14626_Order-Evaluation for Competency to Proceed (Rule 20.01)_2021-12-13_20251126175855_PDFSIGS.txt</v>
      </c>
      <c r="L50" s="7" t="str">
        <f aca="false">HYPERLINK("https://mncourtfraud.com/file/MCRO_27-CR-20-14626_Order-Evaluation_for_Competency_to_Proceed_(Rule_20.01)_2021-12-13_20251126175855.zip","MCRO_27-CR-20-14626_Order-Evaluation_for_Competency_to_Proceed_(Rule_20.01)_2021-12-13_20251126175855.zip")</f>
        <v>MCRO_27-CR-20-14626_Order-Evaluation_for_Competency_to_Proceed_(Rule_20.01)_2021-12-13_20251126175855.zip</v>
      </c>
    </row>
    <row r="51" customFormat="false" ht="18.7" hidden="false" customHeight="true" outlineLevel="0" collapsed="false">
      <c r="A51" s="1" t="n">
        <v>50</v>
      </c>
      <c r="B51" s="7" t="str">
        <f aca="false">HYPERLINK("https://mncourtfraud.com/file/27-CR-20-14626.pdf","27-CR-20-14626")</f>
        <v>27-CR-20-14626</v>
      </c>
      <c r="C51" s="1" t="n">
        <v>1</v>
      </c>
      <c r="D51" s="2" t="s">
        <v>12</v>
      </c>
      <c r="E51" s="8" t="n">
        <v>44558</v>
      </c>
      <c r="F51" s="2" t="s">
        <v>15</v>
      </c>
      <c r="G51" s="7" t="str">
        <f aca="false">HYPERLINK("https://mncourtfraud.com/file/MCRO_27-CR-20-14626_Order-Evaluation for Competency to Proceed (Rule 20.01)_2021-12-28_20251126175907.pdf","MCRO_27-CR-20-14626_Order-Evaluation for Competency to Proceed (Rule 20.01)_2021-12-28_20251126175907.pdf")</f>
        <v>MCRO_27-CR-20-14626_Order-Evaluation for Competency to Proceed (Rule 20.01)_2021-12-28_20251126175907.pdf</v>
      </c>
      <c r="H51" s="2" t="s">
        <v>67</v>
      </c>
      <c r="I51" s="7" t="str">
        <f aca="false">HYPERLINK("https://mncourtfraud.com/file/MCRO_27-CR-20-14626_Order-Evaluation for Competency to Proceed (Rule 20.01)_2021-12-28_20251126175907.pdf.ots","MCRO_27-CR-20-14626_Order-Evaluation for Competency to Proceed (Rule 20.01)_2021-12-28_20251126175907.pdf.ots")</f>
        <v>MCRO_27-CR-20-14626_Order-Evaluation for Competency to Proceed (Rule 20.01)_2021-12-28_20251126175907.pdf.ots</v>
      </c>
      <c r="J51" s="7" t="str">
        <f aca="false">HYPERLINK("https://mncourtfraud.com/file/MCRO_27-CR-20-14626_Order-Evaluation for Competency to Proceed (Rule 20.01)_2021-12-28_20251126175907_META.txt","MCRO_27-CR-20-14626_Order-Evaluation for Competency to Proceed (Rule 20.01)_2021-12-28_20251126175907_META.txt")</f>
        <v>MCRO_27-CR-20-14626_Order-Evaluation for Competency to Proceed (Rule 20.01)_2021-12-28_20251126175907_META.txt</v>
      </c>
      <c r="K51" s="7" t="str">
        <f aca="false">HYPERLINK("https://mncourtfraud.com/file/MCRO_27-CR-20-14626_Order-Evaluation for Competency to Proceed (Rule 20.01)_2021-12-28_20251126175907_PDFSIGS.txt","MCRO_27-CR-20-14626_Order-Evaluation for Competency to Proceed (Rule 20.01)_2021-12-28_20251126175907_PDFSIGS.txt")</f>
        <v>MCRO_27-CR-20-14626_Order-Evaluation for Competency to Proceed (Rule 20.01)_2021-12-28_20251126175907_PDFSIGS.txt</v>
      </c>
      <c r="L51" s="7" t="str">
        <f aca="false">HYPERLINK("https://mncourtfraud.com/file/MCRO_27-CR-20-14626_Order-Evaluation_for_Competency_to_Proceed_(Rule_20.01)_2021-12-28_20251126175907.zip","MCRO_27-CR-20-14626_Order-Evaluation_for_Competency_to_Proceed_(Rule_20.01)_2021-12-28_20251126175907.zip")</f>
        <v>MCRO_27-CR-20-14626_Order-Evaluation_for_Competency_to_Proceed_(Rule_20.01)_2021-12-28_20251126175907.zip</v>
      </c>
    </row>
    <row r="52" customFormat="false" ht="18.7" hidden="false" customHeight="true" outlineLevel="0" collapsed="false">
      <c r="A52" s="1" t="n">
        <v>51</v>
      </c>
      <c r="B52" s="7" t="str">
        <f aca="false">HYPERLINK("https://mncourtfraud.com/file/27-CR-20-14626.pdf","27-CR-20-14626")</f>
        <v>27-CR-20-14626</v>
      </c>
      <c r="C52" s="1" t="n">
        <v>1</v>
      </c>
      <c r="D52" s="2" t="s">
        <v>12</v>
      </c>
      <c r="E52" s="8" t="n">
        <v>44593</v>
      </c>
      <c r="F52" s="2" t="s">
        <v>19</v>
      </c>
      <c r="G52" s="7" t="str">
        <f aca="false">HYPERLINK("https://mncourtfraud.com/file/MCRO_27-CR-20-14626_Findings and Order_2022-02-01_20251126175736.pdf","MCRO_27-CR-20-14626_Findings and Order_2022-02-01_20251126175736.pdf")</f>
        <v>MCRO_27-CR-20-14626_Findings and Order_2022-02-01_20251126175736.pdf</v>
      </c>
      <c r="H52" s="2" t="s">
        <v>68</v>
      </c>
      <c r="I52" s="7" t="str">
        <f aca="false">HYPERLINK("https://mncourtfraud.com/file/MCRO_27-CR-20-14626_Findings and Order_2022-02-01_20251126175736.pdf.ots","MCRO_27-CR-20-14626_Findings and Order_2022-02-01_20251126175736.pdf.ots")</f>
        <v>MCRO_27-CR-20-14626_Findings and Order_2022-02-01_20251126175736.pdf.ots</v>
      </c>
      <c r="J52" s="7" t="str">
        <f aca="false">HYPERLINK("https://mncourtfraud.com/file/MCRO_27-CR-20-14626_Findings and Order_2022-02-01_20251126175736_META.txt","MCRO_27-CR-20-14626_Findings and Order_2022-02-01_20251126175736_META.txt")</f>
        <v>MCRO_27-CR-20-14626_Findings and Order_2022-02-01_20251126175736_META.txt</v>
      </c>
      <c r="K52" s="7" t="str">
        <f aca="false">HYPERLINK("https://mncourtfraud.com/file/MCRO_27-CR-20-14626_Findings and Order_2022-02-01_20251126175736_PDFSIGS.txt","MCRO_27-CR-20-14626_Findings and Order_2022-02-01_20251126175736_PDFSIGS.txt")</f>
        <v>MCRO_27-CR-20-14626_Findings and Order_2022-02-01_20251126175736_PDFSIGS.txt</v>
      </c>
      <c r="L52" s="7" t="str">
        <f aca="false">HYPERLINK("https://mncourtfraud.com/file/MCRO_27-CR-20-14626_Findings_and_Order_2022-02-01_20251126175736.zip","MCRO_27-CR-20-14626_Findings_and_Order_2022-02-01_20251126175736.zip")</f>
        <v>MCRO_27-CR-20-14626_Findings_and_Order_2022-02-01_20251126175736.zip</v>
      </c>
    </row>
    <row r="53" customFormat="false" ht="18.7" hidden="false" customHeight="true" outlineLevel="0" collapsed="false">
      <c r="A53" s="1" t="n">
        <v>52</v>
      </c>
      <c r="B53" s="7" t="str">
        <f aca="false">HYPERLINK("https://mncourtfraud.com/file/27-CR-20-14626.pdf","27-CR-20-14626")</f>
        <v>27-CR-20-14626</v>
      </c>
      <c r="C53" s="1" t="n">
        <v>1</v>
      </c>
      <c r="D53" s="2" t="s">
        <v>12</v>
      </c>
      <c r="E53" s="8" t="n">
        <v>44692</v>
      </c>
      <c r="F53" s="2" t="s">
        <v>15</v>
      </c>
      <c r="G53" s="7" t="str">
        <f aca="false">HYPERLINK("https://mncourtfraud.com/file/MCRO_27-CR-20-14626_Order-Evaluation for Competency to Proceed (Rule 20.01)_2022-05-11_20251126175918.pdf","MCRO_27-CR-20-14626_Order-Evaluation for Competency to Proceed (Rule 20.01)_2022-05-11_20251126175918.pdf")</f>
        <v>MCRO_27-CR-20-14626_Order-Evaluation for Competency to Proceed (Rule 20.01)_2022-05-11_20251126175918.pdf</v>
      </c>
      <c r="H53" s="2" t="s">
        <v>69</v>
      </c>
      <c r="I53" s="7" t="str">
        <f aca="false">HYPERLINK("https://mncourtfraud.com/file/MCRO_27-CR-20-14626_Order-Evaluation for Competency to Proceed (Rule 20.01)_2022-05-11_20251126175918.pdf.ots","MCRO_27-CR-20-14626_Order-Evaluation for Competency to Proceed (Rule 20.01)_2022-05-11_20251126175918.pdf.ots")</f>
        <v>MCRO_27-CR-20-14626_Order-Evaluation for Competency to Proceed (Rule 20.01)_2022-05-11_20251126175918.pdf.ots</v>
      </c>
      <c r="J53" s="7" t="str">
        <f aca="false">HYPERLINK("https://mncourtfraud.com/file/MCRO_27-CR-20-14626_Order-Evaluation for Competency to Proceed (Rule 20.01)_2022-05-11_20251126175918_META.txt","MCRO_27-CR-20-14626_Order-Evaluation for Competency to Proceed (Rule 20.01)_2022-05-11_20251126175918_META.txt")</f>
        <v>MCRO_27-CR-20-14626_Order-Evaluation for Competency to Proceed (Rule 20.01)_2022-05-11_20251126175918_META.txt</v>
      </c>
      <c r="K53" s="7" t="str">
        <f aca="false">HYPERLINK("https://mncourtfraud.com/file/MCRO_27-CR-20-14626_Order-Evaluation for Competency to Proceed (Rule 20.01)_2022-05-11_20251126175918_PDFSIGS.txt","MCRO_27-CR-20-14626_Order-Evaluation for Competency to Proceed (Rule 20.01)_2022-05-11_20251126175918_PDFSIGS.txt")</f>
        <v>MCRO_27-CR-20-14626_Order-Evaluation for Competency to Proceed (Rule 20.01)_2022-05-11_20251126175918_PDFSIGS.txt</v>
      </c>
      <c r="L53" s="7" t="str">
        <f aca="false">HYPERLINK("https://mncourtfraud.com/file/MCRO_27-CR-20-14626_Order-Evaluation_for_Competency_to_Proceed_(Rule_20.01)_2022-05-11_20251126175918.zip","MCRO_27-CR-20-14626_Order-Evaluation_for_Competency_to_Proceed_(Rule_20.01)_2022-05-11_20251126175918.zip")</f>
        <v>MCRO_27-CR-20-14626_Order-Evaluation_for_Competency_to_Proceed_(Rule_20.01)_2022-05-11_20251126175918.zip</v>
      </c>
    </row>
    <row r="54" customFormat="false" ht="18.7" hidden="false" customHeight="true" outlineLevel="0" collapsed="false">
      <c r="A54" s="1" t="n">
        <v>53</v>
      </c>
      <c r="B54" s="7" t="str">
        <f aca="false">HYPERLINK("https://mncourtfraud.com/file/27-CR-20-14626.pdf","27-CR-20-14626")</f>
        <v>27-CR-20-14626</v>
      </c>
      <c r="C54" s="1" t="n">
        <v>1</v>
      </c>
      <c r="D54" s="2" t="s">
        <v>12</v>
      </c>
      <c r="E54" s="8" t="n">
        <v>44895</v>
      </c>
      <c r="F54" s="2" t="s">
        <v>15</v>
      </c>
      <c r="G54" s="7" t="str">
        <f aca="false">HYPERLINK("https://mncourtfraud.com/file/MCRO_27-CR-20-14626_Order-Evaluation for Competency to Proceed (Rule 20.01)_2022-11-30_20251126175928.pdf","MCRO_27-CR-20-14626_Order-Evaluation for Competency to Proceed (Rule 20.01)_2022-11-30_20251126175928.pdf")</f>
        <v>MCRO_27-CR-20-14626_Order-Evaluation for Competency to Proceed (Rule 20.01)_2022-11-30_20251126175928.pdf</v>
      </c>
      <c r="H54" s="2" t="s">
        <v>70</v>
      </c>
      <c r="I54" s="7" t="str">
        <f aca="false">HYPERLINK("https://mncourtfraud.com/file/MCRO_27-CR-20-14626_Order-Evaluation for Competency to Proceed (Rule 20.01)_2022-11-30_20251126175928.pdf.ots","MCRO_27-CR-20-14626_Order-Evaluation for Competency to Proceed (Rule 20.01)_2022-11-30_20251126175928.pdf.ots")</f>
        <v>MCRO_27-CR-20-14626_Order-Evaluation for Competency to Proceed (Rule 20.01)_2022-11-30_20251126175928.pdf.ots</v>
      </c>
      <c r="J54" s="7" t="str">
        <f aca="false">HYPERLINK("https://mncourtfraud.com/file/MCRO_27-CR-20-14626_Order-Evaluation for Competency to Proceed (Rule 20.01)_2022-11-30_20251126175928_META.txt","MCRO_27-CR-20-14626_Order-Evaluation for Competency to Proceed (Rule 20.01)_2022-11-30_20251126175928_META.txt")</f>
        <v>MCRO_27-CR-20-14626_Order-Evaluation for Competency to Proceed (Rule 20.01)_2022-11-30_20251126175928_META.txt</v>
      </c>
      <c r="K54" s="7" t="str">
        <f aca="false">HYPERLINK("https://mncourtfraud.com/file/MCRO_27-CR-20-14626_Order-Evaluation for Competency to Proceed (Rule 20.01)_2022-11-30_20251126175928_PDFSIGS.txt","MCRO_27-CR-20-14626_Order-Evaluation for Competency to Proceed (Rule 20.01)_2022-11-30_20251126175928_PDFSIGS.txt")</f>
        <v>MCRO_27-CR-20-14626_Order-Evaluation for Competency to Proceed (Rule 20.01)_2022-11-30_20251126175928_PDFSIGS.txt</v>
      </c>
      <c r="L54" s="7" t="str">
        <f aca="false">HYPERLINK("https://mncourtfraud.com/file/MCRO_27-CR-20-14626_Order-Evaluation_for_Competency_to_Proceed_(Rule_20.01)_2022-11-30_20251126175928.zip","MCRO_27-CR-20-14626_Order-Evaluation_for_Competency_to_Proceed_(Rule_20.01)_2022-11-30_20251126175928.zip")</f>
        <v>MCRO_27-CR-20-14626_Order-Evaluation_for_Competency_to_Proceed_(Rule_20.01)_2022-11-30_20251126175928.zip</v>
      </c>
    </row>
    <row r="55" customFormat="false" ht="18.7" hidden="false" customHeight="true" outlineLevel="0" collapsed="false">
      <c r="A55" s="1" t="n">
        <v>54</v>
      </c>
      <c r="B55" s="7" t="str">
        <f aca="false">HYPERLINK("https://mncourtfraud.com/file/27-CR-20-25524.pdf","27-CR-20-25524")</f>
        <v>27-CR-20-25524</v>
      </c>
      <c r="C55" s="1" t="n">
        <v>1</v>
      </c>
      <c r="D55" s="2" t="s">
        <v>12</v>
      </c>
      <c r="E55" s="8" t="n">
        <v>44396</v>
      </c>
      <c r="F55" s="2" t="s">
        <v>15</v>
      </c>
      <c r="G55" s="7" t="str">
        <f aca="false">HYPERLINK("https://mncourtfraud.com/file/MCRO_27-CR-20-25524_Order-Evaluation for Competency to Proceed (Rule 20.01)_2021-07-19_20251126180153.pdf","MCRO_27-CR-20-25524_Order-Evaluation for Competency to Proceed (Rule 20.01)_2021-07-19_20251126180153.pdf")</f>
        <v>MCRO_27-CR-20-25524_Order-Evaluation for Competency to Proceed (Rule 20.01)_2021-07-19_20251126180153.pdf</v>
      </c>
      <c r="H55" s="2" t="s">
        <v>71</v>
      </c>
      <c r="I55" s="7" t="str">
        <f aca="false">HYPERLINK("https://mncourtfraud.com/file/MCRO_27-CR-20-25524_Order-Evaluation for Competency to Proceed (Rule 20.01)_2021-07-19_20251126180153.pdf.ots","MCRO_27-CR-20-25524_Order-Evaluation for Competency to Proceed (Rule 20.01)_2021-07-19_20251126180153.pdf.ots")</f>
        <v>MCRO_27-CR-20-25524_Order-Evaluation for Competency to Proceed (Rule 20.01)_2021-07-19_20251126180153.pdf.ots</v>
      </c>
      <c r="J55" s="7" t="str">
        <f aca="false">HYPERLINK("https://mncourtfraud.com/file/MCRO_27-CR-20-25524_Order-Evaluation for Competency to Proceed (Rule 20.01)_2021-07-19_20251126180153_META.txt","MCRO_27-CR-20-25524_Order-Evaluation for Competency to Proceed (Rule 20.01)_2021-07-19_20251126180153_META.txt")</f>
        <v>MCRO_27-CR-20-25524_Order-Evaluation for Competency to Proceed (Rule 20.01)_2021-07-19_20251126180153_META.txt</v>
      </c>
      <c r="K55" s="7" t="str">
        <f aca="false">HYPERLINK("https://mncourtfraud.com/file/MCRO_27-CR-20-25524_Order-Evaluation for Competency to Proceed (Rule 20.01)_2021-07-19_20251126180153_PDFSIGS.txt","MCRO_27-CR-20-25524_Order-Evaluation for Competency to Proceed (Rule 20.01)_2021-07-19_20251126180153_PDFSIGS.txt")</f>
        <v>MCRO_27-CR-20-25524_Order-Evaluation for Competency to Proceed (Rule 20.01)_2021-07-19_20251126180153_PDFSIGS.txt</v>
      </c>
      <c r="L55" s="7" t="str">
        <f aca="false">HYPERLINK("https://mncourtfraud.com/file/MCRO_27-CR-20-25524_Order-Evaluation_for_Competency_to_Proceed_(Rule_20.01)_2021-07-19_20251126180153.zip","MCRO_27-CR-20-25524_Order-Evaluation_for_Competency_to_Proceed_(Rule_20.01)_2021-07-19_20251126180153.zip")</f>
        <v>MCRO_27-CR-20-25524_Order-Evaluation_for_Competency_to_Proceed_(Rule_20.01)_2021-07-19_20251126180153.zip</v>
      </c>
    </row>
    <row r="56" customFormat="false" ht="18.7" hidden="false" customHeight="true" outlineLevel="0" collapsed="false">
      <c r="A56" s="1" t="n">
        <v>55</v>
      </c>
      <c r="B56" s="7" t="str">
        <f aca="false">HYPERLINK("https://mncourtfraud.com/file/27-CR-20-25524.pdf","27-CR-20-25524")</f>
        <v>27-CR-20-25524</v>
      </c>
      <c r="C56" s="1" t="n">
        <v>1</v>
      </c>
      <c r="D56" s="2" t="s">
        <v>12</v>
      </c>
      <c r="E56" s="8" t="n">
        <v>44439</v>
      </c>
      <c r="F56" s="2" t="s">
        <v>19</v>
      </c>
      <c r="G56" s="7" t="str">
        <f aca="false">HYPERLINK("https://mncourtfraud.com/file/MCRO_27-CR-20-25524_Findings and Order_2021-08-31_20251126180048.pdf","MCRO_27-CR-20-25524_Findings and Order_2021-08-31_20251126180048.pdf")</f>
        <v>MCRO_27-CR-20-25524_Findings and Order_2021-08-31_20251126180048.pdf</v>
      </c>
      <c r="H56" s="2" t="s">
        <v>72</v>
      </c>
      <c r="I56" s="7" t="str">
        <f aca="false">HYPERLINK("https://mncourtfraud.com/file/MCRO_27-CR-20-25524_Findings and Order_2021-08-31_20251126180048.pdf.ots","MCRO_27-CR-20-25524_Findings and Order_2021-08-31_20251126180048.pdf.ots")</f>
        <v>MCRO_27-CR-20-25524_Findings and Order_2021-08-31_20251126180048.pdf.ots</v>
      </c>
      <c r="J56" s="7" t="str">
        <f aca="false">HYPERLINK("https://mncourtfraud.com/file/MCRO_27-CR-20-25524_Findings and Order_2021-08-31_20251126180048_META.txt","MCRO_27-CR-20-25524_Findings and Order_2021-08-31_20251126180048_META.txt")</f>
        <v>MCRO_27-CR-20-25524_Findings and Order_2021-08-31_20251126180048_META.txt</v>
      </c>
      <c r="K56" s="7" t="str">
        <f aca="false">HYPERLINK("https://mncourtfraud.com/file/MCRO_27-CR-20-25524_Findings and Order_2021-08-31_20251126180048_PDFSIGS.txt","MCRO_27-CR-20-25524_Findings and Order_2021-08-31_20251126180048_PDFSIGS.txt")</f>
        <v>MCRO_27-CR-20-25524_Findings and Order_2021-08-31_20251126180048_PDFSIGS.txt</v>
      </c>
      <c r="L56" s="7" t="str">
        <f aca="false">HYPERLINK("https://mncourtfraud.com/file/MCRO_27-CR-20-25524_Findings_and_Order_2021-08-31_20251126180048.zip","MCRO_27-CR-20-25524_Findings_and_Order_2021-08-31_20251126180048.zip")</f>
        <v>MCRO_27-CR-20-25524_Findings_and_Order_2021-08-31_20251126180048.zip</v>
      </c>
    </row>
    <row r="57" customFormat="false" ht="18.7" hidden="false" customHeight="true" outlineLevel="0" collapsed="false">
      <c r="A57" s="1" t="n">
        <v>56</v>
      </c>
      <c r="B57" s="7" t="str">
        <f aca="false">HYPERLINK("https://mncourtfraud.com/file/27-CR-20-25524.pdf","27-CR-20-25524")</f>
        <v>27-CR-20-25524</v>
      </c>
      <c r="C57" s="1" t="n">
        <v>1</v>
      </c>
      <c r="D57" s="2" t="s">
        <v>12</v>
      </c>
      <c r="E57" s="8" t="n">
        <v>44460</v>
      </c>
      <c r="F57" s="2" t="s">
        <v>24</v>
      </c>
      <c r="G57" s="7" t="str">
        <f aca="false">HYPERLINK("https://mncourtfraud.com/file/MCRO_27-CR-20-25524_Order for Conditional Release_2021-09-21_20251126180139.pdf","MCRO_27-CR-20-25524_Order for Conditional Release_2021-09-21_20251126180139.pdf")</f>
        <v>MCRO_27-CR-20-25524_Order for Conditional Release_2021-09-21_20251126180139.pdf</v>
      </c>
      <c r="H57" s="2" t="s">
        <v>73</v>
      </c>
      <c r="I57" s="7" t="str">
        <f aca="false">HYPERLINK("https://mncourtfraud.com/file/MCRO_27-CR-20-25524_Order for Conditional Release_2021-09-21_20251126180139.pdf.ots","MCRO_27-CR-20-25524_Order for Conditional Release_2021-09-21_20251126180139.pdf.ots")</f>
        <v>MCRO_27-CR-20-25524_Order for Conditional Release_2021-09-21_20251126180139.pdf.ots</v>
      </c>
      <c r="J57" s="7" t="str">
        <f aca="false">HYPERLINK("https://mncourtfraud.com/file/MCRO_27-CR-20-25524_Order for Conditional Release_2021-09-21_20251126180139_META.txt","MCRO_27-CR-20-25524_Order for Conditional Release_2021-09-21_20251126180139_META.txt")</f>
        <v>MCRO_27-CR-20-25524_Order for Conditional Release_2021-09-21_20251126180139_META.txt</v>
      </c>
      <c r="K57" s="7" t="str">
        <f aca="false">HYPERLINK("https://mncourtfraud.com/file/MCRO_27-CR-20-25524_Order for Conditional Release_2021-09-21_20251126180139_PDFSIGS.txt","MCRO_27-CR-20-25524_Order for Conditional Release_2021-09-21_20251126180139_PDFSIGS.txt")</f>
        <v>MCRO_27-CR-20-25524_Order for Conditional Release_2021-09-21_20251126180139_PDFSIGS.txt</v>
      </c>
      <c r="L57" s="7" t="str">
        <f aca="false">HYPERLINK("https://mncourtfraud.com/file/MCRO_27-CR-20-25524_Order_for_Conditional_Release_2021-09-21_20251126180139.zip","MCRO_27-CR-20-25524_Order_for_Conditional_Release_2021-09-21_20251126180139.zip")</f>
        <v>MCRO_27-CR-20-25524_Order_for_Conditional_Release_2021-09-21_20251126180139.zip</v>
      </c>
    </row>
    <row r="58" customFormat="false" ht="18.7" hidden="false" customHeight="true" outlineLevel="0" collapsed="false">
      <c r="A58" s="1" t="n">
        <v>57</v>
      </c>
      <c r="B58" s="7" t="str">
        <f aca="false">HYPERLINK("https://mncourtfraud.com/file/27-CR-20-25524.pdf","27-CR-20-25524")</f>
        <v>27-CR-20-25524</v>
      </c>
      <c r="C58" s="1" t="n">
        <v>1</v>
      </c>
      <c r="D58" s="2" t="s">
        <v>12</v>
      </c>
      <c r="E58" s="8" t="n">
        <v>44468</v>
      </c>
      <c r="F58" s="2" t="s">
        <v>24</v>
      </c>
      <c r="G58" s="7" t="str">
        <f aca="false">HYPERLINK("https://mncourtfraud.com/file/MCRO_27-CR-20-25524_Order for Conditional Release_2021-09-29_20251126180115.pdf","MCRO_27-CR-20-25524_Order for Conditional Release_2021-09-29_20251126180115.pdf")</f>
        <v>MCRO_27-CR-20-25524_Order for Conditional Release_2021-09-29_20251126180115.pdf</v>
      </c>
      <c r="H58" s="2" t="s">
        <v>74</v>
      </c>
      <c r="I58" s="7" t="str">
        <f aca="false">HYPERLINK("https://mncourtfraud.com/file/MCRO_27-CR-20-25524_Order for Conditional Release_2021-09-29_20251126180115.pdf.ots","MCRO_27-CR-20-25524_Order for Conditional Release_2021-09-29_20251126180115.pdf.ots")</f>
        <v>MCRO_27-CR-20-25524_Order for Conditional Release_2021-09-29_20251126180115.pdf.ots</v>
      </c>
      <c r="J58" s="7" t="str">
        <f aca="false">HYPERLINK("https://mncourtfraud.com/file/MCRO_27-CR-20-25524_Order for Conditional Release_2021-09-29_20251126180115_META.txt","MCRO_27-CR-20-25524_Order for Conditional Release_2021-09-29_20251126180115_META.txt")</f>
        <v>MCRO_27-CR-20-25524_Order for Conditional Release_2021-09-29_20251126180115_META.txt</v>
      </c>
      <c r="K58" s="7" t="str">
        <f aca="false">HYPERLINK("https://mncourtfraud.com/file/MCRO_27-CR-20-25524_Order for Conditional Release_2021-09-29_20251126180115_PDFSIGS.txt","MCRO_27-CR-20-25524_Order for Conditional Release_2021-09-29_20251126180115_PDFSIGS.txt")</f>
        <v>MCRO_27-CR-20-25524_Order for Conditional Release_2021-09-29_20251126180115_PDFSIGS.txt</v>
      </c>
      <c r="L58" s="7" t="str">
        <f aca="false">HYPERLINK("https://mncourtfraud.com/file/MCRO_27-CR-20-25524_Order_for_Conditional_Release_2021-09-29_20251126180115.zip","MCRO_27-CR-20-25524_Order_for_Conditional_Release_2021-09-29_20251126180115.zip")</f>
        <v>MCRO_27-CR-20-25524_Order_for_Conditional_Release_2021-09-29_20251126180115.zip</v>
      </c>
    </row>
    <row r="59" customFormat="false" ht="18.7" hidden="false" customHeight="true" outlineLevel="0" collapsed="false">
      <c r="A59" s="1" t="n">
        <v>58</v>
      </c>
      <c r="B59" s="7" t="str">
        <f aca="false">HYPERLINK("https://mncourtfraud.com/file/27-CR-20-25524.pdf","27-CR-20-25524")</f>
        <v>27-CR-20-25524</v>
      </c>
      <c r="C59" s="1" t="n">
        <v>1</v>
      </c>
      <c r="D59" s="2" t="s">
        <v>12</v>
      </c>
      <c r="E59" s="8" t="n">
        <v>44543</v>
      </c>
      <c r="F59" s="2" t="s">
        <v>15</v>
      </c>
      <c r="G59" s="7" t="str">
        <f aca="false">HYPERLINK("https://mncourtfraud.com/file/MCRO_27-CR-20-25524_Order-Evaluation for Competency to Proceed (Rule 20.01)_2021-12-13_20251126180204.pdf","MCRO_27-CR-20-25524_Order-Evaluation for Competency to Proceed (Rule 20.01)_2021-12-13_20251126180204.pdf")</f>
        <v>MCRO_27-CR-20-25524_Order-Evaluation for Competency to Proceed (Rule 20.01)_2021-12-13_20251126180204.pdf</v>
      </c>
      <c r="H59" s="2" t="s">
        <v>75</v>
      </c>
      <c r="I59" s="7" t="str">
        <f aca="false">HYPERLINK("https://mncourtfraud.com/file/MCRO_27-CR-20-25524_Order-Evaluation for Competency to Proceed (Rule 20.01)_2021-12-13_20251126180204.pdf.ots","MCRO_27-CR-20-25524_Order-Evaluation for Competency to Proceed (Rule 20.01)_2021-12-13_20251126180204.pdf.ots")</f>
        <v>MCRO_27-CR-20-25524_Order-Evaluation for Competency to Proceed (Rule 20.01)_2021-12-13_20251126180204.pdf.ots</v>
      </c>
      <c r="J59" s="7" t="str">
        <f aca="false">HYPERLINK("https://mncourtfraud.com/file/MCRO_27-CR-20-25524_Order-Evaluation for Competency to Proceed (Rule 20.01)_2021-12-13_20251126180204_META.txt","MCRO_27-CR-20-25524_Order-Evaluation for Competency to Proceed (Rule 20.01)_2021-12-13_20251126180204_META.txt")</f>
        <v>MCRO_27-CR-20-25524_Order-Evaluation for Competency to Proceed (Rule 20.01)_2021-12-13_20251126180204_META.txt</v>
      </c>
      <c r="K59" s="7" t="str">
        <f aca="false">HYPERLINK("https://mncourtfraud.com/file/MCRO_27-CR-20-25524_Order-Evaluation for Competency to Proceed (Rule 20.01)_2021-12-13_20251126180204_PDFSIGS.txt","MCRO_27-CR-20-25524_Order-Evaluation for Competency to Proceed (Rule 20.01)_2021-12-13_20251126180204_PDFSIGS.txt")</f>
        <v>MCRO_27-CR-20-25524_Order-Evaluation for Competency to Proceed (Rule 20.01)_2021-12-13_20251126180204_PDFSIGS.txt</v>
      </c>
      <c r="L59" s="7" t="str">
        <f aca="false">HYPERLINK("https://mncourtfraud.com/file/MCRO_27-CR-20-25524_Order-Evaluation_for_Competency_to_Proceed_(Rule_20.01)_2021-12-13_20251126180204.zip","MCRO_27-CR-20-25524_Order-Evaluation_for_Competency_to_Proceed_(Rule_20.01)_2021-12-13_20251126180204.zip")</f>
        <v>MCRO_27-CR-20-25524_Order-Evaluation_for_Competency_to_Proceed_(Rule_20.01)_2021-12-13_20251126180204.zip</v>
      </c>
    </row>
    <row r="60" customFormat="false" ht="18.7" hidden="false" customHeight="true" outlineLevel="0" collapsed="false">
      <c r="A60" s="1" t="n">
        <v>59</v>
      </c>
      <c r="B60" s="7" t="str">
        <f aca="false">HYPERLINK("https://mncourtfraud.com/file/27-CR-20-25524.pdf","27-CR-20-25524")</f>
        <v>27-CR-20-25524</v>
      </c>
      <c r="C60" s="1" t="n">
        <v>1</v>
      </c>
      <c r="D60" s="2" t="s">
        <v>12</v>
      </c>
      <c r="E60" s="8" t="n">
        <v>44558</v>
      </c>
      <c r="F60" s="2" t="s">
        <v>15</v>
      </c>
      <c r="G60" s="7" t="str">
        <f aca="false">HYPERLINK("https://mncourtfraud.com/file/MCRO_27-CR-20-25524_Order-Evaluation for Competency to Proceed (Rule 20.01)_2021-12-28_20251126180216.pdf","MCRO_27-CR-20-25524_Order-Evaluation for Competency to Proceed (Rule 20.01)_2021-12-28_20251126180216.pdf")</f>
        <v>MCRO_27-CR-20-25524_Order-Evaluation for Competency to Proceed (Rule 20.01)_2021-12-28_20251126180216.pdf</v>
      </c>
      <c r="H60" s="2" t="s">
        <v>76</v>
      </c>
      <c r="I60" s="7" t="str">
        <f aca="false">HYPERLINK("https://mncourtfraud.com/file/MCRO_27-CR-20-25524_Order-Evaluation for Competency to Proceed (Rule 20.01)_2021-12-28_20251126180216.pdf.ots","MCRO_27-CR-20-25524_Order-Evaluation for Competency to Proceed (Rule 20.01)_2021-12-28_20251126180216.pdf.ots")</f>
        <v>MCRO_27-CR-20-25524_Order-Evaluation for Competency to Proceed (Rule 20.01)_2021-12-28_20251126180216.pdf.ots</v>
      </c>
      <c r="J60" s="7" t="str">
        <f aca="false">HYPERLINK("https://mncourtfraud.com/file/MCRO_27-CR-20-25524_Order-Evaluation for Competency to Proceed (Rule 20.01)_2021-12-28_20251126180216_META.txt","MCRO_27-CR-20-25524_Order-Evaluation for Competency to Proceed (Rule 20.01)_2021-12-28_20251126180216_META.txt")</f>
        <v>MCRO_27-CR-20-25524_Order-Evaluation for Competency to Proceed (Rule 20.01)_2021-12-28_20251126180216_META.txt</v>
      </c>
      <c r="K60" s="7" t="str">
        <f aca="false">HYPERLINK("https://mncourtfraud.com/file/MCRO_27-CR-20-25524_Order-Evaluation for Competency to Proceed (Rule 20.01)_2021-12-28_20251126180216_PDFSIGS.txt","MCRO_27-CR-20-25524_Order-Evaluation for Competency to Proceed (Rule 20.01)_2021-12-28_20251126180216_PDFSIGS.txt")</f>
        <v>MCRO_27-CR-20-25524_Order-Evaluation for Competency to Proceed (Rule 20.01)_2021-12-28_20251126180216_PDFSIGS.txt</v>
      </c>
      <c r="L60" s="7" t="str">
        <f aca="false">HYPERLINK("https://mncourtfraud.com/file/MCRO_27-CR-20-25524_Order-Evaluation_for_Competency_to_Proceed_(Rule_20.01)_2021-12-28_20251126180216.zip","MCRO_27-CR-20-25524_Order-Evaluation_for_Competency_to_Proceed_(Rule_20.01)_2021-12-28_20251126180216.zip")</f>
        <v>MCRO_27-CR-20-25524_Order-Evaluation_for_Competency_to_Proceed_(Rule_20.01)_2021-12-28_20251126180216.zip</v>
      </c>
    </row>
    <row r="61" customFormat="false" ht="18.7" hidden="false" customHeight="true" outlineLevel="0" collapsed="false">
      <c r="A61" s="1" t="n">
        <v>60</v>
      </c>
      <c r="B61" s="7" t="str">
        <f aca="false">HYPERLINK("https://mncourtfraud.com/file/27-CR-20-25524.pdf","27-CR-20-25524")</f>
        <v>27-CR-20-25524</v>
      </c>
      <c r="C61" s="1" t="n">
        <v>1</v>
      </c>
      <c r="D61" s="2" t="s">
        <v>12</v>
      </c>
      <c r="E61" s="8" t="n">
        <v>44593</v>
      </c>
      <c r="F61" s="2" t="s">
        <v>19</v>
      </c>
      <c r="G61" s="7" t="str">
        <f aca="false">HYPERLINK("https://mncourtfraud.com/file/MCRO_27-CR-20-25524_Findings and Order_2022-02-01_20251126180037.pdf","MCRO_27-CR-20-25524_Findings and Order_2022-02-01_20251126180037.pdf")</f>
        <v>MCRO_27-CR-20-25524_Findings and Order_2022-02-01_20251126180037.pdf</v>
      </c>
      <c r="H61" s="2" t="s">
        <v>77</v>
      </c>
      <c r="I61" s="7" t="str">
        <f aca="false">HYPERLINK("https://mncourtfraud.com/file/MCRO_27-CR-20-25524_Findings and Order_2022-02-01_20251126180037.pdf.ots","MCRO_27-CR-20-25524_Findings and Order_2022-02-01_20251126180037.pdf.ots")</f>
        <v>MCRO_27-CR-20-25524_Findings and Order_2022-02-01_20251126180037.pdf.ots</v>
      </c>
      <c r="J61" s="7" t="str">
        <f aca="false">HYPERLINK("https://mncourtfraud.com/file/MCRO_27-CR-20-25524_Findings and Order_2022-02-01_20251126180037_META.txt","MCRO_27-CR-20-25524_Findings and Order_2022-02-01_20251126180037_META.txt")</f>
        <v>MCRO_27-CR-20-25524_Findings and Order_2022-02-01_20251126180037_META.txt</v>
      </c>
      <c r="K61" s="7" t="str">
        <f aca="false">HYPERLINK("https://mncourtfraud.com/file/MCRO_27-CR-20-25524_Findings and Order_2022-02-01_20251126180037_PDFSIGS.txt","MCRO_27-CR-20-25524_Findings and Order_2022-02-01_20251126180037_PDFSIGS.txt")</f>
        <v>MCRO_27-CR-20-25524_Findings and Order_2022-02-01_20251126180037_PDFSIGS.txt</v>
      </c>
      <c r="L61" s="7" t="str">
        <f aca="false">HYPERLINK("https://mncourtfraud.com/file/MCRO_27-CR-20-25524_Findings_and_Order_2022-02-01_20251126180037.zip","MCRO_27-CR-20-25524_Findings_and_Order_2022-02-01_20251126180037.zip")</f>
        <v>MCRO_27-CR-20-25524_Findings_and_Order_2022-02-01_20251126180037.zip</v>
      </c>
    </row>
    <row r="62" customFormat="false" ht="18.7" hidden="false" customHeight="true" outlineLevel="0" collapsed="false">
      <c r="A62" s="1" t="n">
        <v>61</v>
      </c>
      <c r="B62" s="7" t="str">
        <f aca="false">HYPERLINK("https://mncourtfraud.com/file/27-CR-20-25524.pdf","27-CR-20-25524")</f>
        <v>27-CR-20-25524</v>
      </c>
      <c r="C62" s="1" t="n">
        <v>1</v>
      </c>
      <c r="D62" s="2" t="s">
        <v>12</v>
      </c>
      <c r="E62" s="8" t="n">
        <v>44692</v>
      </c>
      <c r="F62" s="2" t="s">
        <v>15</v>
      </c>
      <c r="G62" s="7" t="str">
        <f aca="false">HYPERLINK("https://mncourtfraud.com/file/MCRO_27-CR-20-25524_Order-Evaluation for Competency to Proceed (Rule 20.01)_2022-05-11_20251126180226.pdf","MCRO_27-CR-20-25524_Order-Evaluation for Competency to Proceed (Rule 20.01)_2022-05-11_20251126180226.pdf")</f>
        <v>MCRO_27-CR-20-25524_Order-Evaluation for Competency to Proceed (Rule 20.01)_2022-05-11_20251126180226.pdf</v>
      </c>
      <c r="H62" s="2" t="s">
        <v>78</v>
      </c>
      <c r="I62" s="7" t="str">
        <f aca="false">HYPERLINK("https://mncourtfraud.com/file/MCRO_27-CR-20-25524_Order-Evaluation for Competency to Proceed (Rule 20.01)_2022-05-11_20251126180226.pdf.ots","MCRO_27-CR-20-25524_Order-Evaluation for Competency to Proceed (Rule 20.01)_2022-05-11_20251126180226.pdf.ots")</f>
        <v>MCRO_27-CR-20-25524_Order-Evaluation for Competency to Proceed (Rule 20.01)_2022-05-11_20251126180226.pdf.ots</v>
      </c>
      <c r="J62" s="7" t="str">
        <f aca="false">HYPERLINK("https://mncourtfraud.com/file/MCRO_27-CR-20-25524_Order-Evaluation for Competency to Proceed (Rule 20.01)_2022-05-11_20251126180226_META.txt","MCRO_27-CR-20-25524_Order-Evaluation for Competency to Proceed (Rule 20.01)_2022-05-11_20251126180226_META.txt")</f>
        <v>MCRO_27-CR-20-25524_Order-Evaluation for Competency to Proceed (Rule 20.01)_2022-05-11_20251126180226_META.txt</v>
      </c>
      <c r="K62" s="7" t="str">
        <f aca="false">HYPERLINK("https://mncourtfraud.com/file/MCRO_27-CR-20-25524_Order-Evaluation for Competency to Proceed (Rule 20.01)_2022-05-11_20251126180226_PDFSIGS.txt","MCRO_27-CR-20-25524_Order-Evaluation for Competency to Proceed (Rule 20.01)_2022-05-11_20251126180226_PDFSIGS.txt")</f>
        <v>MCRO_27-CR-20-25524_Order-Evaluation for Competency to Proceed (Rule 20.01)_2022-05-11_20251126180226_PDFSIGS.txt</v>
      </c>
      <c r="L62" s="7" t="str">
        <f aca="false">HYPERLINK("https://mncourtfraud.com/file/MCRO_27-CR-20-25524_Order-Evaluation_for_Competency_to_Proceed_(Rule_20.01)_2022-05-11_20251126180226.zip","MCRO_27-CR-20-25524_Order-Evaluation_for_Competency_to_Proceed_(Rule_20.01)_2022-05-11_20251126180226.zip")</f>
        <v>MCRO_27-CR-20-25524_Order-Evaluation_for_Competency_to_Proceed_(Rule_20.01)_2022-05-11_20251126180226.zip</v>
      </c>
    </row>
    <row r="63" customFormat="false" ht="18.7" hidden="false" customHeight="true" outlineLevel="0" collapsed="false">
      <c r="A63" s="1" t="n">
        <v>62</v>
      </c>
      <c r="B63" s="7" t="str">
        <f aca="false">HYPERLINK("https://mncourtfraud.com/file/27-CR-20-25524.pdf","27-CR-20-25524")</f>
        <v>27-CR-20-25524</v>
      </c>
      <c r="C63" s="1" t="n">
        <v>1</v>
      </c>
      <c r="D63" s="2" t="s">
        <v>12</v>
      </c>
      <c r="E63" s="8" t="n">
        <v>44895</v>
      </c>
      <c r="F63" s="2" t="s">
        <v>15</v>
      </c>
      <c r="G63" s="7" t="str">
        <f aca="false">HYPERLINK("https://mncourtfraud.com/file/MCRO_27-CR-20-25524_Order-Evaluation for Competency to Proceed (Rule 20.01)_2022-11-30_20251126180238.pdf","MCRO_27-CR-20-25524_Order-Evaluation for Competency to Proceed (Rule 20.01)_2022-11-30_20251126180238.pdf")</f>
        <v>MCRO_27-CR-20-25524_Order-Evaluation for Competency to Proceed (Rule 20.01)_2022-11-30_20251126180238.pdf</v>
      </c>
      <c r="H63" s="2" t="s">
        <v>79</v>
      </c>
      <c r="I63" s="7" t="str">
        <f aca="false">HYPERLINK("https://mncourtfraud.com/file/MCRO_27-CR-20-25524_Order-Evaluation for Competency to Proceed (Rule 20.01)_2022-11-30_20251126180238.pdf.ots","MCRO_27-CR-20-25524_Order-Evaluation for Competency to Proceed (Rule 20.01)_2022-11-30_20251126180238.pdf.ots")</f>
        <v>MCRO_27-CR-20-25524_Order-Evaluation for Competency to Proceed (Rule 20.01)_2022-11-30_20251126180238.pdf.ots</v>
      </c>
      <c r="J63" s="7" t="str">
        <f aca="false">HYPERLINK("https://mncourtfraud.com/file/MCRO_27-CR-20-25524_Order-Evaluation for Competency to Proceed (Rule 20.01)_2022-11-30_20251126180238_META.txt","MCRO_27-CR-20-25524_Order-Evaluation for Competency to Proceed (Rule 20.01)_2022-11-30_20251126180238_META.txt")</f>
        <v>MCRO_27-CR-20-25524_Order-Evaluation for Competency to Proceed (Rule 20.01)_2022-11-30_20251126180238_META.txt</v>
      </c>
      <c r="K63" s="7" t="str">
        <f aca="false">HYPERLINK("https://mncourtfraud.com/file/MCRO_27-CR-20-25524_Order-Evaluation for Competency to Proceed (Rule 20.01)_2022-11-30_20251126180238_PDFSIGS.txt","MCRO_27-CR-20-25524_Order-Evaluation for Competency to Proceed (Rule 20.01)_2022-11-30_20251126180238_PDFSIGS.txt")</f>
        <v>MCRO_27-CR-20-25524_Order-Evaluation for Competency to Proceed (Rule 20.01)_2022-11-30_20251126180238_PDFSIGS.txt</v>
      </c>
      <c r="L63" s="7" t="str">
        <f aca="false">HYPERLINK("https://mncourtfraud.com/file/MCRO_27-CR-20-25524_Order-Evaluation_for_Competency_to_Proceed_(Rule_20.01)_2022-11-30_20251126180238.zip","MCRO_27-CR-20-25524_Order-Evaluation_for_Competency_to_Proceed_(Rule_20.01)_2022-11-30_20251126180238.zip")</f>
        <v>MCRO_27-CR-20-25524_Order-Evaluation_for_Competency_to_Proceed_(Rule_20.01)_2022-11-30_20251126180238.zip</v>
      </c>
    </row>
    <row r="64" customFormat="false" ht="18.7" hidden="false" customHeight="true" outlineLevel="0" collapsed="false">
      <c r="A64" s="1" t="n">
        <v>63</v>
      </c>
      <c r="B64" s="7" t="str">
        <f aca="false">HYPERLINK("https://mncourtfraud.com/file/27-CR-20-25524.pdf","27-CR-20-25524")</f>
        <v>27-CR-20-25524</v>
      </c>
      <c r="C64" s="1" t="n">
        <v>1</v>
      </c>
      <c r="D64" s="2" t="s">
        <v>12</v>
      </c>
      <c r="E64" s="8" t="n">
        <v>45048</v>
      </c>
      <c r="F64" s="2" t="s">
        <v>80</v>
      </c>
      <c r="G64" s="7" t="str">
        <f aca="false">HYPERLINK("https://mncourtfraud.com/file/MCRO_27-CR-20-25524_Finding of Incompetency and Order_2023-05-02_20251126180022.pdf","MCRO_27-CR-20-25524_Finding of Incompetency and Order_2023-05-02_20251126180022.pdf")</f>
        <v>MCRO_27-CR-20-25524_Finding of Incompetency and Order_2023-05-02_20251126180022.pdf</v>
      </c>
      <c r="H64" s="2" t="s">
        <v>81</v>
      </c>
      <c r="I64" s="7" t="str">
        <f aca="false">HYPERLINK("https://mncourtfraud.com/file/MCRO_27-CR-20-25524_Finding of Incompetency and Order_2023-05-02_20251126180022.pdf.ots","MCRO_27-CR-20-25524_Finding of Incompetency and Order_2023-05-02_20251126180022.pdf.ots")</f>
        <v>MCRO_27-CR-20-25524_Finding of Incompetency and Order_2023-05-02_20251126180022.pdf.ots</v>
      </c>
      <c r="J64" s="7" t="str">
        <f aca="false">HYPERLINK("https://mncourtfraud.com/file/MCRO_27-CR-20-25524_Finding of Incompetency and Order_2023-05-02_20251126180022_META.txt","MCRO_27-CR-20-25524_Finding of Incompetency and Order_2023-05-02_20251126180022_META.txt")</f>
        <v>MCRO_27-CR-20-25524_Finding of Incompetency and Order_2023-05-02_20251126180022_META.txt</v>
      </c>
      <c r="K64" s="7" t="str">
        <f aca="false">HYPERLINK("https://mncourtfraud.com/file/MCRO_27-CR-20-25524_Finding of Incompetency and Order_2023-05-02_20251126180022_PDFSIGS.txt","MCRO_27-CR-20-25524_Finding of Incompetency and Order_2023-05-02_20251126180022_PDFSIGS.txt")</f>
        <v>MCRO_27-CR-20-25524_Finding of Incompetency and Order_2023-05-02_20251126180022_PDFSIGS.txt</v>
      </c>
      <c r="L64" s="7" t="str">
        <f aca="false">HYPERLINK("https://mncourtfraud.com/file/MCRO_27-CR-20-25524_Finding_of_Incompetency_and_Order_2023-05-02_20251126180022.zip","MCRO_27-CR-20-25524_Finding_of_Incompetency_and_Order_2023-05-02_20251126180022.zip")</f>
        <v>MCRO_27-CR-20-25524_Finding_of_Incompetency_and_Order_2023-05-02_20251126180022.zip</v>
      </c>
    </row>
    <row r="65" customFormat="false" ht="18.7" hidden="false" customHeight="true" outlineLevel="0" collapsed="false">
      <c r="A65" s="1" t="n">
        <v>64</v>
      </c>
      <c r="B65" s="7" t="str">
        <f aca="false">HYPERLINK("https://mncourtfraud.com/file/27-CR-20-25524.pdf","27-CR-20-25524")</f>
        <v>27-CR-20-25524</v>
      </c>
      <c r="C65" s="1" t="n">
        <v>1</v>
      </c>
      <c r="D65" s="2" t="s">
        <v>12</v>
      </c>
      <c r="E65" s="8" t="n">
        <v>45093</v>
      </c>
      <c r="F65" s="2" t="s">
        <v>82</v>
      </c>
      <c r="G65" s="7" t="str">
        <f aca="false">HYPERLINK("https://mncourtfraud.com/file/MCRO_27-CR-20-25524_Notice of Case Reassignment_2023-06-16_20251126180103.pdf","MCRO_27-CR-20-25524_Notice of Case Reassignment_2023-06-16_20251126180103.pdf")</f>
        <v>MCRO_27-CR-20-25524_Notice of Case Reassignment_2023-06-16_20251126180103.pdf</v>
      </c>
      <c r="H65" s="2" t="s">
        <v>83</v>
      </c>
      <c r="I65" s="7" t="str">
        <f aca="false">HYPERLINK("https://mncourtfraud.com/file/MCRO_27-CR-20-25524_Notice of Case Reassignment_2023-06-16_20251126180103.pdf.ots","MCRO_27-CR-20-25524_Notice of Case Reassignment_2023-06-16_20251126180103.pdf.ots")</f>
        <v>MCRO_27-CR-20-25524_Notice of Case Reassignment_2023-06-16_20251126180103.pdf.ots</v>
      </c>
      <c r="J65" s="7" t="str">
        <f aca="false">HYPERLINK("https://mncourtfraud.com/file/MCRO_27-CR-20-25524_Notice of Case Reassignment_2023-06-16_20251126180103_META.txt","MCRO_27-CR-20-25524_Notice of Case Reassignment_2023-06-16_20251126180103_META.txt")</f>
        <v>MCRO_27-CR-20-25524_Notice of Case Reassignment_2023-06-16_20251126180103_META.txt</v>
      </c>
      <c r="K65" s="7" t="str">
        <f aca="false">HYPERLINK("https://mncourtfraud.com/file/MCRO_27-CR-20-25524_Notice of Case Reassignment_2023-06-16_20251126180103_PDFSIGS.txt","MCRO_27-CR-20-25524_Notice of Case Reassignment_2023-06-16_20251126180103_PDFSIGS.txt")</f>
        <v>MCRO_27-CR-20-25524_Notice of Case Reassignment_2023-06-16_20251126180103_PDFSIGS.txt</v>
      </c>
      <c r="L65" s="7" t="str">
        <f aca="false">HYPERLINK("https://mncourtfraud.com/file/MCRO_27-CR-20-25524_Notice_of_Case_Reassignment_2023-06-16_20251126180103.zip","MCRO_27-CR-20-25524_Notice_of_Case_Reassignment_2023-06-16_20251126180103.zip")</f>
        <v>MCRO_27-CR-20-25524_Notice_of_Case_Reassignment_2023-06-16_20251126180103.zip</v>
      </c>
    </row>
    <row r="66" customFormat="false" ht="18.7" hidden="false" customHeight="true" outlineLevel="0" collapsed="false">
      <c r="A66" s="1" t="n">
        <v>65</v>
      </c>
      <c r="B66" s="7" t="str">
        <f aca="false">HYPERLINK("https://mncourtfraud.com/file/27-CR-20-25524.pdf","27-CR-20-25524")</f>
        <v>27-CR-20-25524</v>
      </c>
      <c r="C66" s="1" t="n">
        <v>1</v>
      </c>
      <c r="D66" s="2" t="s">
        <v>12</v>
      </c>
      <c r="E66" s="8" t="n">
        <v>45160</v>
      </c>
      <c r="F66" s="2" t="s">
        <v>15</v>
      </c>
      <c r="G66" s="7" t="str">
        <f aca="false">HYPERLINK("https://mncourtfraud.com/file/MCRO_27-CR-20-25524_Order-Evaluation for Competency to Proceed (Rule 20.01)_2023-08-22_20251126180250.pdf","MCRO_27-CR-20-25524_Order-Evaluation for Competency to Proceed (Rule 20.01)_2023-08-22_20251126180250.pdf")</f>
        <v>MCRO_27-CR-20-25524_Order-Evaluation for Competency to Proceed (Rule 20.01)_2023-08-22_20251126180250.pdf</v>
      </c>
      <c r="H66" s="2" t="s">
        <v>84</v>
      </c>
      <c r="I66" s="7" t="str">
        <f aca="false">HYPERLINK("https://mncourtfraud.com/file/MCRO_27-CR-20-25524_Order-Evaluation for Competency to Proceed (Rule 20.01)_2023-08-22_20251126180250.pdf.ots","MCRO_27-CR-20-25524_Order-Evaluation for Competency to Proceed (Rule 20.01)_2023-08-22_20251126180250.pdf.ots")</f>
        <v>MCRO_27-CR-20-25524_Order-Evaluation for Competency to Proceed (Rule 20.01)_2023-08-22_20251126180250.pdf.ots</v>
      </c>
      <c r="J66" s="7" t="str">
        <f aca="false">HYPERLINK("https://mncourtfraud.com/file/MCRO_27-CR-20-25524_Order-Evaluation for Competency to Proceed (Rule 20.01)_2023-08-22_20251126180250_META.txt","MCRO_27-CR-20-25524_Order-Evaluation for Competency to Proceed (Rule 20.01)_2023-08-22_20251126180250_META.txt")</f>
        <v>MCRO_27-CR-20-25524_Order-Evaluation for Competency to Proceed (Rule 20.01)_2023-08-22_20251126180250_META.txt</v>
      </c>
      <c r="K66" s="7" t="str">
        <f aca="false">HYPERLINK("https://mncourtfraud.com/file/MCRO_27-CR-20-25524_Order-Evaluation for Competency to Proceed (Rule 20.01)_2023-08-22_20251126180250_PDFSIGS.txt","MCRO_27-CR-20-25524_Order-Evaluation for Competency to Proceed (Rule 20.01)_2023-08-22_20251126180250_PDFSIGS.txt")</f>
        <v>MCRO_27-CR-20-25524_Order-Evaluation for Competency to Proceed (Rule 20.01)_2023-08-22_20251126180250_PDFSIGS.txt</v>
      </c>
      <c r="L66" s="7" t="str">
        <f aca="false">HYPERLINK("https://mncourtfraud.com/file/MCRO_27-CR-20-25524_Order-Evaluation_for_Competency_to_Proceed_(Rule_20.01)_2023-08-22_20251126180250.zip","MCRO_27-CR-20-25524_Order-Evaluation_for_Competency_to_Proceed_(Rule_20.01)_2023-08-22_20251126180250.zip")</f>
        <v>MCRO_27-CR-20-25524_Order-Evaluation_for_Competency_to_Proceed_(Rule_20.01)_2023-08-22_20251126180250.zip</v>
      </c>
    </row>
    <row r="67" customFormat="false" ht="18.7" hidden="false" customHeight="true" outlineLevel="0" collapsed="false">
      <c r="A67" s="1" t="n">
        <v>66</v>
      </c>
      <c r="B67" s="7" t="str">
        <f aca="false">HYPERLINK("https://mncourtfraud.com/file/27-CR-20-25524.pdf","27-CR-20-25524")</f>
        <v>27-CR-20-25524</v>
      </c>
      <c r="C67" s="1" t="n">
        <v>1</v>
      </c>
      <c r="D67" s="2" t="s">
        <v>12</v>
      </c>
      <c r="E67" s="8" t="n">
        <v>45412</v>
      </c>
      <c r="F67" s="2" t="s">
        <v>24</v>
      </c>
      <c r="G67" s="7" t="str">
        <f aca="false">HYPERLINK("https://mncourtfraud.com/file/MCRO_27-CR-20-25524_Order for Conditional Release_2024-04-30_20251126180129.pdf","MCRO_27-CR-20-25524_Order for Conditional Release_2024-04-30_20251126180129.pdf")</f>
        <v>MCRO_27-CR-20-25524_Order for Conditional Release_2024-04-30_20251126180129.pdf</v>
      </c>
      <c r="H67" s="2" t="s">
        <v>85</v>
      </c>
      <c r="I67" s="7" t="str">
        <f aca="false">HYPERLINK("https://mncourtfraud.com/file/MCRO_27-CR-20-25524_Order for Conditional Release_2024-04-30_20251126180129.pdf.ots","MCRO_27-CR-20-25524_Order for Conditional Release_2024-04-30_20251126180129.pdf.ots")</f>
        <v>MCRO_27-CR-20-25524_Order for Conditional Release_2024-04-30_20251126180129.pdf.ots</v>
      </c>
      <c r="J67" s="7" t="str">
        <f aca="false">HYPERLINK("https://mncourtfraud.com/file/MCRO_27-CR-20-25524_Order for Conditional Release_2024-04-30_20251126180129_META.txt","MCRO_27-CR-20-25524_Order for Conditional Release_2024-04-30_20251126180129_META.txt")</f>
        <v>MCRO_27-CR-20-25524_Order for Conditional Release_2024-04-30_20251126180129_META.txt</v>
      </c>
      <c r="K67" s="7" t="str">
        <f aca="false">HYPERLINK("https://mncourtfraud.com/file/MCRO_27-CR-20-25524_Order for Conditional Release_2024-04-30_20251126180129_PDFSIGS.txt","MCRO_27-CR-20-25524_Order for Conditional Release_2024-04-30_20251126180129_PDFSIGS.txt")</f>
        <v>MCRO_27-CR-20-25524_Order for Conditional Release_2024-04-30_20251126180129_PDFSIGS.txt</v>
      </c>
      <c r="L67" s="7" t="str">
        <f aca="false">HYPERLINK("https://mncourtfraud.com/file/MCRO_27-CR-20-25524_Order_for_Conditional_Release_2024-04-30_20251126180129.zip","MCRO_27-CR-20-25524_Order_for_Conditional_Release_2024-04-30_20251126180129.zip")</f>
        <v>MCRO_27-CR-20-25524_Order_for_Conditional_Release_2024-04-30_20251126180129.zip</v>
      </c>
    </row>
    <row r="68" customFormat="false" ht="18.7" hidden="false" customHeight="true" outlineLevel="0" collapsed="false">
      <c r="A68" s="1" t="n">
        <v>67</v>
      </c>
      <c r="B68" s="7" t="str">
        <f aca="false">HYPERLINK("https://mncourtfraud.com/file/27-CR-20-25524.pdf","27-CR-20-25524")</f>
        <v>27-CR-20-25524</v>
      </c>
      <c r="C68" s="1" t="n">
        <v>1</v>
      </c>
      <c r="D68" s="2" t="s">
        <v>12</v>
      </c>
      <c r="E68" s="8" t="n">
        <v>45412</v>
      </c>
      <c r="F68" s="2" t="s">
        <v>15</v>
      </c>
      <c r="G68" s="7" t="str">
        <f aca="false">HYPERLINK("https://mncourtfraud.com/file/MCRO_27-CR-20-25524_Order-Evaluation for Competency to Proceed (Rule 20.01)_2024-04-30_20251126180301.pdf","MCRO_27-CR-20-25524_Order-Evaluation for Competency to Proceed (Rule 20.01)_2024-04-30_20251126180301.pdf")</f>
        <v>MCRO_27-CR-20-25524_Order-Evaluation for Competency to Proceed (Rule 20.01)_2024-04-30_20251126180301.pdf</v>
      </c>
      <c r="H68" s="2" t="s">
        <v>86</v>
      </c>
      <c r="I68" s="7" t="str">
        <f aca="false">HYPERLINK("https://mncourtfraud.com/file/MCRO_27-CR-20-25524_Order-Evaluation for Competency to Proceed (Rule 20.01)_2024-04-30_20251126180301.pdf.ots","MCRO_27-CR-20-25524_Order-Evaluation for Competency to Proceed (Rule 20.01)_2024-04-30_20251126180301.pdf.ots")</f>
        <v>MCRO_27-CR-20-25524_Order-Evaluation for Competency to Proceed (Rule 20.01)_2024-04-30_20251126180301.pdf.ots</v>
      </c>
      <c r="J68" s="7" t="str">
        <f aca="false">HYPERLINK("https://mncourtfraud.com/file/MCRO_27-CR-20-25524_Order-Evaluation for Competency to Proceed (Rule 20.01)_2024-04-30_20251126180301_META.txt","MCRO_27-CR-20-25524_Order-Evaluation for Competency to Proceed (Rule 20.01)_2024-04-30_20251126180301_META.txt")</f>
        <v>MCRO_27-CR-20-25524_Order-Evaluation for Competency to Proceed (Rule 20.01)_2024-04-30_20251126180301_META.txt</v>
      </c>
      <c r="K68" s="7" t="str">
        <f aca="false">HYPERLINK("https://mncourtfraud.com/file/MCRO_27-CR-20-25524_Order-Evaluation for Competency to Proceed (Rule 20.01)_2024-04-30_20251126180301_PDFSIGS.txt","MCRO_27-CR-20-25524_Order-Evaluation for Competency to Proceed (Rule 20.01)_2024-04-30_20251126180301_PDFSIGS.txt")</f>
        <v>MCRO_27-CR-20-25524_Order-Evaluation for Competency to Proceed (Rule 20.01)_2024-04-30_20251126180301_PDFSIGS.txt</v>
      </c>
      <c r="L68" s="7" t="str">
        <f aca="false">HYPERLINK("https://mncourtfraud.com/file/MCRO_27-CR-20-25524_Order-Evaluation_for_Competency_to_Proceed_(Rule_20.01)_2024-04-30_20251126180301.zip","MCRO_27-CR-20-25524_Order-Evaluation_for_Competency_to_Proceed_(Rule_20.01)_2024-04-30_20251126180301.zip")</f>
        <v>MCRO_27-CR-20-25524_Order-Evaluation_for_Competency_to_Proceed_(Rule_20.01)_2024-04-30_20251126180301.zip</v>
      </c>
    </row>
    <row r="69" customFormat="false" ht="18.7" hidden="false" customHeight="true" outlineLevel="0" collapsed="false">
      <c r="A69" s="1" t="n">
        <v>68</v>
      </c>
      <c r="B69" s="7" t="str">
        <f aca="false">HYPERLINK("https://mncourtfraud.com/file/27-CR-20-25524.pdf","27-CR-20-25524")</f>
        <v>27-CR-20-25524</v>
      </c>
      <c r="C69" s="1" t="n">
        <v>1</v>
      </c>
      <c r="D69" s="2" t="s">
        <v>12</v>
      </c>
      <c r="E69" s="8" t="n">
        <v>45414</v>
      </c>
      <c r="F69" s="2" t="s">
        <v>15</v>
      </c>
      <c r="G69" s="7" t="str">
        <f aca="false">HYPERLINK("https://mncourtfraud.com/file/MCRO_27-CR-20-25524_Order-Evaluation for Competency to Proceed (Rule 20.01)_2024-05-02_20251126180315.pdf","MCRO_27-CR-20-25524_Order-Evaluation for Competency to Proceed (Rule 20.01)_2024-05-02_20251126180315.pdf")</f>
        <v>MCRO_27-CR-20-25524_Order-Evaluation for Competency to Proceed (Rule 20.01)_2024-05-02_20251126180315.pdf</v>
      </c>
      <c r="H69" s="2" t="s">
        <v>87</v>
      </c>
      <c r="I69" s="7" t="str">
        <f aca="false">HYPERLINK("https://mncourtfraud.com/file/MCRO_27-CR-20-25524_Order-Evaluation for Competency to Proceed (Rule 20.01)_2024-05-02_20251126180315.pdf.ots","MCRO_27-CR-20-25524_Order-Evaluation for Competency to Proceed (Rule 20.01)_2024-05-02_20251126180315.pdf.ots")</f>
        <v>MCRO_27-CR-20-25524_Order-Evaluation for Competency to Proceed (Rule 20.01)_2024-05-02_20251126180315.pdf.ots</v>
      </c>
      <c r="J69" s="7" t="str">
        <f aca="false">HYPERLINK("https://mncourtfraud.com/file/MCRO_27-CR-20-25524_Order-Evaluation for Competency to Proceed (Rule 20.01)_2024-05-02_20251126180315_META.txt","MCRO_27-CR-20-25524_Order-Evaluation for Competency to Proceed (Rule 20.01)_2024-05-02_20251126180315_META.txt")</f>
        <v>MCRO_27-CR-20-25524_Order-Evaluation for Competency to Proceed (Rule 20.01)_2024-05-02_20251126180315_META.txt</v>
      </c>
      <c r="K69" s="7" t="str">
        <f aca="false">HYPERLINK("https://mncourtfraud.com/file/MCRO_27-CR-20-25524_Order-Evaluation for Competency to Proceed (Rule 20.01)_2024-05-02_20251126180315_PDFSIGS.txt","MCRO_27-CR-20-25524_Order-Evaluation for Competency to Proceed (Rule 20.01)_2024-05-02_20251126180315_PDFSIGS.txt")</f>
        <v>MCRO_27-CR-20-25524_Order-Evaluation for Competency to Proceed (Rule 20.01)_2024-05-02_20251126180315_PDFSIGS.txt</v>
      </c>
      <c r="L69" s="7" t="str">
        <f aca="false">HYPERLINK("https://mncourtfraud.com/file/MCRO_27-CR-20-25524_Order-Evaluation_for_Competency_to_Proceed_(Rule_20.01)_2024-05-02_20251126180315.zip","MCRO_27-CR-20-25524_Order-Evaluation_for_Competency_to_Proceed_(Rule_20.01)_2024-05-02_20251126180315.zip")</f>
        <v>MCRO_27-CR-20-25524_Order-Evaluation_for_Competency_to_Proceed_(Rule_20.01)_2024-05-02_20251126180315.zip</v>
      </c>
    </row>
    <row r="70" customFormat="false" ht="18.7" hidden="false" customHeight="true" outlineLevel="0" collapsed="false">
      <c r="A70" s="1" t="n">
        <v>69</v>
      </c>
      <c r="B70" s="7" t="str">
        <f aca="false">HYPERLINK("https://mncourtfraud.com/file/27-CR-20-2581.pdf","27-CR-20-2581")</f>
        <v>27-CR-20-2581</v>
      </c>
      <c r="C70" s="1" t="n">
        <v>1</v>
      </c>
      <c r="D70" s="2" t="s">
        <v>12</v>
      </c>
      <c r="E70" s="8" t="n">
        <v>43970</v>
      </c>
      <c r="F70" s="2" t="s">
        <v>17</v>
      </c>
      <c r="G70" s="7" t="str">
        <f aca="false">HYPERLINK("https://mncourtfraud.com/file/MCRO_27-CR-20-2581_Returned Mail_2020-05-19_20251126180706.pdf","MCRO_27-CR-20-2581_Returned Mail_2020-05-19_20251126180706.pdf")</f>
        <v>MCRO_27-CR-20-2581_Returned Mail_2020-05-19_20251126180706.pdf</v>
      </c>
      <c r="H70" s="2" t="s">
        <v>88</v>
      </c>
      <c r="I70" s="7" t="str">
        <f aca="false">HYPERLINK("https://mncourtfraud.com/file/MCRO_27-CR-20-2581_Returned Mail_2020-05-19_20251126180706.pdf.ots","MCRO_27-CR-20-2581_Returned Mail_2020-05-19_20251126180706.pdf.ots")</f>
        <v>MCRO_27-CR-20-2581_Returned Mail_2020-05-19_20251126180706.pdf.ots</v>
      </c>
      <c r="J70" s="7" t="str">
        <f aca="false">HYPERLINK("https://mncourtfraud.com/file/MCRO_27-CR-20-2581_Returned Mail_2020-05-19_20251126180706_META.txt","MCRO_27-CR-20-2581_Returned Mail_2020-05-19_20251126180706_META.txt")</f>
        <v>MCRO_27-CR-20-2581_Returned Mail_2020-05-19_20251126180706_META.txt</v>
      </c>
      <c r="K70" s="7" t="str">
        <f aca="false">HYPERLINK("https://mncourtfraud.com/file/MCRO_27-CR-20-2581_Returned Mail_2020-05-19_20251126180706_PDFSIGS.txt","MCRO_27-CR-20-2581_Returned Mail_2020-05-19_20251126180706_PDFSIGS.txt")</f>
        <v>MCRO_27-CR-20-2581_Returned Mail_2020-05-19_20251126180706_PDFSIGS.txt</v>
      </c>
      <c r="L70" s="7" t="str">
        <f aca="false">HYPERLINK("https://mncourtfraud.com/file/MCRO_27-CR-20-2581_Returned_Mail_2020-05-19_20251126180706.zip","MCRO_27-CR-20-2581_Returned_Mail_2020-05-19_20251126180706.zip")</f>
        <v>MCRO_27-CR-20-2581_Returned_Mail_2020-05-19_20251126180706.zip</v>
      </c>
    </row>
    <row r="71" customFormat="false" ht="18.7" hidden="false" customHeight="true" outlineLevel="0" collapsed="false">
      <c r="A71" s="1" t="n">
        <v>70</v>
      </c>
      <c r="B71" s="7" t="str">
        <f aca="false">HYPERLINK("https://mncourtfraud.com/file/27-CR-20-2581.pdf","27-CR-20-2581")</f>
        <v>27-CR-20-2581</v>
      </c>
      <c r="C71" s="1" t="n">
        <v>1</v>
      </c>
      <c r="D71" s="2" t="s">
        <v>12</v>
      </c>
      <c r="E71" s="8" t="n">
        <v>44103</v>
      </c>
      <c r="F71" s="2" t="s">
        <v>19</v>
      </c>
      <c r="G71" s="7" t="str">
        <f aca="false">HYPERLINK("https://mncourtfraud.com/file/MCRO_27-CR-20-2581_Findings and Order_2020-09-29_20251126180408.pdf","MCRO_27-CR-20-2581_Findings and Order_2020-09-29_20251126180408.pdf")</f>
        <v>MCRO_27-CR-20-2581_Findings and Order_2020-09-29_20251126180408.pdf</v>
      </c>
      <c r="H71" s="2" t="s">
        <v>89</v>
      </c>
      <c r="I71" s="7" t="str">
        <f aca="false">HYPERLINK("https://mncourtfraud.com/file/MCRO_27-CR-20-2581_Findings and Order_2020-09-29_20251126180408.pdf.ots","MCRO_27-CR-20-2581_Findings and Order_2020-09-29_20251126180408.pdf.ots")</f>
        <v>MCRO_27-CR-20-2581_Findings and Order_2020-09-29_20251126180408.pdf.ots</v>
      </c>
      <c r="J71" s="7" t="str">
        <f aca="false">HYPERLINK("https://mncourtfraud.com/file/MCRO_27-CR-20-2581_Findings and Order_2020-09-29_20251126180408_META.txt","MCRO_27-CR-20-2581_Findings and Order_2020-09-29_20251126180408_META.txt")</f>
        <v>MCRO_27-CR-20-2581_Findings and Order_2020-09-29_20251126180408_META.txt</v>
      </c>
      <c r="K71" s="7" t="str">
        <f aca="false">HYPERLINK("https://mncourtfraud.com/file/MCRO_27-CR-20-2581_Findings and Order_2020-09-29_20251126180408_PDFSIGS.txt","MCRO_27-CR-20-2581_Findings and Order_2020-09-29_20251126180408_PDFSIGS.txt")</f>
        <v>MCRO_27-CR-20-2581_Findings and Order_2020-09-29_20251126180408_PDFSIGS.txt</v>
      </c>
      <c r="L71" s="7" t="str">
        <f aca="false">HYPERLINK("https://mncourtfraud.com/file/MCRO_27-CR-20-2581_Findings_and_Order_2020-09-29_20251126180408.zip","MCRO_27-CR-20-2581_Findings_and_Order_2020-09-29_20251126180408.zip")</f>
        <v>MCRO_27-CR-20-2581_Findings_and_Order_2020-09-29_20251126180408.zip</v>
      </c>
    </row>
    <row r="72" customFormat="false" ht="18.7" hidden="false" customHeight="true" outlineLevel="0" collapsed="false">
      <c r="A72" s="1" t="n">
        <v>71</v>
      </c>
      <c r="B72" s="7" t="str">
        <f aca="false">HYPERLINK("https://mncourtfraud.com/file/27-CR-20-2581.pdf","27-CR-20-2581")</f>
        <v>27-CR-20-2581</v>
      </c>
      <c r="C72" s="1" t="n">
        <v>1</v>
      </c>
      <c r="D72" s="2" t="s">
        <v>12</v>
      </c>
      <c r="E72" s="8" t="n">
        <v>44225</v>
      </c>
      <c r="F72" s="2" t="s">
        <v>15</v>
      </c>
      <c r="G72" s="7" t="str">
        <f aca="false">HYPERLINK("https://mncourtfraud.com/file/MCRO_27-CR-20-2581_Order-Evaluation for Competency to Proceed (Rule 20.01)_2021-01-29_20251126180652.pdf","MCRO_27-CR-20-2581_Order-Evaluation for Competency to Proceed (Rule 20.01)_2021-01-29_20251126180652.pdf")</f>
        <v>MCRO_27-CR-20-2581_Order-Evaluation for Competency to Proceed (Rule 20.01)_2021-01-29_20251126180652.pdf</v>
      </c>
      <c r="H72" s="2" t="s">
        <v>90</v>
      </c>
      <c r="I72" s="7" t="str">
        <f aca="false">HYPERLINK("https://mncourtfraud.com/file/MCRO_27-CR-20-2581_Order-Evaluation for Competency to Proceed (Rule 20.01)_2021-01-29_20251126180652.pdf.ots","MCRO_27-CR-20-2581_Order-Evaluation for Competency to Proceed (Rule 20.01)_2021-01-29_20251126180652.pdf.ots")</f>
        <v>MCRO_27-CR-20-2581_Order-Evaluation for Competency to Proceed (Rule 20.01)_2021-01-29_20251126180652.pdf.ots</v>
      </c>
      <c r="J72" s="7" t="str">
        <f aca="false">HYPERLINK("https://mncourtfraud.com/file/MCRO_27-CR-20-2581_Order-Evaluation for Competency to Proceed (Rule 20.01)_2021-01-29_20251126180652_META.txt","MCRO_27-CR-20-2581_Order-Evaluation for Competency to Proceed (Rule 20.01)_2021-01-29_20251126180652_META.txt")</f>
        <v>MCRO_27-CR-20-2581_Order-Evaluation for Competency to Proceed (Rule 20.01)_2021-01-29_20251126180652_META.txt</v>
      </c>
      <c r="K72" s="7" t="str">
        <f aca="false">HYPERLINK("https://mncourtfraud.com/file/MCRO_27-CR-20-2581_Order-Evaluation for Competency to Proceed (Rule 20.01)_2021-01-29_20251126180652_PDFSIGS.txt","MCRO_27-CR-20-2581_Order-Evaluation for Competency to Proceed (Rule 20.01)_2021-01-29_20251126180652_PDFSIGS.txt")</f>
        <v>MCRO_27-CR-20-2581_Order-Evaluation for Competency to Proceed (Rule 20.01)_2021-01-29_20251126180652_PDFSIGS.txt</v>
      </c>
      <c r="L72" s="7" t="str">
        <f aca="false">HYPERLINK("https://mncourtfraud.com/file/MCRO_27-CR-20-2581_Order-Evaluation_for_Competency_to_Proceed_(Rule_20.01)_2021-01-29_20251126180652.zip","MCRO_27-CR-20-2581_Order-Evaluation_for_Competency_to_Proceed_(Rule_20.01)_2021-01-29_20251126180652.zip")</f>
        <v>MCRO_27-CR-20-2581_Order-Evaluation_for_Competency_to_Proceed_(Rule_20.01)_2021-01-29_20251126180652.zip</v>
      </c>
    </row>
    <row r="73" customFormat="false" ht="18.7" hidden="false" customHeight="true" outlineLevel="0" collapsed="false">
      <c r="A73" s="1" t="n">
        <v>72</v>
      </c>
      <c r="B73" s="7" t="str">
        <f aca="false">HYPERLINK("https://mncourtfraud.com/file/27-CR-20-2581.pdf","27-CR-20-2581")</f>
        <v>27-CR-20-2581</v>
      </c>
      <c r="C73" s="1" t="n">
        <v>1</v>
      </c>
      <c r="D73" s="2" t="s">
        <v>12</v>
      </c>
      <c r="E73" s="8" t="n">
        <v>44396</v>
      </c>
      <c r="F73" s="2" t="s">
        <v>15</v>
      </c>
      <c r="G73" s="7" t="str">
        <f aca="false">HYPERLINK("https://mncourtfraud.com/file/MCRO_27-CR-20-2581_Order-Evaluation for Competency to Proceed (Rule 20.01)_2021-07-19_20251126180534.pdf","MCRO_27-CR-20-2581_Order-Evaluation for Competency to Proceed (Rule 20.01)_2021-07-19_20251126180534.pdf")</f>
        <v>MCRO_27-CR-20-2581_Order-Evaluation for Competency to Proceed (Rule 20.01)_2021-07-19_20251126180534.pdf</v>
      </c>
      <c r="H73" s="2" t="s">
        <v>91</v>
      </c>
      <c r="I73" s="7" t="str">
        <f aca="false">HYPERLINK("https://mncourtfraud.com/file/MCRO_27-CR-20-2581_Order-Evaluation for Competency to Proceed (Rule 20.01)_2021-07-19_20251126180534.pdf.ots","MCRO_27-CR-20-2581_Order-Evaluation for Competency to Proceed (Rule 20.01)_2021-07-19_20251126180534.pdf.ots")</f>
        <v>MCRO_27-CR-20-2581_Order-Evaluation for Competency to Proceed (Rule 20.01)_2021-07-19_20251126180534.pdf.ots</v>
      </c>
      <c r="J73" s="7" t="str">
        <f aca="false">HYPERLINK("https://mncourtfraud.com/file/MCRO_27-CR-20-2581_Order-Evaluation for Competency to Proceed (Rule 20.01)_2021-07-19_20251126180534_META.txt","MCRO_27-CR-20-2581_Order-Evaluation for Competency to Proceed (Rule 20.01)_2021-07-19_20251126180534_META.txt")</f>
        <v>MCRO_27-CR-20-2581_Order-Evaluation for Competency to Proceed (Rule 20.01)_2021-07-19_20251126180534_META.txt</v>
      </c>
      <c r="K73" s="7" t="str">
        <f aca="false">HYPERLINK("https://mncourtfraud.com/file/MCRO_27-CR-20-2581_Order-Evaluation for Competency to Proceed (Rule 20.01)_2021-07-19_20251126180534_PDFSIGS.txt","MCRO_27-CR-20-2581_Order-Evaluation for Competency to Proceed (Rule 20.01)_2021-07-19_20251126180534_PDFSIGS.txt")</f>
        <v>MCRO_27-CR-20-2581_Order-Evaluation for Competency to Proceed (Rule 20.01)_2021-07-19_20251126180534_PDFSIGS.txt</v>
      </c>
      <c r="L73" s="7" t="str">
        <f aca="false">HYPERLINK("https://mncourtfraud.com/file/MCRO_27-CR-20-2581_Order-Evaluation_for_Competency_to_Proceed_(Rule_20.01)_2021-07-19_20251126180534.zip","MCRO_27-CR-20-2581_Order-Evaluation_for_Competency_to_Proceed_(Rule_20.01)_2021-07-19_20251126180534.zip")</f>
        <v>MCRO_27-CR-20-2581_Order-Evaluation_for_Competency_to_Proceed_(Rule_20.01)_2021-07-19_20251126180534.zip</v>
      </c>
    </row>
    <row r="74" customFormat="false" ht="18.7" hidden="false" customHeight="true" outlineLevel="0" collapsed="false">
      <c r="A74" s="1" t="n">
        <v>73</v>
      </c>
      <c r="B74" s="7" t="str">
        <f aca="false">HYPERLINK("https://mncourtfraud.com/file/27-CR-20-2581.pdf","27-CR-20-2581")</f>
        <v>27-CR-20-2581</v>
      </c>
      <c r="C74" s="1" t="n">
        <v>1</v>
      </c>
      <c r="D74" s="2" t="s">
        <v>12</v>
      </c>
      <c r="E74" s="8" t="n">
        <v>44439</v>
      </c>
      <c r="F74" s="2" t="s">
        <v>19</v>
      </c>
      <c r="G74" s="7" t="str">
        <f aca="false">HYPERLINK("https://mncourtfraud.com/file/MCRO_27-CR-20-2581_Findings and Order_2021-08-31_20251126180418.pdf","MCRO_27-CR-20-2581_Findings and Order_2021-08-31_20251126180418.pdf")</f>
        <v>MCRO_27-CR-20-2581_Findings and Order_2021-08-31_20251126180418.pdf</v>
      </c>
      <c r="H74" s="2" t="s">
        <v>92</v>
      </c>
      <c r="I74" s="7" t="str">
        <f aca="false">HYPERLINK("https://mncourtfraud.com/file/MCRO_27-CR-20-2581_Findings and Order_2021-08-31_20251126180418.pdf.ots","MCRO_27-CR-20-2581_Findings and Order_2021-08-31_20251126180418.pdf.ots")</f>
        <v>MCRO_27-CR-20-2581_Findings and Order_2021-08-31_20251126180418.pdf.ots</v>
      </c>
      <c r="J74" s="7" t="str">
        <f aca="false">HYPERLINK("https://mncourtfraud.com/file/MCRO_27-CR-20-2581_Findings and Order_2021-08-31_20251126180418_META.txt","MCRO_27-CR-20-2581_Findings and Order_2021-08-31_20251126180418_META.txt")</f>
        <v>MCRO_27-CR-20-2581_Findings and Order_2021-08-31_20251126180418_META.txt</v>
      </c>
      <c r="K74" s="7" t="str">
        <f aca="false">HYPERLINK("https://mncourtfraud.com/file/MCRO_27-CR-20-2581_Findings and Order_2021-08-31_20251126180418_PDFSIGS.txt","MCRO_27-CR-20-2581_Findings and Order_2021-08-31_20251126180418_PDFSIGS.txt")</f>
        <v>MCRO_27-CR-20-2581_Findings and Order_2021-08-31_20251126180418_PDFSIGS.txt</v>
      </c>
      <c r="L74" s="7" t="str">
        <f aca="false">HYPERLINK("https://mncourtfraud.com/file/MCRO_27-CR-20-2581_Findings_and_Order_2021-08-31_20251126180418.zip","MCRO_27-CR-20-2581_Findings_and_Order_2021-08-31_20251126180418.zip")</f>
        <v>MCRO_27-CR-20-2581_Findings_and_Order_2021-08-31_20251126180418.zip</v>
      </c>
    </row>
    <row r="75" customFormat="false" ht="18.7" hidden="false" customHeight="true" outlineLevel="0" collapsed="false">
      <c r="A75" s="1" t="n">
        <v>74</v>
      </c>
      <c r="B75" s="7" t="str">
        <f aca="false">HYPERLINK("https://mncourtfraud.com/file/27-CR-20-2581.pdf","27-CR-20-2581")</f>
        <v>27-CR-20-2581</v>
      </c>
      <c r="C75" s="1" t="n">
        <v>1</v>
      </c>
      <c r="D75" s="2" t="s">
        <v>12</v>
      </c>
      <c r="E75" s="8" t="n">
        <v>44460</v>
      </c>
      <c r="F75" s="2" t="s">
        <v>24</v>
      </c>
      <c r="G75" s="7" t="str">
        <f aca="false">HYPERLINK("https://mncourtfraud.com/file/MCRO_27-CR-20-2581_Order for Conditional Release_2021-09-21_20251126180509.pdf","MCRO_27-CR-20-2581_Order for Conditional Release_2021-09-21_20251126180509.pdf")</f>
        <v>MCRO_27-CR-20-2581_Order for Conditional Release_2021-09-21_20251126180509.pdf</v>
      </c>
      <c r="H75" s="2" t="s">
        <v>93</v>
      </c>
      <c r="I75" s="7" t="str">
        <f aca="false">HYPERLINK("https://mncourtfraud.com/file/MCRO_27-CR-20-2581_Order for Conditional Release_2021-09-21_20251126180509.pdf.ots","MCRO_27-CR-20-2581_Order for Conditional Release_2021-09-21_20251126180509.pdf.ots")</f>
        <v>MCRO_27-CR-20-2581_Order for Conditional Release_2021-09-21_20251126180509.pdf.ots</v>
      </c>
      <c r="J75" s="7" t="str">
        <f aca="false">HYPERLINK("https://mncourtfraud.com/file/MCRO_27-CR-20-2581_Order for Conditional Release_2021-09-21_20251126180509_META.txt","MCRO_27-CR-20-2581_Order for Conditional Release_2021-09-21_20251126180509_META.txt")</f>
        <v>MCRO_27-CR-20-2581_Order for Conditional Release_2021-09-21_20251126180509_META.txt</v>
      </c>
      <c r="K75" s="7" t="str">
        <f aca="false">HYPERLINK("https://mncourtfraud.com/file/MCRO_27-CR-20-2581_Order for Conditional Release_2021-09-21_20251126180509_PDFSIGS.txt","MCRO_27-CR-20-2581_Order for Conditional Release_2021-09-21_20251126180509_PDFSIGS.txt")</f>
        <v>MCRO_27-CR-20-2581_Order for Conditional Release_2021-09-21_20251126180509_PDFSIGS.txt</v>
      </c>
      <c r="L75" s="7" t="str">
        <f aca="false">HYPERLINK("https://mncourtfraud.com/file/MCRO_27-CR-20-2581_Order_for_Conditional_Release_2021-09-21_20251126180509.zip","MCRO_27-CR-20-2581_Order_for_Conditional_Release_2021-09-21_20251126180509.zip")</f>
        <v>MCRO_27-CR-20-2581_Order_for_Conditional_Release_2021-09-21_20251126180509.zip</v>
      </c>
    </row>
    <row r="76" customFormat="false" ht="18.7" hidden="false" customHeight="true" outlineLevel="0" collapsed="false">
      <c r="A76" s="1" t="n">
        <v>75</v>
      </c>
      <c r="B76" s="7" t="str">
        <f aca="false">HYPERLINK("https://mncourtfraud.com/file/27-CR-20-2581.pdf","27-CR-20-2581")</f>
        <v>27-CR-20-2581</v>
      </c>
      <c r="C76" s="1" t="n">
        <v>1</v>
      </c>
      <c r="D76" s="2" t="s">
        <v>12</v>
      </c>
      <c r="E76" s="8" t="n">
        <v>44468</v>
      </c>
      <c r="F76" s="2" t="s">
        <v>24</v>
      </c>
      <c r="G76" s="7" t="str">
        <f aca="false">HYPERLINK("https://mncourtfraud.com/file/MCRO_27-CR-20-2581_Order for Conditional Release_2021-09-29_20251126180519.pdf","MCRO_27-CR-20-2581_Order for Conditional Release_2021-09-29_20251126180519.pdf")</f>
        <v>MCRO_27-CR-20-2581_Order for Conditional Release_2021-09-29_20251126180519.pdf</v>
      </c>
      <c r="H76" s="2" t="s">
        <v>94</v>
      </c>
      <c r="I76" s="7" t="str">
        <f aca="false">HYPERLINK("https://mncourtfraud.com/file/MCRO_27-CR-20-2581_Order for Conditional Release_2021-09-29_20251126180519.pdf.ots","MCRO_27-CR-20-2581_Order for Conditional Release_2021-09-29_20251126180519.pdf.ots")</f>
        <v>MCRO_27-CR-20-2581_Order for Conditional Release_2021-09-29_20251126180519.pdf.ots</v>
      </c>
      <c r="J76" s="7" t="str">
        <f aca="false">HYPERLINK("https://mncourtfraud.com/file/MCRO_27-CR-20-2581_Order for Conditional Release_2021-09-29_20251126180519_META.txt","MCRO_27-CR-20-2581_Order for Conditional Release_2021-09-29_20251126180519_META.txt")</f>
        <v>MCRO_27-CR-20-2581_Order for Conditional Release_2021-09-29_20251126180519_META.txt</v>
      </c>
      <c r="K76" s="7" t="str">
        <f aca="false">HYPERLINK("https://mncourtfraud.com/file/MCRO_27-CR-20-2581_Order for Conditional Release_2021-09-29_20251126180519_PDFSIGS.txt","MCRO_27-CR-20-2581_Order for Conditional Release_2021-09-29_20251126180519_PDFSIGS.txt")</f>
        <v>MCRO_27-CR-20-2581_Order for Conditional Release_2021-09-29_20251126180519_PDFSIGS.txt</v>
      </c>
      <c r="L76" s="7" t="str">
        <f aca="false">HYPERLINK("https://mncourtfraud.com/file/MCRO_27-CR-20-2581_Order_for_Conditional_Release_2021-09-29_20251126180519.zip","MCRO_27-CR-20-2581_Order_for_Conditional_Release_2021-09-29_20251126180519.zip")</f>
        <v>MCRO_27-CR-20-2581_Order_for_Conditional_Release_2021-09-29_20251126180519.zip</v>
      </c>
    </row>
    <row r="77" customFormat="false" ht="18.7" hidden="false" customHeight="true" outlineLevel="0" collapsed="false">
      <c r="A77" s="1" t="n">
        <v>76</v>
      </c>
      <c r="B77" s="7" t="str">
        <f aca="false">HYPERLINK("https://mncourtfraud.com/file/27-CR-20-2581.pdf","27-CR-20-2581")</f>
        <v>27-CR-20-2581</v>
      </c>
      <c r="C77" s="1" t="n">
        <v>1</v>
      </c>
      <c r="D77" s="2" t="s">
        <v>12</v>
      </c>
      <c r="E77" s="8" t="n">
        <v>44543</v>
      </c>
      <c r="F77" s="2" t="s">
        <v>15</v>
      </c>
      <c r="G77" s="7" t="str">
        <f aca="false">HYPERLINK("https://mncourtfraud.com/file/MCRO_27-CR-20-2581_Order-Evaluation for Competency to Proceed (Rule 20.01)_2021-12-13_20251126180544.pdf","MCRO_27-CR-20-2581_Order-Evaluation for Competency to Proceed (Rule 20.01)_2021-12-13_20251126180544.pdf")</f>
        <v>MCRO_27-CR-20-2581_Order-Evaluation for Competency to Proceed (Rule 20.01)_2021-12-13_20251126180544.pdf</v>
      </c>
      <c r="H77" s="2" t="s">
        <v>95</v>
      </c>
      <c r="I77" s="7" t="str">
        <f aca="false">HYPERLINK("https://mncourtfraud.com/file/MCRO_27-CR-20-2581_Order-Evaluation for Competency to Proceed (Rule 20.01)_2021-12-13_20251126180544.pdf.ots","MCRO_27-CR-20-2581_Order-Evaluation for Competency to Proceed (Rule 20.01)_2021-12-13_20251126180544.pdf.ots")</f>
        <v>MCRO_27-CR-20-2581_Order-Evaluation for Competency to Proceed (Rule 20.01)_2021-12-13_20251126180544.pdf.ots</v>
      </c>
      <c r="J77" s="7" t="str">
        <f aca="false">HYPERLINK("https://mncourtfraud.com/file/MCRO_27-CR-20-2581_Order-Evaluation for Competency to Proceed (Rule 20.01)_2021-12-13_20251126180544_META.txt","MCRO_27-CR-20-2581_Order-Evaluation for Competency to Proceed (Rule 20.01)_2021-12-13_20251126180544_META.txt")</f>
        <v>MCRO_27-CR-20-2581_Order-Evaluation for Competency to Proceed (Rule 20.01)_2021-12-13_20251126180544_META.txt</v>
      </c>
      <c r="K77" s="7" t="str">
        <f aca="false">HYPERLINK("https://mncourtfraud.com/file/MCRO_27-CR-20-2581_Order-Evaluation for Competency to Proceed (Rule 20.01)_2021-12-13_20251126180544_PDFSIGS.txt","MCRO_27-CR-20-2581_Order-Evaluation for Competency to Proceed (Rule 20.01)_2021-12-13_20251126180544_PDFSIGS.txt")</f>
        <v>MCRO_27-CR-20-2581_Order-Evaluation for Competency to Proceed (Rule 20.01)_2021-12-13_20251126180544_PDFSIGS.txt</v>
      </c>
      <c r="L77" s="7" t="str">
        <f aca="false">HYPERLINK("https://mncourtfraud.com/file/MCRO_27-CR-20-2581_Order-Evaluation_for_Competency_to_Proceed_(Rule_20.01)_2021-12-13_20251126180544.zip","MCRO_27-CR-20-2581_Order-Evaluation_for_Competency_to_Proceed_(Rule_20.01)_2021-12-13_20251126180544.zip")</f>
        <v>MCRO_27-CR-20-2581_Order-Evaluation_for_Competency_to_Proceed_(Rule_20.01)_2021-12-13_20251126180544.zip</v>
      </c>
    </row>
    <row r="78" customFormat="false" ht="18.7" hidden="false" customHeight="true" outlineLevel="0" collapsed="false">
      <c r="A78" s="1" t="n">
        <v>77</v>
      </c>
      <c r="B78" s="7" t="str">
        <f aca="false">HYPERLINK("https://mncourtfraud.com/file/27-CR-20-2581.pdf","27-CR-20-2581")</f>
        <v>27-CR-20-2581</v>
      </c>
      <c r="C78" s="1" t="n">
        <v>1</v>
      </c>
      <c r="D78" s="2" t="s">
        <v>12</v>
      </c>
      <c r="E78" s="8" t="n">
        <v>44558</v>
      </c>
      <c r="F78" s="2" t="s">
        <v>15</v>
      </c>
      <c r="G78" s="7" t="str">
        <f aca="false">HYPERLINK("https://mncourtfraud.com/file/MCRO_27-CR-20-2581_Order-Evaluation for Competency to Proceed (Rule 20.01)_2021-12-28_20251126180556.pdf","MCRO_27-CR-20-2581_Order-Evaluation for Competency to Proceed (Rule 20.01)_2021-12-28_20251126180556.pdf")</f>
        <v>MCRO_27-CR-20-2581_Order-Evaluation for Competency to Proceed (Rule 20.01)_2021-12-28_20251126180556.pdf</v>
      </c>
      <c r="H78" s="2" t="s">
        <v>96</v>
      </c>
      <c r="I78" s="7" t="str">
        <f aca="false">HYPERLINK("https://mncourtfraud.com/file/MCRO_27-CR-20-2581_Order-Evaluation for Competency to Proceed (Rule 20.01)_2021-12-28_20251126180556.pdf.ots","MCRO_27-CR-20-2581_Order-Evaluation for Competency to Proceed (Rule 20.01)_2021-12-28_20251126180556.pdf.ots")</f>
        <v>MCRO_27-CR-20-2581_Order-Evaluation for Competency to Proceed (Rule 20.01)_2021-12-28_20251126180556.pdf.ots</v>
      </c>
      <c r="J78" s="7" t="str">
        <f aca="false">HYPERLINK("https://mncourtfraud.com/file/MCRO_27-CR-20-2581_Order-Evaluation for Competency to Proceed (Rule 20.01)_2021-12-28_20251126180556_META.txt","MCRO_27-CR-20-2581_Order-Evaluation for Competency to Proceed (Rule 20.01)_2021-12-28_20251126180556_META.txt")</f>
        <v>MCRO_27-CR-20-2581_Order-Evaluation for Competency to Proceed (Rule 20.01)_2021-12-28_20251126180556_META.txt</v>
      </c>
      <c r="K78" s="7" t="str">
        <f aca="false">HYPERLINK("https://mncourtfraud.com/file/MCRO_27-CR-20-2581_Order-Evaluation for Competency to Proceed (Rule 20.01)_2021-12-28_20251126180556_PDFSIGS.txt","MCRO_27-CR-20-2581_Order-Evaluation for Competency to Proceed (Rule 20.01)_2021-12-28_20251126180556_PDFSIGS.txt")</f>
        <v>MCRO_27-CR-20-2581_Order-Evaluation for Competency to Proceed (Rule 20.01)_2021-12-28_20251126180556_PDFSIGS.txt</v>
      </c>
      <c r="L78" s="7" t="str">
        <f aca="false">HYPERLINK("https://mncourtfraud.com/file/MCRO_27-CR-20-2581_Order-Evaluation_for_Competency_to_Proceed_(Rule_20.01)_2021-12-28_20251126180556.zip","MCRO_27-CR-20-2581_Order-Evaluation_for_Competency_to_Proceed_(Rule_20.01)_2021-12-28_20251126180556.zip")</f>
        <v>MCRO_27-CR-20-2581_Order-Evaluation_for_Competency_to_Proceed_(Rule_20.01)_2021-12-28_20251126180556.zip</v>
      </c>
    </row>
    <row r="79" customFormat="false" ht="18.7" hidden="false" customHeight="true" outlineLevel="0" collapsed="false">
      <c r="A79" s="1" t="n">
        <v>78</v>
      </c>
      <c r="B79" s="7" t="str">
        <f aca="false">HYPERLINK("https://mncourtfraud.com/file/27-CR-20-2581.pdf","27-CR-20-2581")</f>
        <v>27-CR-20-2581</v>
      </c>
      <c r="C79" s="1" t="n">
        <v>1</v>
      </c>
      <c r="D79" s="2" t="s">
        <v>12</v>
      </c>
      <c r="E79" s="8" t="n">
        <v>44593</v>
      </c>
      <c r="F79" s="2" t="s">
        <v>19</v>
      </c>
      <c r="G79" s="7" t="str">
        <f aca="false">HYPERLINK("https://mncourtfraud.com/file/MCRO_27-CR-20-2581_Findings and Order_2022-02-01_20251126180358.pdf","MCRO_27-CR-20-2581_Findings and Order_2022-02-01_20251126180358.pdf")</f>
        <v>MCRO_27-CR-20-2581_Findings and Order_2022-02-01_20251126180358.pdf</v>
      </c>
      <c r="H79" s="2" t="s">
        <v>97</v>
      </c>
      <c r="I79" s="7" t="str">
        <f aca="false">HYPERLINK("https://mncourtfraud.com/file/MCRO_27-CR-20-2581_Findings and Order_2022-02-01_20251126180358.pdf.ots","MCRO_27-CR-20-2581_Findings and Order_2022-02-01_20251126180358.pdf.ots")</f>
        <v>MCRO_27-CR-20-2581_Findings and Order_2022-02-01_20251126180358.pdf.ots</v>
      </c>
      <c r="J79" s="7" t="str">
        <f aca="false">HYPERLINK("https://mncourtfraud.com/file/MCRO_27-CR-20-2581_Findings and Order_2022-02-01_20251126180358_META.txt","MCRO_27-CR-20-2581_Findings and Order_2022-02-01_20251126180358_META.txt")</f>
        <v>MCRO_27-CR-20-2581_Findings and Order_2022-02-01_20251126180358_META.txt</v>
      </c>
      <c r="K79" s="7" t="str">
        <f aca="false">HYPERLINK("https://mncourtfraud.com/file/MCRO_27-CR-20-2581_Findings and Order_2022-02-01_20251126180358_PDFSIGS.txt","MCRO_27-CR-20-2581_Findings and Order_2022-02-01_20251126180358_PDFSIGS.txt")</f>
        <v>MCRO_27-CR-20-2581_Findings and Order_2022-02-01_20251126180358_PDFSIGS.txt</v>
      </c>
      <c r="L79" s="7" t="str">
        <f aca="false">HYPERLINK("https://mncourtfraud.com/file/MCRO_27-CR-20-2581_Findings_and_Order_2022-02-01_20251126180358.zip","MCRO_27-CR-20-2581_Findings_and_Order_2022-02-01_20251126180358.zip")</f>
        <v>MCRO_27-CR-20-2581_Findings_and_Order_2022-02-01_20251126180358.zip</v>
      </c>
    </row>
    <row r="80" customFormat="false" ht="18.7" hidden="false" customHeight="true" outlineLevel="0" collapsed="false">
      <c r="A80" s="1" t="n">
        <v>79</v>
      </c>
      <c r="B80" s="7" t="str">
        <f aca="false">HYPERLINK("https://mncourtfraud.com/file/27-CR-20-2581.pdf","27-CR-20-2581")</f>
        <v>27-CR-20-2581</v>
      </c>
      <c r="C80" s="1" t="n">
        <v>1</v>
      </c>
      <c r="D80" s="2" t="s">
        <v>12</v>
      </c>
      <c r="E80" s="8" t="n">
        <v>44692</v>
      </c>
      <c r="F80" s="2" t="s">
        <v>15</v>
      </c>
      <c r="G80" s="7" t="str">
        <f aca="false">HYPERLINK("https://mncourtfraud.com/file/MCRO_27-CR-20-2581_Order-Evaluation for Competency to Proceed (Rule 20.01)_2022-05-11_20251126180606.pdf","MCRO_27-CR-20-2581_Order-Evaluation for Competency to Proceed (Rule 20.01)_2022-05-11_20251126180606.pdf")</f>
        <v>MCRO_27-CR-20-2581_Order-Evaluation for Competency to Proceed (Rule 20.01)_2022-05-11_20251126180606.pdf</v>
      </c>
      <c r="H80" s="2" t="s">
        <v>98</v>
      </c>
      <c r="I80" s="7" t="str">
        <f aca="false">HYPERLINK("https://mncourtfraud.com/file/MCRO_27-CR-20-2581_Order-Evaluation for Competency to Proceed (Rule 20.01)_2022-05-11_20251126180606.pdf.ots","MCRO_27-CR-20-2581_Order-Evaluation for Competency to Proceed (Rule 20.01)_2022-05-11_20251126180606.pdf.ots")</f>
        <v>MCRO_27-CR-20-2581_Order-Evaluation for Competency to Proceed (Rule 20.01)_2022-05-11_20251126180606.pdf.ots</v>
      </c>
      <c r="J80" s="7" t="str">
        <f aca="false">HYPERLINK("https://mncourtfraud.com/file/MCRO_27-CR-20-2581_Order-Evaluation for Competency to Proceed (Rule 20.01)_2022-05-11_20251126180606_META.txt","MCRO_27-CR-20-2581_Order-Evaluation for Competency to Proceed (Rule 20.01)_2022-05-11_20251126180606_META.txt")</f>
        <v>MCRO_27-CR-20-2581_Order-Evaluation for Competency to Proceed (Rule 20.01)_2022-05-11_20251126180606_META.txt</v>
      </c>
      <c r="K80" s="7" t="str">
        <f aca="false">HYPERLINK("https://mncourtfraud.com/file/MCRO_27-CR-20-2581_Order-Evaluation for Competency to Proceed (Rule 20.01)_2022-05-11_20251126180606_PDFSIGS.txt","MCRO_27-CR-20-2581_Order-Evaluation for Competency to Proceed (Rule 20.01)_2022-05-11_20251126180606_PDFSIGS.txt")</f>
        <v>MCRO_27-CR-20-2581_Order-Evaluation for Competency to Proceed (Rule 20.01)_2022-05-11_20251126180606_PDFSIGS.txt</v>
      </c>
      <c r="L80" s="7" t="str">
        <f aca="false">HYPERLINK("https://mncourtfraud.com/file/MCRO_27-CR-20-2581_Order-Evaluation_for_Competency_to_Proceed_(Rule_20.01)_2022-05-11_20251126180606.zip","MCRO_27-CR-20-2581_Order-Evaluation_for_Competency_to_Proceed_(Rule_20.01)_2022-05-11_20251126180606.zip")</f>
        <v>MCRO_27-CR-20-2581_Order-Evaluation_for_Competency_to_Proceed_(Rule_20.01)_2022-05-11_20251126180606.zip</v>
      </c>
    </row>
    <row r="81" customFormat="false" ht="18.7" hidden="false" customHeight="true" outlineLevel="0" collapsed="false">
      <c r="A81" s="1" t="n">
        <v>80</v>
      </c>
      <c r="B81" s="7" t="str">
        <f aca="false">HYPERLINK("https://mncourtfraud.com/file/27-CR-20-2581.pdf","27-CR-20-2581")</f>
        <v>27-CR-20-2581</v>
      </c>
      <c r="C81" s="1" t="n">
        <v>1</v>
      </c>
      <c r="D81" s="2" t="s">
        <v>12</v>
      </c>
      <c r="E81" s="8" t="n">
        <v>44895</v>
      </c>
      <c r="F81" s="2" t="s">
        <v>15</v>
      </c>
      <c r="G81" s="7" t="str">
        <f aca="false">HYPERLINK("https://mncourtfraud.com/file/MCRO_27-CR-20-2581_Order-Evaluation for Competency to Proceed (Rule 20.01)_2022-11-30_20251126180618.pdf","MCRO_27-CR-20-2581_Order-Evaluation for Competency to Proceed (Rule 20.01)_2022-11-30_20251126180618.pdf")</f>
        <v>MCRO_27-CR-20-2581_Order-Evaluation for Competency to Proceed (Rule 20.01)_2022-11-30_20251126180618.pdf</v>
      </c>
      <c r="H81" s="2" t="s">
        <v>99</v>
      </c>
      <c r="I81" s="7" t="str">
        <f aca="false">HYPERLINK("https://mncourtfraud.com/file/MCRO_27-CR-20-2581_Order-Evaluation for Competency to Proceed (Rule 20.01)_2022-11-30_20251126180618.pdf.ots","MCRO_27-CR-20-2581_Order-Evaluation for Competency to Proceed (Rule 20.01)_2022-11-30_20251126180618.pdf.ots")</f>
        <v>MCRO_27-CR-20-2581_Order-Evaluation for Competency to Proceed (Rule 20.01)_2022-11-30_20251126180618.pdf.ots</v>
      </c>
      <c r="J81" s="7" t="str">
        <f aca="false">HYPERLINK("https://mncourtfraud.com/file/MCRO_27-CR-20-2581_Order-Evaluation for Competency to Proceed (Rule 20.01)_2022-11-30_20251126180618_META.txt","MCRO_27-CR-20-2581_Order-Evaluation for Competency to Proceed (Rule 20.01)_2022-11-30_20251126180618_META.txt")</f>
        <v>MCRO_27-CR-20-2581_Order-Evaluation for Competency to Proceed (Rule 20.01)_2022-11-30_20251126180618_META.txt</v>
      </c>
      <c r="K81" s="7" t="str">
        <f aca="false">HYPERLINK("https://mncourtfraud.com/file/MCRO_27-CR-20-2581_Order-Evaluation for Competency to Proceed (Rule 20.01)_2022-11-30_20251126180618_PDFSIGS.txt","MCRO_27-CR-20-2581_Order-Evaluation for Competency to Proceed (Rule 20.01)_2022-11-30_20251126180618_PDFSIGS.txt")</f>
        <v>MCRO_27-CR-20-2581_Order-Evaluation for Competency to Proceed (Rule 20.01)_2022-11-30_20251126180618_PDFSIGS.txt</v>
      </c>
      <c r="L81" s="7" t="str">
        <f aca="false">HYPERLINK("https://mncourtfraud.com/file/MCRO_27-CR-20-2581_Order-Evaluation_for_Competency_to_Proceed_(Rule_20.01)_2022-11-30_20251126180618.zip","MCRO_27-CR-20-2581_Order-Evaluation_for_Competency_to_Proceed_(Rule_20.01)_2022-11-30_20251126180618.zip")</f>
        <v>MCRO_27-CR-20-2581_Order-Evaluation_for_Competency_to_Proceed_(Rule_20.01)_2022-11-30_20251126180618.zip</v>
      </c>
    </row>
    <row r="82" customFormat="false" ht="18.7" hidden="false" customHeight="true" outlineLevel="0" collapsed="false">
      <c r="A82" s="1" t="n">
        <v>81</v>
      </c>
      <c r="B82" s="7" t="str">
        <f aca="false">HYPERLINK("https://mncourtfraud.com/file/27-CR-20-2581.pdf","27-CR-20-2581")</f>
        <v>27-CR-20-2581</v>
      </c>
      <c r="C82" s="1" t="n">
        <v>1</v>
      </c>
      <c r="D82" s="2" t="s">
        <v>12</v>
      </c>
      <c r="E82" s="8" t="n">
        <v>45048</v>
      </c>
      <c r="F82" s="2" t="s">
        <v>80</v>
      </c>
      <c r="G82" s="7" t="str">
        <f aca="false">HYPERLINK("https://mncourtfraud.com/file/MCRO_27-CR-20-2581_Finding of Incompetency and Order_2023-05-02_20251126180343.pdf","MCRO_27-CR-20-2581_Finding of Incompetency and Order_2023-05-02_20251126180343.pdf")</f>
        <v>MCRO_27-CR-20-2581_Finding of Incompetency and Order_2023-05-02_20251126180343.pdf</v>
      </c>
      <c r="H82" s="2" t="s">
        <v>100</v>
      </c>
      <c r="I82" s="7" t="str">
        <f aca="false">HYPERLINK("https://mncourtfraud.com/file/MCRO_27-CR-20-2581_Finding of Incompetency and Order_2023-05-02_20251126180343.pdf.ots","MCRO_27-CR-20-2581_Finding of Incompetency and Order_2023-05-02_20251126180343.pdf.ots")</f>
        <v>MCRO_27-CR-20-2581_Finding of Incompetency and Order_2023-05-02_20251126180343.pdf.ots</v>
      </c>
      <c r="J82" s="7" t="str">
        <f aca="false">HYPERLINK("https://mncourtfraud.com/file/MCRO_27-CR-20-2581_Finding of Incompetency and Order_2023-05-02_20251126180343_META.txt","MCRO_27-CR-20-2581_Finding of Incompetency and Order_2023-05-02_20251126180343_META.txt")</f>
        <v>MCRO_27-CR-20-2581_Finding of Incompetency and Order_2023-05-02_20251126180343_META.txt</v>
      </c>
      <c r="K82" s="7" t="str">
        <f aca="false">HYPERLINK("https://mncourtfraud.com/file/MCRO_27-CR-20-2581_Finding of Incompetency and Order_2023-05-02_20251126180343_PDFSIGS.txt","MCRO_27-CR-20-2581_Finding of Incompetency and Order_2023-05-02_20251126180343_PDFSIGS.txt")</f>
        <v>MCRO_27-CR-20-2581_Finding of Incompetency and Order_2023-05-02_20251126180343_PDFSIGS.txt</v>
      </c>
      <c r="L82" s="7" t="str">
        <f aca="false">HYPERLINK("https://mncourtfraud.com/file/MCRO_27-CR-20-2581_Finding_of_Incompetency_and_Order_2023-05-02_20251126180343.zip","MCRO_27-CR-20-2581_Finding_of_Incompetency_and_Order_2023-05-02_20251126180343.zip")</f>
        <v>MCRO_27-CR-20-2581_Finding_of_Incompetency_and_Order_2023-05-02_20251126180343.zip</v>
      </c>
    </row>
    <row r="83" customFormat="false" ht="18.7" hidden="false" customHeight="true" outlineLevel="0" collapsed="false">
      <c r="A83" s="1" t="n">
        <v>82</v>
      </c>
      <c r="B83" s="7" t="str">
        <f aca="false">HYPERLINK("https://mncourtfraud.com/file/27-CR-20-2581.pdf","27-CR-20-2581")</f>
        <v>27-CR-20-2581</v>
      </c>
      <c r="C83" s="1" t="n">
        <v>1</v>
      </c>
      <c r="D83" s="2" t="s">
        <v>12</v>
      </c>
      <c r="E83" s="8" t="n">
        <v>45093</v>
      </c>
      <c r="F83" s="2" t="s">
        <v>82</v>
      </c>
      <c r="G83" s="7" t="str">
        <f aca="false">HYPERLINK("https://mncourtfraud.com/file/MCRO_27-CR-20-2581_Notice of Case Reassignment_2023-06-16_20251126180444.pdf","MCRO_27-CR-20-2581_Notice of Case Reassignment_2023-06-16_20251126180444.pdf")</f>
        <v>MCRO_27-CR-20-2581_Notice of Case Reassignment_2023-06-16_20251126180444.pdf</v>
      </c>
      <c r="H83" s="2" t="s">
        <v>101</v>
      </c>
      <c r="I83" s="7" t="str">
        <f aca="false">HYPERLINK("https://mncourtfraud.com/file/MCRO_27-CR-20-2581_Notice of Case Reassignment_2023-06-16_20251126180444.pdf.ots","MCRO_27-CR-20-2581_Notice of Case Reassignment_2023-06-16_20251126180444.pdf.ots")</f>
        <v>MCRO_27-CR-20-2581_Notice of Case Reassignment_2023-06-16_20251126180444.pdf.ots</v>
      </c>
      <c r="J83" s="7" t="str">
        <f aca="false">HYPERLINK("https://mncourtfraud.com/file/MCRO_27-CR-20-2581_Notice of Case Reassignment_2023-06-16_20251126180444_META.txt","MCRO_27-CR-20-2581_Notice of Case Reassignment_2023-06-16_20251126180444_META.txt")</f>
        <v>MCRO_27-CR-20-2581_Notice of Case Reassignment_2023-06-16_20251126180444_META.txt</v>
      </c>
      <c r="K83" s="7" t="str">
        <f aca="false">HYPERLINK("https://mncourtfraud.com/file/MCRO_27-CR-20-2581_Notice of Case Reassignment_2023-06-16_20251126180444_PDFSIGS.txt","MCRO_27-CR-20-2581_Notice of Case Reassignment_2023-06-16_20251126180444_PDFSIGS.txt")</f>
        <v>MCRO_27-CR-20-2581_Notice of Case Reassignment_2023-06-16_20251126180444_PDFSIGS.txt</v>
      </c>
      <c r="L83" s="7" t="str">
        <f aca="false">HYPERLINK("https://mncourtfraud.com/file/MCRO_27-CR-20-2581_Notice_of_Case_Reassignment_2023-06-16_20251126180444.zip","MCRO_27-CR-20-2581_Notice_of_Case_Reassignment_2023-06-16_20251126180444.zip")</f>
        <v>MCRO_27-CR-20-2581_Notice_of_Case_Reassignment_2023-06-16_20251126180444.zip</v>
      </c>
    </row>
    <row r="84" customFormat="false" ht="18.7" hidden="false" customHeight="true" outlineLevel="0" collapsed="false">
      <c r="A84" s="1" t="n">
        <v>83</v>
      </c>
      <c r="B84" s="7" t="str">
        <f aca="false">HYPERLINK("https://mncourtfraud.com/file/27-CR-20-2581.pdf","27-CR-20-2581")</f>
        <v>27-CR-20-2581</v>
      </c>
      <c r="C84" s="1" t="n">
        <v>1</v>
      </c>
      <c r="D84" s="2" t="s">
        <v>12</v>
      </c>
      <c r="E84" s="8" t="n">
        <v>45160</v>
      </c>
      <c r="F84" s="2" t="s">
        <v>15</v>
      </c>
      <c r="G84" s="7" t="str">
        <f aca="false">HYPERLINK("https://mncourtfraud.com/file/MCRO_27-CR-20-2581_Order-Evaluation for Competency to Proceed (Rule 20.01)_2023-08-22_20251126180632.pdf","MCRO_27-CR-20-2581_Order-Evaluation for Competency to Proceed (Rule 20.01)_2023-08-22_20251126180632.pdf")</f>
        <v>MCRO_27-CR-20-2581_Order-Evaluation for Competency to Proceed (Rule 20.01)_2023-08-22_20251126180632.pdf</v>
      </c>
      <c r="H84" s="2" t="s">
        <v>102</v>
      </c>
      <c r="I84" s="7" t="str">
        <f aca="false">HYPERLINK("https://mncourtfraud.com/file/MCRO_27-CR-20-2581_Order-Evaluation for Competency to Proceed (Rule 20.01)_2023-08-22_20251126180632.pdf.ots","MCRO_27-CR-20-2581_Order-Evaluation for Competency to Proceed (Rule 20.01)_2023-08-22_20251126180632.pdf.ots")</f>
        <v>MCRO_27-CR-20-2581_Order-Evaluation for Competency to Proceed (Rule 20.01)_2023-08-22_20251126180632.pdf.ots</v>
      </c>
      <c r="J84" s="7" t="str">
        <f aca="false">HYPERLINK("https://mncourtfraud.com/file/MCRO_27-CR-20-2581_Order-Evaluation for Competency to Proceed (Rule 20.01)_2023-08-22_20251126180632_META.txt","MCRO_27-CR-20-2581_Order-Evaluation for Competency to Proceed (Rule 20.01)_2023-08-22_20251126180632_META.txt")</f>
        <v>MCRO_27-CR-20-2581_Order-Evaluation for Competency to Proceed (Rule 20.01)_2023-08-22_20251126180632_META.txt</v>
      </c>
      <c r="K84" s="7" t="str">
        <f aca="false">HYPERLINK("https://mncourtfraud.com/file/MCRO_27-CR-20-2581_Order-Evaluation for Competency to Proceed (Rule 20.01)_2023-08-22_20251126180632_PDFSIGS.txt","MCRO_27-CR-20-2581_Order-Evaluation for Competency to Proceed (Rule 20.01)_2023-08-22_20251126180632_PDFSIGS.txt")</f>
        <v>MCRO_27-CR-20-2581_Order-Evaluation for Competency to Proceed (Rule 20.01)_2023-08-22_20251126180632_PDFSIGS.txt</v>
      </c>
      <c r="L84" s="7" t="str">
        <f aca="false">HYPERLINK("https://mncourtfraud.com/file/MCRO_27-CR-20-2581_Order-Evaluation_for_Competency_to_Proceed_(Rule_20.01)_2023-08-22_20251126180632.zip","MCRO_27-CR-20-2581_Order-Evaluation_for_Competency_to_Proceed_(Rule_20.01)_2023-08-22_20251126180632.zip")</f>
        <v>MCRO_27-CR-20-2581_Order-Evaluation_for_Competency_to_Proceed_(Rule_20.01)_2023-08-22_20251126180632.zip</v>
      </c>
    </row>
    <row r="85" customFormat="false" ht="18.7" hidden="false" customHeight="true" outlineLevel="0" collapsed="false">
      <c r="A85" s="1" t="n">
        <v>84</v>
      </c>
      <c r="B85" s="7" t="str">
        <f aca="false">HYPERLINK("https://mncourtfraud.com/file/27-CR-20-5618.pdf","27-CR-20-5618")</f>
        <v>27-CR-20-5618</v>
      </c>
      <c r="C85" s="1" t="n">
        <v>1</v>
      </c>
      <c r="D85" s="2" t="s">
        <v>12</v>
      </c>
      <c r="E85" s="8" t="n">
        <v>43902</v>
      </c>
      <c r="F85" s="2" t="s">
        <v>15</v>
      </c>
      <c r="G85" s="7" t="str">
        <f aca="false">HYPERLINK("https://mncourtfraud.com/file/MCRO_27-CR-20-5618_Order-Evaluation for Competency to Proceed (Rule 20.01)_2020-03-12_20251126181032.pdf","MCRO_27-CR-20-5618_Order-Evaluation for Competency to Proceed (Rule 20.01)_2020-03-12_20251126181032.pdf")</f>
        <v>MCRO_27-CR-20-5618_Order-Evaluation for Competency to Proceed (Rule 20.01)_2020-03-12_20251126181032.pdf</v>
      </c>
      <c r="H85" s="2" t="s">
        <v>103</v>
      </c>
      <c r="I85" s="7" t="str">
        <f aca="false">HYPERLINK("https://mncourtfraud.com/file/MCRO_27-CR-20-5618_Order-Evaluation for Competency to Proceed (Rule 20.01)_2020-03-12_20251126181032.pdf.ots","MCRO_27-CR-20-5618_Order-Evaluation for Competency to Proceed (Rule 20.01)_2020-03-12_20251126181032.pdf.ots")</f>
        <v>MCRO_27-CR-20-5618_Order-Evaluation for Competency to Proceed (Rule 20.01)_2020-03-12_20251126181032.pdf.ots</v>
      </c>
      <c r="J85" s="7" t="str">
        <f aca="false">HYPERLINK("https://mncourtfraud.com/file/MCRO_27-CR-20-5618_Order-Evaluation for Competency to Proceed (Rule 20.01)_2020-03-12_20251126181032_META.txt","MCRO_27-CR-20-5618_Order-Evaluation for Competency to Proceed (Rule 20.01)_2020-03-12_20251126181032_META.txt")</f>
        <v>MCRO_27-CR-20-5618_Order-Evaluation for Competency to Proceed (Rule 20.01)_2020-03-12_20251126181032_META.txt</v>
      </c>
      <c r="K85" s="7" t="str">
        <f aca="false">HYPERLINK("https://mncourtfraud.com/file/MCRO_27-CR-20-5618_Order-Evaluation for Competency to Proceed (Rule 20.01)_2020-03-12_20251126181032_PDFSIGS.txt","MCRO_27-CR-20-5618_Order-Evaluation for Competency to Proceed (Rule 20.01)_2020-03-12_20251126181032_PDFSIGS.txt")</f>
        <v>MCRO_27-CR-20-5618_Order-Evaluation for Competency to Proceed (Rule 20.01)_2020-03-12_20251126181032_PDFSIGS.txt</v>
      </c>
      <c r="L85" s="7" t="str">
        <f aca="false">HYPERLINK("https://mncourtfraud.com/file/MCRO_27-CR-20-5618_Order-Evaluation_for_Competency_to_Proceed_(Rule_20.01)_2020-03-12_20251126181032.zip","MCRO_27-CR-20-5618_Order-Evaluation_for_Competency_to_Proceed_(Rule_20.01)_2020-03-12_20251126181032.zip")</f>
        <v>MCRO_27-CR-20-5618_Order-Evaluation_for_Competency_to_Proceed_(Rule_20.01)_2020-03-12_20251126181032.zip</v>
      </c>
    </row>
    <row r="86" customFormat="false" ht="18.7" hidden="false" customHeight="true" outlineLevel="0" collapsed="false">
      <c r="A86" s="1" t="n">
        <v>85</v>
      </c>
      <c r="B86" s="7" t="str">
        <f aca="false">HYPERLINK("https://mncourtfraud.com/file/27-CR-20-5618.pdf","27-CR-20-5618")</f>
        <v>27-CR-20-5618</v>
      </c>
      <c r="C86" s="1" t="n">
        <v>1</v>
      </c>
      <c r="D86" s="2" t="s">
        <v>12</v>
      </c>
      <c r="E86" s="8" t="n">
        <v>43970</v>
      </c>
      <c r="F86" s="2" t="s">
        <v>17</v>
      </c>
      <c r="G86" s="7" t="str">
        <f aca="false">HYPERLINK("https://mncourtfraud.com/file/MCRO_27-CR-20-5618_Returned Mail_2020-05-19_20251126181057.pdf","MCRO_27-CR-20-5618_Returned Mail_2020-05-19_20251126181057.pdf")</f>
        <v>MCRO_27-CR-20-5618_Returned Mail_2020-05-19_20251126181057.pdf</v>
      </c>
      <c r="H86" s="2" t="s">
        <v>104</v>
      </c>
      <c r="I86" s="7" t="str">
        <f aca="false">HYPERLINK("https://mncourtfraud.com/file/MCRO_27-CR-20-5618_Returned Mail_2020-05-19_20251126181057.pdf.ots","MCRO_27-CR-20-5618_Returned Mail_2020-05-19_20251126181057.pdf.ots")</f>
        <v>MCRO_27-CR-20-5618_Returned Mail_2020-05-19_20251126181057.pdf.ots</v>
      </c>
      <c r="J86" s="7" t="str">
        <f aca="false">HYPERLINK("https://mncourtfraud.com/file/MCRO_27-CR-20-5618_Returned Mail_2020-05-19_20251126181057_META.txt","MCRO_27-CR-20-5618_Returned Mail_2020-05-19_20251126181057_META.txt")</f>
        <v>MCRO_27-CR-20-5618_Returned Mail_2020-05-19_20251126181057_META.txt</v>
      </c>
      <c r="K86" s="7" t="str">
        <f aca="false">HYPERLINK("https://mncourtfraud.com/file/MCRO_27-CR-20-5618_Returned Mail_2020-05-19_20251126181057_PDFSIGS.txt","MCRO_27-CR-20-5618_Returned Mail_2020-05-19_20251126181057_PDFSIGS.txt")</f>
        <v>MCRO_27-CR-20-5618_Returned Mail_2020-05-19_20251126181057_PDFSIGS.txt</v>
      </c>
      <c r="L86" s="7" t="str">
        <f aca="false">HYPERLINK("https://mncourtfraud.com/file/MCRO_27-CR-20-5618_Returned_Mail_2020-05-19_20251126181057.zip","MCRO_27-CR-20-5618_Returned_Mail_2020-05-19_20251126181057.zip")</f>
        <v>MCRO_27-CR-20-5618_Returned_Mail_2020-05-19_20251126181057.zip</v>
      </c>
    </row>
    <row r="87" customFormat="false" ht="18.7" hidden="false" customHeight="true" outlineLevel="0" collapsed="false">
      <c r="A87" s="1" t="n">
        <v>86</v>
      </c>
      <c r="B87" s="7" t="str">
        <f aca="false">HYPERLINK("https://mncourtfraud.com/file/27-CR-20-5618.pdf","27-CR-20-5618")</f>
        <v>27-CR-20-5618</v>
      </c>
      <c r="C87" s="1" t="n">
        <v>1</v>
      </c>
      <c r="D87" s="2" t="s">
        <v>12</v>
      </c>
      <c r="E87" s="8" t="n">
        <v>44103</v>
      </c>
      <c r="F87" s="2" t="s">
        <v>19</v>
      </c>
      <c r="G87" s="7" t="str">
        <f aca="false">HYPERLINK("https://mncourtfraud.com/file/MCRO_27-CR-20-5618_Findings and Order_2020-09-29_20251126180807.pdf","MCRO_27-CR-20-5618_Findings and Order_2020-09-29_20251126180807.pdf")</f>
        <v>MCRO_27-CR-20-5618_Findings and Order_2020-09-29_20251126180807.pdf</v>
      </c>
      <c r="H87" s="2" t="s">
        <v>105</v>
      </c>
      <c r="I87" s="7" t="str">
        <f aca="false">HYPERLINK("https://mncourtfraud.com/file/MCRO_27-CR-20-5618_Findings and Order_2020-09-29_20251126180807.pdf.ots","MCRO_27-CR-20-5618_Findings and Order_2020-09-29_20251126180807.pdf.ots")</f>
        <v>MCRO_27-CR-20-5618_Findings and Order_2020-09-29_20251126180807.pdf.ots</v>
      </c>
      <c r="J87" s="7" t="str">
        <f aca="false">HYPERLINK("https://mncourtfraud.com/file/MCRO_27-CR-20-5618_Findings and Order_2020-09-29_20251126180807_META.txt","MCRO_27-CR-20-5618_Findings and Order_2020-09-29_20251126180807_META.txt")</f>
        <v>MCRO_27-CR-20-5618_Findings and Order_2020-09-29_20251126180807_META.txt</v>
      </c>
      <c r="K87" s="7" t="str">
        <f aca="false">HYPERLINK("https://mncourtfraud.com/file/MCRO_27-CR-20-5618_Findings and Order_2020-09-29_20251126180807_PDFSIGS.txt","MCRO_27-CR-20-5618_Findings and Order_2020-09-29_20251126180807_PDFSIGS.txt")</f>
        <v>MCRO_27-CR-20-5618_Findings and Order_2020-09-29_20251126180807_PDFSIGS.txt</v>
      </c>
      <c r="L87" s="7" t="str">
        <f aca="false">HYPERLINK("https://mncourtfraud.com/file/MCRO_27-CR-20-5618_Findings_and_Order_2020-09-29_20251126180807.zip","MCRO_27-CR-20-5618_Findings_and_Order_2020-09-29_20251126180807.zip")</f>
        <v>MCRO_27-CR-20-5618_Findings_and_Order_2020-09-29_20251126180807.zip</v>
      </c>
    </row>
    <row r="88" customFormat="false" ht="18.7" hidden="false" customHeight="true" outlineLevel="0" collapsed="false">
      <c r="A88" s="1" t="n">
        <v>87</v>
      </c>
      <c r="B88" s="7" t="str">
        <f aca="false">HYPERLINK("https://mncourtfraud.com/file/27-CR-20-5618.pdf","27-CR-20-5618")</f>
        <v>27-CR-20-5618</v>
      </c>
      <c r="C88" s="1" t="n">
        <v>1</v>
      </c>
      <c r="D88" s="2" t="s">
        <v>12</v>
      </c>
      <c r="E88" s="8" t="n">
        <v>44225</v>
      </c>
      <c r="F88" s="2" t="s">
        <v>15</v>
      </c>
      <c r="G88" s="7" t="str">
        <f aca="false">HYPERLINK("https://mncourtfraud.com/file/MCRO_27-CR-20-5618_Order-Evaluation for Competency to Proceed (Rule 20.01)_2021-01-29_20251126181045.pdf","MCRO_27-CR-20-5618_Order-Evaluation for Competency to Proceed (Rule 20.01)_2021-01-29_20251126181045.pdf")</f>
        <v>MCRO_27-CR-20-5618_Order-Evaluation for Competency to Proceed (Rule 20.01)_2021-01-29_20251126181045.pdf</v>
      </c>
      <c r="H88" s="2" t="s">
        <v>106</v>
      </c>
      <c r="I88" s="7" t="str">
        <f aca="false">HYPERLINK("https://mncourtfraud.com/file/MCRO_27-CR-20-5618_Order-Evaluation for Competency to Proceed (Rule 20.01)_2021-01-29_20251126181045.pdf.ots","MCRO_27-CR-20-5618_Order-Evaluation for Competency to Proceed (Rule 20.01)_2021-01-29_20251126181045.pdf.ots")</f>
        <v>MCRO_27-CR-20-5618_Order-Evaluation for Competency to Proceed (Rule 20.01)_2021-01-29_20251126181045.pdf.ots</v>
      </c>
      <c r="J88" s="7" t="str">
        <f aca="false">HYPERLINK("https://mncourtfraud.com/file/MCRO_27-CR-20-5618_Order-Evaluation for Competency to Proceed (Rule 20.01)_2021-01-29_20251126181045_META.txt","MCRO_27-CR-20-5618_Order-Evaluation for Competency to Proceed (Rule 20.01)_2021-01-29_20251126181045_META.txt")</f>
        <v>MCRO_27-CR-20-5618_Order-Evaluation for Competency to Proceed (Rule 20.01)_2021-01-29_20251126181045_META.txt</v>
      </c>
      <c r="K88" s="7" t="str">
        <f aca="false">HYPERLINK("https://mncourtfraud.com/file/MCRO_27-CR-20-5618_Order-Evaluation for Competency to Proceed (Rule 20.01)_2021-01-29_20251126181045_PDFSIGS.txt","MCRO_27-CR-20-5618_Order-Evaluation for Competency to Proceed (Rule 20.01)_2021-01-29_20251126181045_PDFSIGS.txt")</f>
        <v>MCRO_27-CR-20-5618_Order-Evaluation for Competency to Proceed (Rule 20.01)_2021-01-29_20251126181045_PDFSIGS.txt</v>
      </c>
      <c r="L88" s="7" t="str">
        <f aca="false">HYPERLINK("https://mncourtfraud.com/file/MCRO_27-CR-20-5618_Order-Evaluation_for_Competency_to_Proceed_(Rule_20.01)_2021-01-29_20251126181045.zip","MCRO_27-CR-20-5618_Order-Evaluation_for_Competency_to_Proceed_(Rule_20.01)_2021-01-29_20251126181045.zip")</f>
        <v>MCRO_27-CR-20-5618_Order-Evaluation_for_Competency_to_Proceed_(Rule_20.01)_2021-01-29_20251126181045.zip</v>
      </c>
    </row>
    <row r="89" customFormat="false" ht="18.7" hidden="false" customHeight="true" outlineLevel="0" collapsed="false">
      <c r="A89" s="1" t="n">
        <v>88</v>
      </c>
      <c r="B89" s="7" t="str">
        <f aca="false">HYPERLINK("https://mncourtfraud.com/file/27-CR-20-5618.pdf","27-CR-20-5618")</f>
        <v>27-CR-20-5618</v>
      </c>
      <c r="C89" s="1" t="n">
        <v>1</v>
      </c>
      <c r="D89" s="2" t="s">
        <v>12</v>
      </c>
      <c r="E89" s="8" t="n">
        <v>44396</v>
      </c>
      <c r="F89" s="2" t="s">
        <v>15</v>
      </c>
      <c r="G89" s="7" t="str">
        <f aca="false">HYPERLINK("https://mncourtfraud.com/file/MCRO_27-CR-20-5618_Order-Evaluation for Competency to Proceed (Rule 20.01)_2021-07-19_20251126180920.pdf","MCRO_27-CR-20-5618_Order-Evaluation for Competency to Proceed (Rule 20.01)_2021-07-19_20251126180920.pdf")</f>
        <v>MCRO_27-CR-20-5618_Order-Evaluation for Competency to Proceed (Rule 20.01)_2021-07-19_20251126180920.pdf</v>
      </c>
      <c r="H89" s="2" t="s">
        <v>107</v>
      </c>
      <c r="I89" s="7" t="str">
        <f aca="false">HYPERLINK("https://mncourtfraud.com/file/MCRO_27-CR-20-5618_Order-Evaluation for Competency to Proceed (Rule 20.01)_2021-07-19_20251126180920.pdf.ots","MCRO_27-CR-20-5618_Order-Evaluation for Competency to Proceed (Rule 20.01)_2021-07-19_20251126180920.pdf.ots")</f>
        <v>MCRO_27-CR-20-5618_Order-Evaluation for Competency to Proceed (Rule 20.01)_2021-07-19_20251126180920.pdf.ots</v>
      </c>
      <c r="J89" s="7" t="str">
        <f aca="false">HYPERLINK("https://mncourtfraud.com/file/MCRO_27-CR-20-5618_Order-Evaluation for Competency to Proceed (Rule 20.01)_2021-07-19_20251126180920_META.txt","MCRO_27-CR-20-5618_Order-Evaluation for Competency to Proceed (Rule 20.01)_2021-07-19_20251126180920_META.txt")</f>
        <v>MCRO_27-CR-20-5618_Order-Evaluation for Competency to Proceed (Rule 20.01)_2021-07-19_20251126180920_META.txt</v>
      </c>
      <c r="K89" s="7" t="str">
        <f aca="false">HYPERLINK("https://mncourtfraud.com/file/MCRO_27-CR-20-5618_Order-Evaluation for Competency to Proceed (Rule 20.01)_2021-07-19_20251126180920_PDFSIGS.txt","MCRO_27-CR-20-5618_Order-Evaluation for Competency to Proceed (Rule 20.01)_2021-07-19_20251126180920_PDFSIGS.txt")</f>
        <v>MCRO_27-CR-20-5618_Order-Evaluation for Competency to Proceed (Rule 20.01)_2021-07-19_20251126180920_PDFSIGS.txt</v>
      </c>
      <c r="L89" s="7" t="str">
        <f aca="false">HYPERLINK("https://mncourtfraud.com/file/MCRO_27-CR-20-5618_Order-Evaluation_for_Competency_to_Proceed_(Rule_20.01)_2021-07-19_20251126180920.zip","MCRO_27-CR-20-5618_Order-Evaluation_for_Competency_to_Proceed_(Rule_20.01)_2021-07-19_20251126180920.zip")</f>
        <v>MCRO_27-CR-20-5618_Order-Evaluation_for_Competency_to_Proceed_(Rule_20.01)_2021-07-19_20251126180920.zip</v>
      </c>
    </row>
    <row r="90" customFormat="false" ht="18.7" hidden="false" customHeight="true" outlineLevel="0" collapsed="false">
      <c r="A90" s="1" t="n">
        <v>89</v>
      </c>
      <c r="B90" s="7" t="str">
        <f aca="false">HYPERLINK("https://mncourtfraud.com/file/27-CR-20-5618.pdf","27-CR-20-5618")</f>
        <v>27-CR-20-5618</v>
      </c>
      <c r="C90" s="1" t="n">
        <v>1</v>
      </c>
      <c r="D90" s="2" t="s">
        <v>12</v>
      </c>
      <c r="E90" s="8" t="n">
        <v>44439</v>
      </c>
      <c r="F90" s="2" t="s">
        <v>19</v>
      </c>
      <c r="G90" s="7" t="str">
        <f aca="false">HYPERLINK("https://mncourtfraud.com/file/MCRO_27-CR-20-5618_Findings and Order_2021-08-31_20251126180821.pdf","MCRO_27-CR-20-5618_Findings and Order_2021-08-31_20251126180821.pdf")</f>
        <v>MCRO_27-CR-20-5618_Findings and Order_2021-08-31_20251126180821.pdf</v>
      </c>
      <c r="H90" s="2" t="s">
        <v>108</v>
      </c>
      <c r="I90" s="7" t="str">
        <f aca="false">HYPERLINK("https://mncourtfraud.com/file/MCRO_27-CR-20-5618_Findings and Order_2021-08-31_20251126180821.pdf.ots","MCRO_27-CR-20-5618_Findings and Order_2021-08-31_20251126180821.pdf.ots")</f>
        <v>MCRO_27-CR-20-5618_Findings and Order_2021-08-31_20251126180821.pdf.ots</v>
      </c>
      <c r="J90" s="7" t="str">
        <f aca="false">HYPERLINK("https://mncourtfraud.com/file/MCRO_27-CR-20-5618_Findings and Order_2021-08-31_20251126180821_META.txt","MCRO_27-CR-20-5618_Findings and Order_2021-08-31_20251126180821_META.txt")</f>
        <v>MCRO_27-CR-20-5618_Findings and Order_2021-08-31_20251126180821_META.txt</v>
      </c>
      <c r="K90" s="7" t="str">
        <f aca="false">HYPERLINK("https://mncourtfraud.com/file/MCRO_27-CR-20-5618_Findings and Order_2021-08-31_20251126180821_PDFSIGS.txt","MCRO_27-CR-20-5618_Findings and Order_2021-08-31_20251126180821_PDFSIGS.txt")</f>
        <v>MCRO_27-CR-20-5618_Findings and Order_2021-08-31_20251126180821_PDFSIGS.txt</v>
      </c>
      <c r="L90" s="7" t="str">
        <f aca="false">HYPERLINK("https://mncourtfraud.com/file/MCRO_27-CR-20-5618_Findings_and_Order_2021-08-31_20251126180821.zip","MCRO_27-CR-20-5618_Findings_and_Order_2021-08-31_20251126180821.zip")</f>
        <v>MCRO_27-CR-20-5618_Findings_and_Order_2021-08-31_20251126180821.zip</v>
      </c>
    </row>
    <row r="91" customFormat="false" ht="18.7" hidden="false" customHeight="true" outlineLevel="0" collapsed="false">
      <c r="A91" s="1" t="n">
        <v>90</v>
      </c>
      <c r="B91" s="7" t="str">
        <f aca="false">HYPERLINK("https://mncourtfraud.com/file/27-CR-20-5618.pdf","27-CR-20-5618")</f>
        <v>27-CR-20-5618</v>
      </c>
      <c r="C91" s="1" t="n">
        <v>1</v>
      </c>
      <c r="D91" s="2" t="s">
        <v>12</v>
      </c>
      <c r="E91" s="8" t="n">
        <v>44460</v>
      </c>
      <c r="F91" s="2" t="s">
        <v>24</v>
      </c>
      <c r="G91" s="7" t="str">
        <f aca="false">HYPERLINK("https://mncourtfraud.com/file/MCRO_27-CR-20-5618_Order for Conditional Release_2021-09-21_20251126180857.pdf","MCRO_27-CR-20-5618_Order for Conditional Release_2021-09-21_20251126180857.pdf")</f>
        <v>MCRO_27-CR-20-5618_Order for Conditional Release_2021-09-21_20251126180857.pdf</v>
      </c>
      <c r="H91" s="2" t="s">
        <v>109</v>
      </c>
      <c r="I91" s="7" t="str">
        <f aca="false">HYPERLINK("https://mncourtfraud.com/file/MCRO_27-CR-20-5618_Order for Conditional Release_2021-09-21_20251126180857.pdf.ots","MCRO_27-CR-20-5618_Order for Conditional Release_2021-09-21_20251126180857.pdf.ots")</f>
        <v>MCRO_27-CR-20-5618_Order for Conditional Release_2021-09-21_20251126180857.pdf.ots</v>
      </c>
      <c r="J91" s="7" t="str">
        <f aca="false">HYPERLINK("https://mncourtfraud.com/file/MCRO_27-CR-20-5618_Order for Conditional Release_2021-09-21_20251126180857_META.txt","MCRO_27-CR-20-5618_Order for Conditional Release_2021-09-21_20251126180857_META.txt")</f>
        <v>MCRO_27-CR-20-5618_Order for Conditional Release_2021-09-21_20251126180857_META.txt</v>
      </c>
      <c r="K91" s="7" t="str">
        <f aca="false">HYPERLINK("https://mncourtfraud.com/file/MCRO_27-CR-20-5618_Order for Conditional Release_2021-09-21_20251126180857_PDFSIGS.txt","MCRO_27-CR-20-5618_Order for Conditional Release_2021-09-21_20251126180857_PDFSIGS.txt")</f>
        <v>MCRO_27-CR-20-5618_Order for Conditional Release_2021-09-21_20251126180857_PDFSIGS.txt</v>
      </c>
      <c r="L91" s="7" t="str">
        <f aca="false">HYPERLINK("https://mncourtfraud.com/file/MCRO_27-CR-20-5618_Order_for_Conditional_Release_2021-09-21_20251126180857.zip","MCRO_27-CR-20-5618_Order_for_Conditional_Release_2021-09-21_20251126180857.zip")</f>
        <v>MCRO_27-CR-20-5618_Order_for_Conditional_Release_2021-09-21_20251126180857.zip</v>
      </c>
    </row>
    <row r="92" customFormat="false" ht="18.7" hidden="false" customHeight="true" outlineLevel="0" collapsed="false">
      <c r="A92" s="1" t="n">
        <v>91</v>
      </c>
      <c r="B92" s="7" t="str">
        <f aca="false">HYPERLINK("https://mncourtfraud.com/file/27-CR-20-5618.pdf","27-CR-20-5618")</f>
        <v>27-CR-20-5618</v>
      </c>
      <c r="C92" s="1" t="n">
        <v>1</v>
      </c>
      <c r="D92" s="2" t="s">
        <v>12</v>
      </c>
      <c r="E92" s="8" t="n">
        <v>44468</v>
      </c>
      <c r="F92" s="2" t="s">
        <v>24</v>
      </c>
      <c r="G92" s="7" t="str">
        <f aca="false">HYPERLINK("https://mncourtfraud.com/file/MCRO_27-CR-20-5618_Order for Conditional Release_2021-09-29_20251126180905.pdf","MCRO_27-CR-20-5618_Order for Conditional Release_2021-09-29_20251126180905.pdf")</f>
        <v>MCRO_27-CR-20-5618_Order for Conditional Release_2021-09-29_20251126180905.pdf</v>
      </c>
      <c r="H92" s="2" t="s">
        <v>110</v>
      </c>
      <c r="I92" s="7" t="str">
        <f aca="false">HYPERLINK("https://mncourtfraud.com/file/MCRO_27-CR-20-5618_Order for Conditional Release_2021-09-29_20251126180905.pdf.ots","MCRO_27-CR-20-5618_Order for Conditional Release_2021-09-29_20251126180905.pdf.ots")</f>
        <v>MCRO_27-CR-20-5618_Order for Conditional Release_2021-09-29_20251126180905.pdf.ots</v>
      </c>
      <c r="J92" s="7" t="str">
        <f aca="false">HYPERLINK("https://mncourtfraud.com/file/MCRO_27-CR-20-5618_Order for Conditional Release_2021-09-29_20251126180905_META.txt","MCRO_27-CR-20-5618_Order for Conditional Release_2021-09-29_20251126180905_META.txt")</f>
        <v>MCRO_27-CR-20-5618_Order for Conditional Release_2021-09-29_20251126180905_META.txt</v>
      </c>
      <c r="K92" s="7" t="str">
        <f aca="false">HYPERLINK("https://mncourtfraud.com/file/MCRO_27-CR-20-5618_Order for Conditional Release_2021-09-29_20251126180905_PDFSIGS.txt","MCRO_27-CR-20-5618_Order for Conditional Release_2021-09-29_20251126180905_PDFSIGS.txt")</f>
        <v>MCRO_27-CR-20-5618_Order for Conditional Release_2021-09-29_20251126180905_PDFSIGS.txt</v>
      </c>
      <c r="L92" s="7" t="str">
        <f aca="false">HYPERLINK("https://mncourtfraud.com/file/MCRO_27-CR-20-5618_Order_for_Conditional_Release_2021-09-29_20251126180905.zip","MCRO_27-CR-20-5618_Order_for_Conditional_Release_2021-09-29_20251126180905.zip")</f>
        <v>MCRO_27-CR-20-5618_Order_for_Conditional_Release_2021-09-29_20251126180905.zip</v>
      </c>
    </row>
    <row r="93" customFormat="false" ht="18.7" hidden="false" customHeight="true" outlineLevel="0" collapsed="false">
      <c r="A93" s="1" t="n">
        <v>92</v>
      </c>
      <c r="B93" s="7" t="str">
        <f aca="false">HYPERLINK("https://mncourtfraud.com/file/27-CR-20-5618.pdf","27-CR-20-5618")</f>
        <v>27-CR-20-5618</v>
      </c>
      <c r="C93" s="1" t="n">
        <v>1</v>
      </c>
      <c r="D93" s="2" t="s">
        <v>12</v>
      </c>
      <c r="E93" s="8" t="n">
        <v>44543</v>
      </c>
      <c r="F93" s="2" t="s">
        <v>15</v>
      </c>
      <c r="G93" s="7" t="str">
        <f aca="false">HYPERLINK("https://mncourtfraud.com/file/MCRO_27-CR-20-5618_Order-Evaluation for Competency to Proceed (Rule 20.01)_2021-12-13_20251126180931.pdf","MCRO_27-CR-20-5618_Order-Evaluation for Competency to Proceed (Rule 20.01)_2021-12-13_20251126180931.pdf")</f>
        <v>MCRO_27-CR-20-5618_Order-Evaluation for Competency to Proceed (Rule 20.01)_2021-12-13_20251126180931.pdf</v>
      </c>
      <c r="H93" s="2" t="s">
        <v>111</v>
      </c>
      <c r="I93" s="7" t="str">
        <f aca="false">HYPERLINK("https://mncourtfraud.com/file/MCRO_27-CR-20-5618_Order-Evaluation for Competency to Proceed (Rule 20.01)_2021-12-13_20251126180931.pdf.ots","MCRO_27-CR-20-5618_Order-Evaluation for Competency to Proceed (Rule 20.01)_2021-12-13_20251126180931.pdf.ots")</f>
        <v>MCRO_27-CR-20-5618_Order-Evaluation for Competency to Proceed (Rule 20.01)_2021-12-13_20251126180931.pdf.ots</v>
      </c>
      <c r="J93" s="7" t="str">
        <f aca="false">HYPERLINK("https://mncourtfraud.com/file/MCRO_27-CR-20-5618_Order-Evaluation for Competency to Proceed (Rule 20.01)_2021-12-13_20251126180931_META.txt","MCRO_27-CR-20-5618_Order-Evaluation for Competency to Proceed (Rule 20.01)_2021-12-13_20251126180931_META.txt")</f>
        <v>MCRO_27-CR-20-5618_Order-Evaluation for Competency to Proceed (Rule 20.01)_2021-12-13_20251126180931_META.txt</v>
      </c>
      <c r="K93" s="7" t="str">
        <f aca="false">HYPERLINK("https://mncourtfraud.com/file/MCRO_27-CR-20-5618_Order-Evaluation for Competency to Proceed (Rule 20.01)_2021-12-13_20251126180931_PDFSIGS.txt","MCRO_27-CR-20-5618_Order-Evaluation for Competency to Proceed (Rule 20.01)_2021-12-13_20251126180931_PDFSIGS.txt")</f>
        <v>MCRO_27-CR-20-5618_Order-Evaluation for Competency to Proceed (Rule 20.01)_2021-12-13_20251126180931_PDFSIGS.txt</v>
      </c>
      <c r="L93" s="7" t="str">
        <f aca="false">HYPERLINK("https://mncourtfraud.com/file/MCRO_27-CR-20-5618_Order-Evaluation_for_Competency_to_Proceed_(Rule_20.01)_2021-12-13_20251126180931.zip","MCRO_27-CR-20-5618_Order-Evaluation_for_Competency_to_Proceed_(Rule_20.01)_2021-12-13_20251126180931.zip")</f>
        <v>MCRO_27-CR-20-5618_Order-Evaluation_for_Competency_to_Proceed_(Rule_20.01)_2021-12-13_20251126180931.zip</v>
      </c>
    </row>
    <row r="94" customFormat="false" ht="18.7" hidden="false" customHeight="true" outlineLevel="0" collapsed="false">
      <c r="A94" s="1" t="n">
        <v>93</v>
      </c>
      <c r="B94" s="7" t="str">
        <f aca="false">HYPERLINK("https://mncourtfraud.com/file/27-CR-20-5618.pdf","27-CR-20-5618")</f>
        <v>27-CR-20-5618</v>
      </c>
      <c r="C94" s="1" t="n">
        <v>1</v>
      </c>
      <c r="D94" s="2" t="s">
        <v>12</v>
      </c>
      <c r="E94" s="8" t="n">
        <v>44558</v>
      </c>
      <c r="F94" s="2" t="s">
        <v>15</v>
      </c>
      <c r="G94" s="7" t="str">
        <f aca="false">HYPERLINK("https://mncourtfraud.com/file/MCRO_27-CR-20-5618_Order-Evaluation for Competency to Proceed (Rule 20.01)_2021-12-28_20251126180947.pdf","MCRO_27-CR-20-5618_Order-Evaluation for Competency to Proceed (Rule 20.01)_2021-12-28_20251126180947.pdf")</f>
        <v>MCRO_27-CR-20-5618_Order-Evaluation for Competency to Proceed (Rule 20.01)_2021-12-28_20251126180947.pdf</v>
      </c>
      <c r="H94" s="2" t="s">
        <v>112</v>
      </c>
      <c r="I94" s="7" t="str">
        <f aca="false">HYPERLINK("https://mncourtfraud.com/file/MCRO_27-CR-20-5618_Order-Evaluation for Competency to Proceed (Rule 20.01)_2021-12-28_20251126180947.pdf.ots","MCRO_27-CR-20-5618_Order-Evaluation for Competency to Proceed (Rule 20.01)_2021-12-28_20251126180947.pdf.ots")</f>
        <v>MCRO_27-CR-20-5618_Order-Evaluation for Competency to Proceed (Rule 20.01)_2021-12-28_20251126180947.pdf.ots</v>
      </c>
      <c r="J94" s="7" t="str">
        <f aca="false">HYPERLINK("https://mncourtfraud.com/file/MCRO_27-CR-20-5618_Order-Evaluation for Competency to Proceed (Rule 20.01)_2021-12-28_20251126180947_META.txt","MCRO_27-CR-20-5618_Order-Evaluation for Competency to Proceed (Rule 20.01)_2021-12-28_20251126180947_META.txt")</f>
        <v>MCRO_27-CR-20-5618_Order-Evaluation for Competency to Proceed (Rule 20.01)_2021-12-28_20251126180947_META.txt</v>
      </c>
      <c r="K94" s="7" t="str">
        <f aca="false">HYPERLINK("https://mncourtfraud.com/file/MCRO_27-CR-20-5618_Order-Evaluation for Competency to Proceed (Rule 20.01)_2021-12-28_20251126180947_PDFSIGS.txt","MCRO_27-CR-20-5618_Order-Evaluation for Competency to Proceed (Rule 20.01)_2021-12-28_20251126180947_PDFSIGS.txt")</f>
        <v>MCRO_27-CR-20-5618_Order-Evaluation for Competency to Proceed (Rule 20.01)_2021-12-28_20251126180947_PDFSIGS.txt</v>
      </c>
      <c r="L94" s="7" t="str">
        <f aca="false">HYPERLINK("https://mncourtfraud.com/file/MCRO_27-CR-20-5618_Order-Evaluation_for_Competency_to_Proceed_(Rule_20.01)_2021-12-28_20251126180947.zip","MCRO_27-CR-20-5618_Order-Evaluation_for_Competency_to_Proceed_(Rule_20.01)_2021-12-28_20251126180947.zip")</f>
        <v>MCRO_27-CR-20-5618_Order-Evaluation_for_Competency_to_Proceed_(Rule_20.01)_2021-12-28_20251126180947.zip</v>
      </c>
    </row>
    <row r="95" customFormat="false" ht="18.7" hidden="false" customHeight="true" outlineLevel="0" collapsed="false">
      <c r="A95" s="1" t="n">
        <v>94</v>
      </c>
      <c r="B95" s="7" t="str">
        <f aca="false">HYPERLINK("https://mncourtfraud.com/file/27-CR-20-5618.pdf","27-CR-20-5618")</f>
        <v>27-CR-20-5618</v>
      </c>
      <c r="C95" s="1" t="n">
        <v>1</v>
      </c>
      <c r="D95" s="2" t="s">
        <v>12</v>
      </c>
      <c r="E95" s="8" t="n">
        <v>44593</v>
      </c>
      <c r="F95" s="2" t="s">
        <v>19</v>
      </c>
      <c r="G95" s="7" t="str">
        <f aca="false">HYPERLINK("https://mncourtfraud.com/file/MCRO_27-CR-20-5618_Findings and Order_2022-02-01_20251126180755.pdf","MCRO_27-CR-20-5618_Findings and Order_2022-02-01_20251126180755.pdf")</f>
        <v>MCRO_27-CR-20-5618_Findings and Order_2022-02-01_20251126180755.pdf</v>
      </c>
      <c r="H95" s="2" t="s">
        <v>113</v>
      </c>
      <c r="I95" s="7" t="str">
        <f aca="false">HYPERLINK("https://mncourtfraud.com/file/MCRO_27-CR-20-5618_Findings and Order_2022-02-01_20251126180755.pdf.ots","MCRO_27-CR-20-5618_Findings and Order_2022-02-01_20251126180755.pdf.ots")</f>
        <v>MCRO_27-CR-20-5618_Findings and Order_2022-02-01_20251126180755.pdf.ots</v>
      </c>
      <c r="J95" s="7" t="str">
        <f aca="false">HYPERLINK("https://mncourtfraud.com/file/MCRO_27-CR-20-5618_Findings and Order_2022-02-01_20251126180755_META.txt","MCRO_27-CR-20-5618_Findings and Order_2022-02-01_20251126180755_META.txt")</f>
        <v>MCRO_27-CR-20-5618_Findings and Order_2022-02-01_20251126180755_META.txt</v>
      </c>
      <c r="K95" s="7" t="str">
        <f aca="false">HYPERLINK("https://mncourtfraud.com/file/MCRO_27-CR-20-5618_Findings and Order_2022-02-01_20251126180755_PDFSIGS.txt","MCRO_27-CR-20-5618_Findings and Order_2022-02-01_20251126180755_PDFSIGS.txt")</f>
        <v>MCRO_27-CR-20-5618_Findings and Order_2022-02-01_20251126180755_PDFSIGS.txt</v>
      </c>
      <c r="L95" s="7" t="str">
        <f aca="false">HYPERLINK("https://mncourtfraud.com/file/MCRO_27-CR-20-5618_Findings_and_Order_2022-02-01_20251126180755.zip","MCRO_27-CR-20-5618_Findings_and_Order_2022-02-01_20251126180755.zip")</f>
        <v>MCRO_27-CR-20-5618_Findings_and_Order_2022-02-01_20251126180755.zip</v>
      </c>
    </row>
    <row r="96" customFormat="false" ht="18.7" hidden="false" customHeight="true" outlineLevel="0" collapsed="false">
      <c r="A96" s="1" t="n">
        <v>95</v>
      </c>
      <c r="B96" s="7" t="str">
        <f aca="false">HYPERLINK("https://mncourtfraud.com/file/27-CR-20-5618.pdf","27-CR-20-5618")</f>
        <v>27-CR-20-5618</v>
      </c>
      <c r="C96" s="1" t="n">
        <v>1</v>
      </c>
      <c r="D96" s="2" t="s">
        <v>12</v>
      </c>
      <c r="E96" s="8" t="n">
        <v>44692</v>
      </c>
      <c r="F96" s="2" t="s">
        <v>15</v>
      </c>
      <c r="G96" s="7" t="str">
        <f aca="false">HYPERLINK("https://mncourtfraud.com/file/MCRO_27-CR-20-5618_Order-Evaluation for Competency to Proceed (Rule 20.01)_2022-05-11_20251126180958.pdf","MCRO_27-CR-20-5618_Order-Evaluation for Competency to Proceed (Rule 20.01)_2022-05-11_20251126180958.pdf")</f>
        <v>MCRO_27-CR-20-5618_Order-Evaluation for Competency to Proceed (Rule 20.01)_2022-05-11_20251126180958.pdf</v>
      </c>
      <c r="H96" s="2" t="s">
        <v>114</v>
      </c>
      <c r="I96" s="7" t="str">
        <f aca="false">HYPERLINK("https://mncourtfraud.com/file/MCRO_27-CR-20-5618_Order-Evaluation for Competency to Proceed (Rule 20.01)_2022-05-11_20251126180958.pdf.ots","MCRO_27-CR-20-5618_Order-Evaluation for Competency to Proceed (Rule 20.01)_2022-05-11_20251126180958.pdf.ots")</f>
        <v>MCRO_27-CR-20-5618_Order-Evaluation for Competency to Proceed (Rule 20.01)_2022-05-11_20251126180958.pdf.ots</v>
      </c>
      <c r="J96" s="7" t="str">
        <f aca="false">HYPERLINK("https://mncourtfraud.com/file/MCRO_27-CR-20-5618_Order-Evaluation for Competency to Proceed (Rule 20.01)_2022-05-11_20251126180958_META.txt","MCRO_27-CR-20-5618_Order-Evaluation for Competency to Proceed (Rule 20.01)_2022-05-11_20251126180958_META.txt")</f>
        <v>MCRO_27-CR-20-5618_Order-Evaluation for Competency to Proceed (Rule 20.01)_2022-05-11_20251126180958_META.txt</v>
      </c>
      <c r="K96" s="7" t="str">
        <f aca="false">HYPERLINK("https://mncourtfraud.com/file/MCRO_27-CR-20-5618_Order-Evaluation for Competency to Proceed (Rule 20.01)_2022-05-11_20251126180958_PDFSIGS.txt","MCRO_27-CR-20-5618_Order-Evaluation for Competency to Proceed (Rule 20.01)_2022-05-11_20251126180958_PDFSIGS.txt")</f>
        <v>MCRO_27-CR-20-5618_Order-Evaluation for Competency to Proceed (Rule 20.01)_2022-05-11_20251126180958_PDFSIGS.txt</v>
      </c>
      <c r="L96" s="7" t="str">
        <f aca="false">HYPERLINK("https://mncourtfraud.com/file/MCRO_27-CR-20-5618_Order-Evaluation_for_Competency_to_Proceed_(Rule_20.01)_2022-05-11_20251126180958.zip","MCRO_27-CR-20-5618_Order-Evaluation_for_Competency_to_Proceed_(Rule_20.01)_2022-05-11_20251126180958.zip")</f>
        <v>MCRO_27-CR-20-5618_Order-Evaluation_for_Competency_to_Proceed_(Rule_20.01)_2022-05-11_20251126180958.zip</v>
      </c>
    </row>
    <row r="97" customFormat="false" ht="18.7" hidden="false" customHeight="true" outlineLevel="0" collapsed="false">
      <c r="A97" s="1" t="n">
        <v>96</v>
      </c>
      <c r="B97" s="7" t="str">
        <f aca="false">HYPERLINK("https://mncourtfraud.com/file/27-CR-20-5618.pdf","27-CR-20-5618")</f>
        <v>27-CR-20-5618</v>
      </c>
      <c r="C97" s="1" t="n">
        <v>1</v>
      </c>
      <c r="D97" s="2" t="s">
        <v>12</v>
      </c>
      <c r="E97" s="8" t="n">
        <v>44895</v>
      </c>
      <c r="F97" s="2" t="s">
        <v>15</v>
      </c>
      <c r="G97" s="7" t="str">
        <f aca="false">HYPERLINK("https://mncourtfraud.com/file/MCRO_27-CR-20-5618_Order-Evaluation for Competency to Proceed (Rule 20.01)_2022-11-30_20251126181007.pdf","MCRO_27-CR-20-5618_Order-Evaluation for Competency to Proceed (Rule 20.01)_2022-11-30_20251126181007.pdf")</f>
        <v>MCRO_27-CR-20-5618_Order-Evaluation for Competency to Proceed (Rule 20.01)_2022-11-30_20251126181007.pdf</v>
      </c>
      <c r="H97" s="2" t="s">
        <v>115</v>
      </c>
      <c r="I97" s="7" t="str">
        <f aca="false">HYPERLINK("https://mncourtfraud.com/file/MCRO_27-CR-20-5618_Order-Evaluation for Competency to Proceed (Rule 20.01)_2022-11-30_20251126181007.pdf.ots","MCRO_27-CR-20-5618_Order-Evaluation for Competency to Proceed (Rule 20.01)_2022-11-30_20251126181007.pdf.ots")</f>
        <v>MCRO_27-CR-20-5618_Order-Evaluation for Competency to Proceed (Rule 20.01)_2022-11-30_20251126181007.pdf.ots</v>
      </c>
      <c r="J97" s="7" t="str">
        <f aca="false">HYPERLINK("https://mncourtfraud.com/file/MCRO_27-CR-20-5618_Order-Evaluation for Competency to Proceed (Rule 20.01)_2022-11-30_20251126181007_META.txt","MCRO_27-CR-20-5618_Order-Evaluation for Competency to Proceed (Rule 20.01)_2022-11-30_20251126181007_META.txt")</f>
        <v>MCRO_27-CR-20-5618_Order-Evaluation for Competency to Proceed (Rule 20.01)_2022-11-30_20251126181007_META.txt</v>
      </c>
      <c r="K97" s="7" t="str">
        <f aca="false">HYPERLINK("https://mncourtfraud.com/file/MCRO_27-CR-20-5618_Order-Evaluation for Competency to Proceed (Rule 20.01)_2022-11-30_20251126181007_PDFSIGS.txt","MCRO_27-CR-20-5618_Order-Evaluation for Competency to Proceed (Rule 20.01)_2022-11-30_20251126181007_PDFSIGS.txt")</f>
        <v>MCRO_27-CR-20-5618_Order-Evaluation for Competency to Proceed (Rule 20.01)_2022-11-30_20251126181007_PDFSIGS.txt</v>
      </c>
      <c r="L97" s="7" t="str">
        <f aca="false">HYPERLINK("https://mncourtfraud.com/file/MCRO_27-CR-20-5618_Order-Evaluation_for_Competency_to_Proceed_(Rule_20.01)_2022-11-30_20251126181007.zip","MCRO_27-CR-20-5618_Order-Evaluation_for_Competency_to_Proceed_(Rule_20.01)_2022-11-30_20251126181007.zip")</f>
        <v>MCRO_27-CR-20-5618_Order-Evaluation_for_Competency_to_Proceed_(Rule_20.01)_2022-11-30_20251126181007.zip</v>
      </c>
    </row>
    <row r="98" customFormat="false" ht="18.7" hidden="false" customHeight="true" outlineLevel="0" collapsed="false">
      <c r="A98" s="1" t="n">
        <v>97</v>
      </c>
      <c r="B98" s="7" t="str">
        <f aca="false">HYPERLINK("https://mncourtfraud.com/file/27-CR-20-5618.pdf","27-CR-20-5618")</f>
        <v>27-CR-20-5618</v>
      </c>
      <c r="C98" s="1" t="n">
        <v>1</v>
      </c>
      <c r="D98" s="2" t="s">
        <v>12</v>
      </c>
      <c r="E98" s="8" t="n">
        <v>45048</v>
      </c>
      <c r="F98" s="2" t="s">
        <v>80</v>
      </c>
      <c r="G98" s="7" t="str">
        <f aca="false">HYPERLINK("https://mncourtfraud.com/file/MCRO_27-CR-20-5618_Finding of Incompetency and Order_2023-05-02_20251126180741.pdf","MCRO_27-CR-20-5618_Finding of Incompetency and Order_2023-05-02_20251126180741.pdf")</f>
        <v>MCRO_27-CR-20-5618_Finding of Incompetency and Order_2023-05-02_20251126180741.pdf</v>
      </c>
      <c r="H98" s="2" t="s">
        <v>116</v>
      </c>
      <c r="I98" s="7" t="str">
        <f aca="false">HYPERLINK("https://mncourtfraud.com/file/MCRO_27-CR-20-5618_Finding of Incompetency and Order_2023-05-02_20251126180741.pdf.ots","MCRO_27-CR-20-5618_Finding of Incompetency and Order_2023-05-02_20251126180741.pdf.ots")</f>
        <v>MCRO_27-CR-20-5618_Finding of Incompetency and Order_2023-05-02_20251126180741.pdf.ots</v>
      </c>
      <c r="J98" s="7" t="str">
        <f aca="false">HYPERLINK("https://mncourtfraud.com/file/MCRO_27-CR-20-5618_Finding of Incompetency and Order_2023-05-02_20251126180741_META.txt","MCRO_27-CR-20-5618_Finding of Incompetency and Order_2023-05-02_20251126180741_META.txt")</f>
        <v>MCRO_27-CR-20-5618_Finding of Incompetency and Order_2023-05-02_20251126180741_META.txt</v>
      </c>
      <c r="K98" s="7" t="str">
        <f aca="false">HYPERLINK("https://mncourtfraud.com/file/MCRO_27-CR-20-5618_Finding of Incompetency and Order_2023-05-02_20251126180741_PDFSIGS.txt","MCRO_27-CR-20-5618_Finding of Incompetency and Order_2023-05-02_20251126180741_PDFSIGS.txt")</f>
        <v>MCRO_27-CR-20-5618_Finding of Incompetency and Order_2023-05-02_20251126180741_PDFSIGS.txt</v>
      </c>
      <c r="L98" s="7" t="str">
        <f aca="false">HYPERLINK("https://mncourtfraud.com/file/MCRO_27-CR-20-5618_Finding_of_Incompetency_and_Order_2023-05-02_20251126180741.zip","MCRO_27-CR-20-5618_Finding_of_Incompetency_and_Order_2023-05-02_20251126180741.zip")</f>
        <v>MCRO_27-CR-20-5618_Finding_of_Incompetency_and_Order_2023-05-02_20251126180741.zip</v>
      </c>
    </row>
    <row r="99" customFormat="false" ht="18.7" hidden="false" customHeight="true" outlineLevel="0" collapsed="false">
      <c r="A99" s="1" t="n">
        <v>98</v>
      </c>
      <c r="B99" s="7" t="str">
        <f aca="false">HYPERLINK("https://mncourtfraud.com/file/27-CR-20-5618.pdf","27-CR-20-5618")</f>
        <v>27-CR-20-5618</v>
      </c>
      <c r="C99" s="1" t="n">
        <v>1</v>
      </c>
      <c r="D99" s="2" t="s">
        <v>12</v>
      </c>
      <c r="E99" s="8" t="n">
        <v>45093</v>
      </c>
      <c r="F99" s="2" t="s">
        <v>82</v>
      </c>
      <c r="G99" s="7" t="str">
        <f aca="false">HYPERLINK("https://mncourtfraud.com/file/MCRO_27-CR-20-5618_Notice of Case Reassignment_2023-06-16_20251126180834.pdf","MCRO_27-CR-20-5618_Notice of Case Reassignment_2023-06-16_20251126180834.pdf")</f>
        <v>MCRO_27-CR-20-5618_Notice of Case Reassignment_2023-06-16_20251126180834.pdf</v>
      </c>
      <c r="H99" s="2" t="s">
        <v>117</v>
      </c>
      <c r="I99" s="7" t="str">
        <f aca="false">HYPERLINK("https://mncourtfraud.com/file/MCRO_27-CR-20-5618_Notice of Case Reassignment_2023-06-16_20251126180834.pdf.ots","MCRO_27-CR-20-5618_Notice of Case Reassignment_2023-06-16_20251126180834.pdf.ots")</f>
        <v>MCRO_27-CR-20-5618_Notice of Case Reassignment_2023-06-16_20251126180834.pdf.ots</v>
      </c>
      <c r="J99" s="7" t="str">
        <f aca="false">HYPERLINK("https://mncourtfraud.com/file/MCRO_27-CR-20-5618_Notice of Case Reassignment_2023-06-16_20251126180834_META.txt","MCRO_27-CR-20-5618_Notice of Case Reassignment_2023-06-16_20251126180834_META.txt")</f>
        <v>MCRO_27-CR-20-5618_Notice of Case Reassignment_2023-06-16_20251126180834_META.txt</v>
      </c>
      <c r="K99" s="7" t="str">
        <f aca="false">HYPERLINK("https://mncourtfraud.com/file/MCRO_27-CR-20-5618_Notice of Case Reassignment_2023-06-16_20251126180834_PDFSIGS.txt","MCRO_27-CR-20-5618_Notice of Case Reassignment_2023-06-16_20251126180834_PDFSIGS.txt")</f>
        <v>MCRO_27-CR-20-5618_Notice of Case Reassignment_2023-06-16_20251126180834_PDFSIGS.txt</v>
      </c>
      <c r="L99" s="7" t="str">
        <f aca="false">HYPERLINK("https://mncourtfraud.com/file/MCRO_27-CR-20-5618_Notice_of_Case_Reassignment_2023-06-16_20251126180834.zip","MCRO_27-CR-20-5618_Notice_of_Case_Reassignment_2023-06-16_20251126180834.zip")</f>
        <v>MCRO_27-CR-20-5618_Notice_of_Case_Reassignment_2023-06-16_20251126180834.zip</v>
      </c>
    </row>
    <row r="100" customFormat="false" ht="18.7" hidden="false" customHeight="true" outlineLevel="0" collapsed="false">
      <c r="A100" s="1" t="n">
        <v>99</v>
      </c>
      <c r="B100" s="7" t="str">
        <f aca="false">HYPERLINK("https://mncourtfraud.com/file/27-CR-20-5618.pdf","27-CR-20-5618")</f>
        <v>27-CR-20-5618</v>
      </c>
      <c r="C100" s="1" t="n">
        <v>1</v>
      </c>
      <c r="D100" s="2" t="s">
        <v>12</v>
      </c>
      <c r="E100" s="8" t="n">
        <v>45160</v>
      </c>
      <c r="F100" s="2" t="s">
        <v>15</v>
      </c>
      <c r="G100" s="7" t="str">
        <f aca="false">HYPERLINK("https://mncourtfraud.com/file/MCRO_27-CR-20-5618_Order-Evaluation for Competency to Proceed (Rule 20.01)_2023-08-22_20251126181021.pdf","MCRO_27-CR-20-5618_Order-Evaluation for Competency to Proceed (Rule 20.01)_2023-08-22_20251126181021.pdf")</f>
        <v>MCRO_27-CR-20-5618_Order-Evaluation for Competency to Proceed (Rule 20.01)_2023-08-22_20251126181021.pdf</v>
      </c>
      <c r="H100" s="2" t="s">
        <v>118</v>
      </c>
      <c r="I100" s="7" t="str">
        <f aca="false">HYPERLINK("https://mncourtfraud.com/file/MCRO_27-CR-20-5618_Order-Evaluation for Competency to Proceed (Rule 20.01)_2023-08-22_20251126181021.pdf.ots","MCRO_27-CR-20-5618_Order-Evaluation for Competency to Proceed (Rule 20.01)_2023-08-22_20251126181021.pdf.ots")</f>
        <v>MCRO_27-CR-20-5618_Order-Evaluation for Competency to Proceed (Rule 20.01)_2023-08-22_20251126181021.pdf.ots</v>
      </c>
      <c r="J100" s="7" t="str">
        <f aca="false">HYPERLINK("https://mncourtfraud.com/file/MCRO_27-CR-20-5618_Order-Evaluation for Competency to Proceed (Rule 20.01)_2023-08-22_20251126181021_META.txt","MCRO_27-CR-20-5618_Order-Evaluation for Competency to Proceed (Rule 20.01)_2023-08-22_20251126181021_META.txt")</f>
        <v>MCRO_27-CR-20-5618_Order-Evaluation for Competency to Proceed (Rule 20.01)_2023-08-22_20251126181021_META.txt</v>
      </c>
      <c r="K100" s="7" t="str">
        <f aca="false">HYPERLINK("https://mncourtfraud.com/file/MCRO_27-CR-20-5618_Order-Evaluation for Competency to Proceed (Rule 20.01)_2023-08-22_20251126181021_PDFSIGS.txt","MCRO_27-CR-20-5618_Order-Evaluation for Competency to Proceed (Rule 20.01)_2023-08-22_20251126181021_PDFSIGS.txt")</f>
        <v>MCRO_27-CR-20-5618_Order-Evaluation for Competency to Proceed (Rule 20.01)_2023-08-22_20251126181021_PDFSIGS.txt</v>
      </c>
      <c r="L100" s="7" t="str">
        <f aca="false">HYPERLINK("https://mncourtfraud.com/file/MCRO_27-CR-20-5618_Order-Evaluation_for_Competency_to_Proceed_(Rule_20.01)_2023-08-22_20251126181021.zip","MCRO_27-CR-20-5618_Order-Evaluation_for_Competency_to_Proceed_(Rule_20.01)_2023-08-22_20251126181021.zip")</f>
        <v>MCRO_27-CR-20-5618_Order-Evaluation_for_Competency_to_Proceed_(Rule_20.01)_2023-08-22_20251126181021.zip</v>
      </c>
    </row>
    <row r="101" customFormat="false" ht="18.7" hidden="false" customHeight="true" outlineLevel="0" collapsed="false">
      <c r="A101" s="1" t="n">
        <v>100</v>
      </c>
      <c r="B101" s="7" t="str">
        <f aca="false">HYPERLINK("https://mncourtfraud.com/file/27-CR-20-693.pdf","27-CR-20-693")</f>
        <v>27-CR-20-693</v>
      </c>
      <c r="C101" s="1" t="n">
        <v>1</v>
      </c>
      <c r="D101" s="2" t="s">
        <v>12</v>
      </c>
      <c r="E101" s="8" t="n">
        <v>43844</v>
      </c>
      <c r="F101" s="2" t="s">
        <v>13</v>
      </c>
      <c r="G101" s="7" t="str">
        <f aca="false">HYPERLINK("https://mncourtfraud.com/file/MCRO_27-CR-20-693_Find of Fact-Order, Pet Commitment-Dfd Found Incompetent_2020-01-14_20251126181126.pdf","MCRO_27-CR-20-693_Find of Fact-Order, Pet Commitment-Dfd Found Incompetent_2020-01-14_20251126181126.pdf")</f>
        <v>MCRO_27-CR-20-693_Find of Fact-Order, Pet Commitment-Dfd Found Incompetent_2020-01-14_20251126181126.pdf</v>
      </c>
      <c r="H101" s="2" t="s">
        <v>119</v>
      </c>
      <c r="I101" s="7" t="str">
        <f aca="false">HYPERLINK("https://mncourtfraud.com/file/MCRO_27-CR-20-693_Find of Fact-Order, Pet Commitment-Dfd Found Incompetent_2020-01-14_20251126181126.pdf.ots","MCRO_27-CR-20-693_Find of Fact-Order, Pet Commitment-Dfd Found Incompetent_2020-01-14_20251126181126.pdf.ots")</f>
        <v>MCRO_27-CR-20-693_Find of Fact-Order, Pet Commitment-Dfd Found Incompetent_2020-01-14_20251126181126.pdf.ots</v>
      </c>
      <c r="J101" s="7" t="str">
        <f aca="false">HYPERLINK("https://mncourtfraud.com/file/MCRO_27-CR-20-693_Find of Fact-Order, Pet Commitment-Dfd Found Incompetent_2020-01-14_20251126181126_META.txt","MCRO_27-CR-20-693_Find of Fact-Order, Pet Commitment-Dfd Found Incompetent_2020-01-14_20251126181126_META.txt")</f>
        <v>MCRO_27-CR-20-693_Find of Fact-Order, Pet Commitment-Dfd Found Incompetent_2020-01-14_20251126181126_META.txt</v>
      </c>
      <c r="K101" s="7" t="str">
        <f aca="false">HYPERLINK("https://mncourtfraud.com/file/MCRO_27-CR-20-693_Find of Fact-Order, Pet Commitment-Dfd Found Incompetent_2020-01-14_20251126181126_PDFSIGS.txt","MCRO_27-CR-20-693_Find of Fact-Order, Pet Commitment-Dfd Found Incompetent_2020-01-14_20251126181126_PDFSIGS.txt")</f>
        <v>MCRO_27-CR-20-693_Find of Fact-Order, Pet Commitment-Dfd Found Incompetent_2020-01-14_20251126181126_PDFSIGS.txt</v>
      </c>
      <c r="L101" s="7" t="str">
        <f aca="false">HYPERLINK("https://mncourtfraud.com/file/MCRO_27-CR-20-693_Find_of_Fact-Order,_Pet_Commitment-Dfd_Found_Incompetent_2020-01-14_20251126181126.zip","MCRO_27-CR-20-693_Find_of_Fact-Order,_Pet_Commitment-Dfd_Found_Incompetent_2020-01-14_20251126181126.zip")</f>
        <v>MCRO_27-CR-20-693_Find_of_Fact-Order,_Pet_Commitment-Dfd_Found_Incompetent_2020-01-14_20251126181126.zip</v>
      </c>
    </row>
    <row r="102" customFormat="false" ht="18.7" hidden="false" customHeight="true" outlineLevel="0" collapsed="false">
      <c r="A102" s="1" t="n">
        <v>101</v>
      </c>
      <c r="B102" s="7" t="str">
        <f aca="false">HYPERLINK("https://mncourtfraud.com/file/27-CR-20-693.pdf","27-CR-20-693")</f>
        <v>27-CR-20-693</v>
      </c>
      <c r="C102" s="1" t="n">
        <v>1</v>
      </c>
      <c r="D102" s="2" t="s">
        <v>12</v>
      </c>
      <c r="E102" s="8" t="n">
        <v>43902</v>
      </c>
      <c r="F102" s="2" t="s">
        <v>15</v>
      </c>
      <c r="G102" s="7" t="str">
        <f aca="false">HYPERLINK("https://mncourtfraud.com/file/MCRO_27-CR-20-693_Order-Evaluation for Competency to Proceed (Rule 20.01)_2020-03-12_20251126181339.pdf","MCRO_27-CR-20-693_Order-Evaluation for Competency to Proceed (Rule 20.01)_2020-03-12_20251126181339.pdf")</f>
        <v>MCRO_27-CR-20-693_Order-Evaluation for Competency to Proceed (Rule 20.01)_2020-03-12_20251126181339.pdf</v>
      </c>
      <c r="H102" s="2" t="s">
        <v>120</v>
      </c>
      <c r="I102" s="7" t="str">
        <f aca="false">HYPERLINK("https://mncourtfraud.com/file/MCRO_27-CR-20-693_Order-Evaluation for Competency to Proceed (Rule 20.01)_2020-03-12_20251126181339.pdf.ots","MCRO_27-CR-20-693_Order-Evaluation for Competency to Proceed (Rule 20.01)_2020-03-12_20251126181339.pdf.ots")</f>
        <v>MCRO_27-CR-20-693_Order-Evaluation for Competency to Proceed (Rule 20.01)_2020-03-12_20251126181339.pdf.ots</v>
      </c>
      <c r="J102" s="7" t="str">
        <f aca="false">HYPERLINK("https://mncourtfraud.com/file/MCRO_27-CR-20-693_Order-Evaluation for Competency to Proceed (Rule 20.01)_2020-03-12_20251126181339_META.txt","MCRO_27-CR-20-693_Order-Evaluation for Competency to Proceed (Rule 20.01)_2020-03-12_20251126181339_META.txt")</f>
        <v>MCRO_27-CR-20-693_Order-Evaluation for Competency to Proceed (Rule 20.01)_2020-03-12_20251126181339_META.txt</v>
      </c>
      <c r="K102" s="7" t="str">
        <f aca="false">HYPERLINK("https://mncourtfraud.com/file/MCRO_27-CR-20-693_Order-Evaluation for Competency to Proceed (Rule 20.01)_2020-03-12_20251126181339_PDFSIGS.txt","MCRO_27-CR-20-693_Order-Evaluation for Competency to Proceed (Rule 20.01)_2020-03-12_20251126181339_PDFSIGS.txt")</f>
        <v>MCRO_27-CR-20-693_Order-Evaluation for Competency to Proceed (Rule 20.01)_2020-03-12_20251126181339_PDFSIGS.txt</v>
      </c>
      <c r="L102" s="7" t="str">
        <f aca="false">HYPERLINK("https://mncourtfraud.com/file/MCRO_27-CR-20-693_Order-Evaluation_for_Competency_to_Proceed_(Rule_20.01)_2020-03-12_20251126181339.zip","MCRO_27-CR-20-693_Order-Evaluation_for_Competency_to_Proceed_(Rule_20.01)_2020-03-12_20251126181339.zip")</f>
        <v>MCRO_27-CR-20-693_Order-Evaluation_for_Competency_to_Proceed_(Rule_20.01)_2020-03-12_20251126181339.zip</v>
      </c>
    </row>
    <row r="103" customFormat="false" ht="18.7" hidden="false" customHeight="true" outlineLevel="0" collapsed="false">
      <c r="A103" s="1" t="n">
        <v>102</v>
      </c>
      <c r="B103" s="7" t="str">
        <f aca="false">HYPERLINK("https://mncourtfraud.com/file/27-CR-20-693.pdf","27-CR-20-693")</f>
        <v>27-CR-20-693</v>
      </c>
      <c r="C103" s="1" t="n">
        <v>1</v>
      </c>
      <c r="D103" s="2" t="s">
        <v>12</v>
      </c>
      <c r="E103" s="8" t="n">
        <v>43970</v>
      </c>
      <c r="F103" s="2" t="s">
        <v>17</v>
      </c>
      <c r="G103" s="7" t="str">
        <f aca="false">HYPERLINK("https://mncourtfraud.com/file/MCRO_27-CR-20-693_Returned Mail_2020-05-19_20251126181401.pdf","MCRO_27-CR-20-693_Returned Mail_2020-05-19_20251126181401.pdf")</f>
        <v>MCRO_27-CR-20-693_Returned Mail_2020-05-19_20251126181401.pdf</v>
      </c>
      <c r="H103" s="2" t="s">
        <v>121</v>
      </c>
      <c r="I103" s="7" t="str">
        <f aca="false">HYPERLINK("https://mncourtfraud.com/file/MCRO_27-CR-20-693_Returned Mail_2020-05-19_20251126181401.pdf.ots","MCRO_27-CR-20-693_Returned Mail_2020-05-19_20251126181401.pdf.ots")</f>
        <v>MCRO_27-CR-20-693_Returned Mail_2020-05-19_20251126181401.pdf.ots</v>
      </c>
      <c r="J103" s="7" t="str">
        <f aca="false">HYPERLINK("https://mncourtfraud.com/file/MCRO_27-CR-20-693_Returned Mail_2020-05-19_20251126181401_META.txt","MCRO_27-CR-20-693_Returned Mail_2020-05-19_20251126181401_META.txt")</f>
        <v>MCRO_27-CR-20-693_Returned Mail_2020-05-19_20251126181401_META.txt</v>
      </c>
      <c r="K103" s="7" t="str">
        <f aca="false">HYPERLINK("https://mncourtfraud.com/file/MCRO_27-CR-20-693_Returned Mail_2020-05-19_20251126181401_PDFSIGS.txt","MCRO_27-CR-20-693_Returned Mail_2020-05-19_20251126181401_PDFSIGS.txt")</f>
        <v>MCRO_27-CR-20-693_Returned Mail_2020-05-19_20251126181401_PDFSIGS.txt</v>
      </c>
      <c r="L103" s="7" t="str">
        <f aca="false">HYPERLINK("https://mncourtfraud.com/file/MCRO_27-CR-20-693_Returned_Mail_2020-05-19_20251126181401.zip","MCRO_27-CR-20-693_Returned_Mail_2020-05-19_20251126181401.zip")</f>
        <v>MCRO_27-CR-20-693_Returned_Mail_2020-05-19_20251126181401.zip</v>
      </c>
    </row>
    <row r="104" customFormat="false" ht="18.7" hidden="false" customHeight="true" outlineLevel="0" collapsed="false">
      <c r="A104" s="1" t="n">
        <v>103</v>
      </c>
      <c r="B104" s="7" t="str">
        <f aca="false">HYPERLINK("https://mncourtfraud.com/file/27-CR-20-693.pdf","27-CR-20-693")</f>
        <v>27-CR-20-693</v>
      </c>
      <c r="C104" s="1" t="n">
        <v>1</v>
      </c>
      <c r="D104" s="2" t="s">
        <v>12</v>
      </c>
      <c r="E104" s="8" t="n">
        <v>44103</v>
      </c>
      <c r="F104" s="2" t="s">
        <v>19</v>
      </c>
      <c r="G104" s="7" t="str">
        <f aca="false">HYPERLINK("https://mncourtfraud.com/file/MCRO_27-CR-20-693_Findings and Order_2020-09-29_20251126181151.pdf","MCRO_27-CR-20-693_Findings and Order_2020-09-29_20251126181151.pdf")</f>
        <v>MCRO_27-CR-20-693_Findings and Order_2020-09-29_20251126181151.pdf</v>
      </c>
      <c r="H104" s="2" t="s">
        <v>122</v>
      </c>
      <c r="I104" s="7" t="str">
        <f aca="false">HYPERLINK("https://mncourtfraud.com/file/MCRO_27-CR-20-693_Findings and Order_2020-09-29_20251126181151.pdf.ots","MCRO_27-CR-20-693_Findings and Order_2020-09-29_20251126181151.pdf.ots")</f>
        <v>MCRO_27-CR-20-693_Findings and Order_2020-09-29_20251126181151.pdf.ots</v>
      </c>
      <c r="J104" s="7" t="str">
        <f aca="false">HYPERLINK("https://mncourtfraud.com/file/MCRO_27-CR-20-693_Findings and Order_2020-09-29_20251126181151_META.txt","MCRO_27-CR-20-693_Findings and Order_2020-09-29_20251126181151_META.txt")</f>
        <v>MCRO_27-CR-20-693_Findings and Order_2020-09-29_20251126181151_META.txt</v>
      </c>
      <c r="K104" s="7" t="str">
        <f aca="false">HYPERLINK("https://mncourtfraud.com/file/MCRO_27-CR-20-693_Findings and Order_2020-09-29_20251126181151_PDFSIGS.txt","MCRO_27-CR-20-693_Findings and Order_2020-09-29_20251126181151_PDFSIGS.txt")</f>
        <v>MCRO_27-CR-20-693_Findings and Order_2020-09-29_20251126181151_PDFSIGS.txt</v>
      </c>
      <c r="L104" s="7" t="str">
        <f aca="false">HYPERLINK("https://mncourtfraud.com/file/MCRO_27-CR-20-693_Findings_and_Order_2020-09-29_20251126181151.zip","MCRO_27-CR-20-693_Findings_and_Order_2020-09-29_20251126181151.zip")</f>
        <v>MCRO_27-CR-20-693_Findings_and_Order_2020-09-29_20251126181151.zip</v>
      </c>
    </row>
    <row r="105" customFormat="false" ht="18.7" hidden="false" customHeight="true" outlineLevel="0" collapsed="false">
      <c r="A105" s="1" t="n">
        <v>104</v>
      </c>
      <c r="B105" s="7" t="str">
        <f aca="false">HYPERLINK("https://mncourtfraud.com/file/27-CR-20-693.pdf","27-CR-20-693")</f>
        <v>27-CR-20-693</v>
      </c>
      <c r="C105" s="1" t="n">
        <v>1</v>
      </c>
      <c r="D105" s="2" t="s">
        <v>12</v>
      </c>
      <c r="E105" s="8" t="n">
        <v>44225</v>
      </c>
      <c r="F105" s="2" t="s">
        <v>15</v>
      </c>
      <c r="G105" s="7" t="str">
        <f aca="false">HYPERLINK("https://mncourtfraud.com/file/MCRO_27-CR-20-693_Order-Evaluation for Competency to Proceed (Rule 20.01)_2021-01-29_20251126181349.pdf","MCRO_27-CR-20-693_Order-Evaluation for Competency to Proceed (Rule 20.01)_2021-01-29_20251126181349.pdf")</f>
        <v>MCRO_27-CR-20-693_Order-Evaluation for Competency to Proceed (Rule 20.01)_2021-01-29_20251126181349.pdf</v>
      </c>
      <c r="H105" s="2" t="s">
        <v>123</v>
      </c>
      <c r="I105" s="7" t="str">
        <f aca="false">HYPERLINK("https://mncourtfraud.com/file/MCRO_27-CR-20-693_Order-Evaluation for Competency to Proceed (Rule 20.01)_2021-01-29_20251126181349.pdf.ots","MCRO_27-CR-20-693_Order-Evaluation for Competency to Proceed (Rule 20.01)_2021-01-29_20251126181349.pdf.ots")</f>
        <v>MCRO_27-CR-20-693_Order-Evaluation for Competency to Proceed (Rule 20.01)_2021-01-29_20251126181349.pdf.ots</v>
      </c>
      <c r="J105" s="7" t="str">
        <f aca="false">HYPERLINK("https://mncourtfraud.com/file/MCRO_27-CR-20-693_Order-Evaluation for Competency to Proceed (Rule 20.01)_2021-01-29_20251126181349_META.txt","MCRO_27-CR-20-693_Order-Evaluation for Competency to Proceed (Rule 20.01)_2021-01-29_20251126181349_META.txt")</f>
        <v>MCRO_27-CR-20-693_Order-Evaluation for Competency to Proceed (Rule 20.01)_2021-01-29_20251126181349_META.txt</v>
      </c>
      <c r="K105" s="7" t="str">
        <f aca="false">HYPERLINK("https://mncourtfraud.com/file/MCRO_27-CR-20-693_Order-Evaluation for Competency to Proceed (Rule 20.01)_2021-01-29_20251126181349_PDFSIGS.txt","MCRO_27-CR-20-693_Order-Evaluation for Competency to Proceed (Rule 20.01)_2021-01-29_20251126181349_PDFSIGS.txt")</f>
        <v>MCRO_27-CR-20-693_Order-Evaluation for Competency to Proceed (Rule 20.01)_2021-01-29_20251126181349_PDFSIGS.txt</v>
      </c>
      <c r="L105" s="7" t="str">
        <f aca="false">HYPERLINK("https://mncourtfraud.com/file/MCRO_27-CR-20-693_Order-Evaluation_for_Competency_to_Proceed_(Rule_20.01)_2021-01-29_20251126181349.zip","MCRO_27-CR-20-693_Order-Evaluation_for_Competency_to_Proceed_(Rule_20.01)_2021-01-29_20251126181349.zip")</f>
        <v>MCRO_27-CR-20-693_Order-Evaluation_for_Competency_to_Proceed_(Rule_20.01)_2021-01-29_20251126181349.zip</v>
      </c>
    </row>
    <row r="106" customFormat="false" ht="18.7" hidden="false" customHeight="true" outlineLevel="0" collapsed="false">
      <c r="A106" s="1" t="n">
        <v>105</v>
      </c>
      <c r="B106" s="7" t="str">
        <f aca="false">HYPERLINK("https://mncourtfraud.com/file/27-CR-20-693.pdf","27-CR-20-693")</f>
        <v>27-CR-20-693</v>
      </c>
      <c r="C106" s="1" t="n">
        <v>1</v>
      </c>
      <c r="D106" s="2" t="s">
        <v>12</v>
      </c>
      <c r="E106" s="8" t="n">
        <v>44396</v>
      </c>
      <c r="F106" s="2" t="s">
        <v>15</v>
      </c>
      <c r="G106" s="7" t="str">
        <f aca="false">HYPERLINK("https://mncourtfraud.com/file/MCRO_27-CR-20-693_Order-Evaluation for Competency to Proceed (Rule 20.01)_2021-07-19_20251126181241.pdf","MCRO_27-CR-20-693_Order-Evaluation for Competency to Proceed (Rule 20.01)_2021-07-19_20251126181241.pdf")</f>
        <v>MCRO_27-CR-20-693_Order-Evaluation for Competency to Proceed (Rule 20.01)_2021-07-19_20251126181241.pdf</v>
      </c>
      <c r="H106" s="2" t="s">
        <v>124</v>
      </c>
      <c r="I106" s="7" t="str">
        <f aca="false">HYPERLINK("https://mncourtfraud.com/file/MCRO_27-CR-20-693_Order-Evaluation for Competency to Proceed (Rule 20.01)_2021-07-19_20251126181241.pdf.ots","MCRO_27-CR-20-693_Order-Evaluation for Competency to Proceed (Rule 20.01)_2021-07-19_20251126181241.pdf.ots")</f>
        <v>MCRO_27-CR-20-693_Order-Evaluation for Competency to Proceed (Rule 20.01)_2021-07-19_20251126181241.pdf.ots</v>
      </c>
      <c r="J106" s="7" t="str">
        <f aca="false">HYPERLINK("https://mncourtfraud.com/file/MCRO_27-CR-20-693_Order-Evaluation for Competency to Proceed (Rule 20.01)_2021-07-19_20251126181241_META.txt","MCRO_27-CR-20-693_Order-Evaluation for Competency to Proceed (Rule 20.01)_2021-07-19_20251126181241_META.txt")</f>
        <v>MCRO_27-CR-20-693_Order-Evaluation for Competency to Proceed (Rule 20.01)_2021-07-19_20251126181241_META.txt</v>
      </c>
      <c r="K106" s="7" t="str">
        <f aca="false">HYPERLINK("https://mncourtfraud.com/file/MCRO_27-CR-20-693_Order-Evaluation for Competency to Proceed (Rule 20.01)_2021-07-19_20251126181241_PDFSIGS.txt","MCRO_27-CR-20-693_Order-Evaluation for Competency to Proceed (Rule 20.01)_2021-07-19_20251126181241_PDFSIGS.txt")</f>
        <v>MCRO_27-CR-20-693_Order-Evaluation for Competency to Proceed (Rule 20.01)_2021-07-19_20251126181241_PDFSIGS.txt</v>
      </c>
      <c r="L106" s="7" t="str">
        <f aca="false">HYPERLINK("https://mncourtfraud.com/file/MCRO_27-CR-20-693_Order-Evaluation_for_Competency_to_Proceed_(Rule_20.01)_2021-07-19_20251126181241.zip","MCRO_27-CR-20-693_Order-Evaluation_for_Competency_to_Proceed_(Rule_20.01)_2021-07-19_20251126181241.zip")</f>
        <v>MCRO_27-CR-20-693_Order-Evaluation_for_Competency_to_Proceed_(Rule_20.01)_2021-07-19_20251126181241.zip</v>
      </c>
    </row>
    <row r="107" customFormat="false" ht="18.7" hidden="false" customHeight="true" outlineLevel="0" collapsed="false">
      <c r="A107" s="1" t="n">
        <v>106</v>
      </c>
      <c r="B107" s="7" t="str">
        <f aca="false">HYPERLINK("https://mncourtfraud.com/file/27-CR-20-693.pdf","27-CR-20-693")</f>
        <v>27-CR-20-693</v>
      </c>
      <c r="C107" s="1" t="n">
        <v>1</v>
      </c>
      <c r="D107" s="2" t="s">
        <v>12</v>
      </c>
      <c r="E107" s="8" t="n">
        <v>44439</v>
      </c>
      <c r="F107" s="2" t="s">
        <v>19</v>
      </c>
      <c r="G107" s="7" t="str">
        <f aca="false">HYPERLINK("https://mncourtfraud.com/file/MCRO_27-CR-20-693_Findings and Order_2021-08-31_20251126181201.pdf","MCRO_27-CR-20-693_Findings and Order_2021-08-31_20251126181201.pdf")</f>
        <v>MCRO_27-CR-20-693_Findings and Order_2021-08-31_20251126181201.pdf</v>
      </c>
      <c r="H107" s="2" t="s">
        <v>125</v>
      </c>
      <c r="I107" s="7" t="str">
        <f aca="false">HYPERLINK("https://mncourtfraud.com/file/MCRO_27-CR-20-693_Findings and Order_2021-08-31_20251126181201.pdf.ots","MCRO_27-CR-20-693_Findings and Order_2021-08-31_20251126181201.pdf.ots")</f>
        <v>MCRO_27-CR-20-693_Findings and Order_2021-08-31_20251126181201.pdf.ots</v>
      </c>
      <c r="J107" s="7" t="str">
        <f aca="false">HYPERLINK("https://mncourtfraud.com/file/MCRO_27-CR-20-693_Findings and Order_2021-08-31_20251126181201_META.txt","MCRO_27-CR-20-693_Findings and Order_2021-08-31_20251126181201_META.txt")</f>
        <v>MCRO_27-CR-20-693_Findings and Order_2021-08-31_20251126181201_META.txt</v>
      </c>
      <c r="K107" s="7" t="str">
        <f aca="false">HYPERLINK("https://mncourtfraud.com/file/MCRO_27-CR-20-693_Findings and Order_2021-08-31_20251126181201_PDFSIGS.txt","MCRO_27-CR-20-693_Findings and Order_2021-08-31_20251126181201_PDFSIGS.txt")</f>
        <v>MCRO_27-CR-20-693_Findings and Order_2021-08-31_20251126181201_PDFSIGS.txt</v>
      </c>
      <c r="L107" s="7" t="str">
        <f aca="false">HYPERLINK("https://mncourtfraud.com/file/MCRO_27-CR-20-693_Findings_and_Order_2021-08-31_20251126181201.zip","MCRO_27-CR-20-693_Findings_and_Order_2021-08-31_20251126181201.zip")</f>
        <v>MCRO_27-CR-20-693_Findings_and_Order_2021-08-31_20251126181201.zip</v>
      </c>
    </row>
    <row r="108" customFormat="false" ht="18.7" hidden="false" customHeight="true" outlineLevel="0" collapsed="false">
      <c r="A108" s="1" t="n">
        <v>107</v>
      </c>
      <c r="B108" s="7" t="str">
        <f aca="false">HYPERLINK("https://mncourtfraud.com/file/27-CR-20-693.pdf","27-CR-20-693")</f>
        <v>27-CR-20-693</v>
      </c>
      <c r="C108" s="1" t="n">
        <v>1</v>
      </c>
      <c r="D108" s="2" t="s">
        <v>12</v>
      </c>
      <c r="E108" s="8" t="n">
        <v>44460</v>
      </c>
      <c r="F108" s="2" t="s">
        <v>24</v>
      </c>
      <c r="G108" s="7" t="str">
        <f aca="false">HYPERLINK("https://mncourtfraud.com/file/MCRO_27-CR-20-693_Order for Conditional Release_2021-09-21_20251126181227.pdf","MCRO_27-CR-20-693_Order for Conditional Release_2021-09-21_20251126181227.pdf")</f>
        <v>MCRO_27-CR-20-693_Order for Conditional Release_2021-09-21_20251126181227.pdf</v>
      </c>
      <c r="H108" s="2" t="s">
        <v>126</v>
      </c>
      <c r="I108" s="7" t="str">
        <f aca="false">HYPERLINK("https://mncourtfraud.com/file/MCRO_27-CR-20-693_Order for Conditional Release_2021-09-21_20251126181227.pdf.ots","MCRO_27-CR-20-693_Order for Conditional Release_2021-09-21_20251126181227.pdf.ots")</f>
        <v>MCRO_27-CR-20-693_Order for Conditional Release_2021-09-21_20251126181227.pdf.ots</v>
      </c>
      <c r="J108" s="7" t="str">
        <f aca="false">HYPERLINK("https://mncourtfraud.com/file/MCRO_27-CR-20-693_Order for Conditional Release_2021-09-21_20251126181227_META.txt","MCRO_27-CR-20-693_Order for Conditional Release_2021-09-21_20251126181227_META.txt")</f>
        <v>MCRO_27-CR-20-693_Order for Conditional Release_2021-09-21_20251126181227_META.txt</v>
      </c>
      <c r="K108" s="7" t="str">
        <f aca="false">HYPERLINK("https://mncourtfraud.com/file/MCRO_27-CR-20-693_Order for Conditional Release_2021-09-21_20251126181227_PDFSIGS.txt","MCRO_27-CR-20-693_Order for Conditional Release_2021-09-21_20251126181227_PDFSIGS.txt")</f>
        <v>MCRO_27-CR-20-693_Order for Conditional Release_2021-09-21_20251126181227_PDFSIGS.txt</v>
      </c>
      <c r="L108" s="7" t="str">
        <f aca="false">HYPERLINK("https://mncourtfraud.com/file/MCRO_27-CR-20-693_Order_for_Conditional_Release_2021-09-21_20251126181227.zip","MCRO_27-CR-20-693_Order_for_Conditional_Release_2021-09-21_20251126181227.zip")</f>
        <v>MCRO_27-CR-20-693_Order_for_Conditional_Release_2021-09-21_20251126181227.zip</v>
      </c>
    </row>
    <row r="109" customFormat="false" ht="18.7" hidden="false" customHeight="true" outlineLevel="0" collapsed="false">
      <c r="A109" s="1" t="n">
        <v>108</v>
      </c>
      <c r="B109" s="7" t="str">
        <f aca="false">HYPERLINK("https://mncourtfraud.com/file/27-CR-20-693.pdf","27-CR-20-693")</f>
        <v>27-CR-20-693</v>
      </c>
      <c r="C109" s="1" t="n">
        <v>1</v>
      </c>
      <c r="D109" s="2" t="s">
        <v>12</v>
      </c>
      <c r="E109" s="8" t="n">
        <v>44468</v>
      </c>
      <c r="F109" s="2" t="s">
        <v>24</v>
      </c>
      <c r="G109" s="7" t="str">
        <f aca="false">HYPERLINK("https://mncourtfraud.com/file/MCRO_27-CR-20-693_Order for Conditional Release_2021-09-29_20251126181223.pdf","MCRO_27-CR-20-693_Order for Conditional Release_2021-09-29_20251126181223.pdf")</f>
        <v>MCRO_27-CR-20-693_Order for Conditional Release_2021-09-29_20251126181223.pdf</v>
      </c>
      <c r="H109" s="2" t="s">
        <v>127</v>
      </c>
      <c r="I109" s="7" t="str">
        <f aca="false">HYPERLINK("https://mncourtfraud.com/file/MCRO_27-CR-20-693_Order for Conditional Release_2021-09-29_20251126181223.pdf.ots","MCRO_27-CR-20-693_Order for Conditional Release_2021-09-29_20251126181223.pdf.ots")</f>
        <v>MCRO_27-CR-20-693_Order for Conditional Release_2021-09-29_20251126181223.pdf.ots</v>
      </c>
      <c r="J109" s="7" t="str">
        <f aca="false">HYPERLINK("https://mncourtfraud.com/file/MCRO_27-CR-20-693_Order for Conditional Release_2021-09-29_20251126181223_META.txt","MCRO_27-CR-20-693_Order for Conditional Release_2021-09-29_20251126181223_META.txt")</f>
        <v>MCRO_27-CR-20-693_Order for Conditional Release_2021-09-29_20251126181223_META.txt</v>
      </c>
      <c r="K109" s="7" t="str">
        <f aca="false">HYPERLINK("https://mncourtfraud.com/file/MCRO_27-CR-20-693_Order for Conditional Release_2021-09-29_20251126181223_PDFSIGS.txt","MCRO_27-CR-20-693_Order for Conditional Release_2021-09-29_20251126181223_PDFSIGS.txt")</f>
        <v>MCRO_27-CR-20-693_Order for Conditional Release_2021-09-29_20251126181223_PDFSIGS.txt</v>
      </c>
      <c r="L109" s="7" t="str">
        <f aca="false">HYPERLINK("https://mncourtfraud.com/file/MCRO_27-CR-20-693_Order_for_Conditional_Release_2021-09-29_20251126181223.zip","MCRO_27-CR-20-693_Order_for_Conditional_Release_2021-09-29_20251126181223.zip")</f>
        <v>MCRO_27-CR-20-693_Order_for_Conditional_Release_2021-09-29_20251126181223.zip</v>
      </c>
    </row>
    <row r="110" customFormat="false" ht="18.7" hidden="false" customHeight="true" outlineLevel="0" collapsed="false">
      <c r="A110" s="1" t="n">
        <v>109</v>
      </c>
      <c r="B110" s="7" t="str">
        <f aca="false">HYPERLINK("https://mncourtfraud.com/file/27-CR-20-693.pdf","27-CR-20-693")</f>
        <v>27-CR-20-693</v>
      </c>
      <c r="C110" s="1" t="n">
        <v>1</v>
      </c>
      <c r="D110" s="2" t="s">
        <v>12</v>
      </c>
      <c r="E110" s="8" t="n">
        <v>44543</v>
      </c>
      <c r="F110" s="2" t="s">
        <v>15</v>
      </c>
      <c r="G110" s="7" t="str">
        <f aca="false">HYPERLINK("https://mncourtfraud.com/file/MCRO_27-CR-20-693_Order-Evaluation for Competency to Proceed (Rule 20.01)_2021-12-13_20251126181255.pdf","MCRO_27-CR-20-693_Order-Evaluation for Competency to Proceed (Rule 20.01)_2021-12-13_20251126181255.pdf")</f>
        <v>MCRO_27-CR-20-693_Order-Evaluation for Competency to Proceed (Rule 20.01)_2021-12-13_20251126181255.pdf</v>
      </c>
      <c r="H110" s="2" t="s">
        <v>128</v>
      </c>
      <c r="I110" s="7" t="str">
        <f aca="false">HYPERLINK("https://mncourtfraud.com/file/MCRO_27-CR-20-693_Order-Evaluation for Competency to Proceed (Rule 20.01)_2021-12-13_20251126181255.pdf.ots","MCRO_27-CR-20-693_Order-Evaluation for Competency to Proceed (Rule 20.01)_2021-12-13_20251126181255.pdf.ots")</f>
        <v>MCRO_27-CR-20-693_Order-Evaluation for Competency to Proceed (Rule 20.01)_2021-12-13_20251126181255.pdf.ots</v>
      </c>
      <c r="J110" s="7" t="str">
        <f aca="false">HYPERLINK("https://mncourtfraud.com/file/MCRO_27-CR-20-693_Order-Evaluation for Competency to Proceed (Rule 20.01)_2021-12-13_20251126181255_META.txt","MCRO_27-CR-20-693_Order-Evaluation for Competency to Proceed (Rule 20.01)_2021-12-13_20251126181255_META.txt")</f>
        <v>MCRO_27-CR-20-693_Order-Evaluation for Competency to Proceed (Rule 20.01)_2021-12-13_20251126181255_META.txt</v>
      </c>
      <c r="K110" s="7" t="str">
        <f aca="false">HYPERLINK("https://mncourtfraud.com/file/MCRO_27-CR-20-693_Order-Evaluation for Competency to Proceed (Rule 20.01)_2021-12-13_20251126181255_PDFSIGS.txt","MCRO_27-CR-20-693_Order-Evaluation for Competency to Proceed (Rule 20.01)_2021-12-13_20251126181255_PDFSIGS.txt")</f>
        <v>MCRO_27-CR-20-693_Order-Evaluation for Competency to Proceed (Rule 20.01)_2021-12-13_20251126181255_PDFSIGS.txt</v>
      </c>
      <c r="L110" s="7" t="str">
        <f aca="false">HYPERLINK("https://mncourtfraud.com/file/MCRO_27-CR-20-693_Order-Evaluation_for_Competency_to_Proceed_(Rule_20.01)_2021-12-13_20251126181255.zip","MCRO_27-CR-20-693_Order-Evaluation_for_Competency_to_Proceed_(Rule_20.01)_2021-12-13_20251126181255.zip")</f>
        <v>MCRO_27-CR-20-693_Order-Evaluation_for_Competency_to_Proceed_(Rule_20.01)_2021-12-13_20251126181255.zip</v>
      </c>
    </row>
    <row r="111" customFormat="false" ht="18.7" hidden="false" customHeight="true" outlineLevel="0" collapsed="false">
      <c r="A111" s="1" t="n">
        <v>110</v>
      </c>
      <c r="B111" s="7" t="str">
        <f aca="false">HYPERLINK("https://mncourtfraud.com/file/27-CR-20-693.pdf","27-CR-20-693")</f>
        <v>27-CR-20-693</v>
      </c>
      <c r="C111" s="1" t="n">
        <v>1</v>
      </c>
      <c r="D111" s="2" t="s">
        <v>12</v>
      </c>
      <c r="E111" s="8" t="n">
        <v>44558</v>
      </c>
      <c r="F111" s="2" t="s">
        <v>15</v>
      </c>
      <c r="G111" s="7" t="str">
        <f aca="false">HYPERLINK("https://mncourtfraud.com/file/MCRO_27-CR-20-693_Order-Evaluation for Competency to Proceed (Rule 20.01)_2021-12-28_20251126181306.pdf","MCRO_27-CR-20-693_Order-Evaluation for Competency to Proceed (Rule 20.01)_2021-12-28_20251126181306.pdf")</f>
        <v>MCRO_27-CR-20-693_Order-Evaluation for Competency to Proceed (Rule 20.01)_2021-12-28_20251126181306.pdf</v>
      </c>
      <c r="H111" s="2" t="s">
        <v>129</v>
      </c>
      <c r="I111" s="7" t="str">
        <f aca="false">HYPERLINK("https://mncourtfraud.com/file/MCRO_27-CR-20-693_Order-Evaluation for Competency to Proceed (Rule 20.01)_2021-12-28_20251126181306.pdf.ots","MCRO_27-CR-20-693_Order-Evaluation for Competency to Proceed (Rule 20.01)_2021-12-28_20251126181306.pdf.ots")</f>
        <v>MCRO_27-CR-20-693_Order-Evaluation for Competency to Proceed (Rule 20.01)_2021-12-28_20251126181306.pdf.ots</v>
      </c>
      <c r="J111" s="7" t="str">
        <f aca="false">HYPERLINK("https://mncourtfraud.com/file/MCRO_27-CR-20-693_Order-Evaluation for Competency to Proceed (Rule 20.01)_2021-12-28_20251126181306_META.txt","MCRO_27-CR-20-693_Order-Evaluation for Competency to Proceed (Rule 20.01)_2021-12-28_20251126181306_META.txt")</f>
        <v>MCRO_27-CR-20-693_Order-Evaluation for Competency to Proceed (Rule 20.01)_2021-12-28_20251126181306_META.txt</v>
      </c>
      <c r="K111" s="7" t="str">
        <f aca="false">HYPERLINK("https://mncourtfraud.com/file/MCRO_27-CR-20-693_Order-Evaluation for Competency to Proceed (Rule 20.01)_2021-12-28_20251126181306_PDFSIGS.txt","MCRO_27-CR-20-693_Order-Evaluation for Competency to Proceed (Rule 20.01)_2021-12-28_20251126181306_PDFSIGS.txt")</f>
        <v>MCRO_27-CR-20-693_Order-Evaluation for Competency to Proceed (Rule 20.01)_2021-12-28_20251126181306_PDFSIGS.txt</v>
      </c>
      <c r="L111" s="7" t="str">
        <f aca="false">HYPERLINK("https://mncourtfraud.com/file/MCRO_27-CR-20-693_Order-Evaluation_for_Competency_to_Proceed_(Rule_20.01)_2021-12-28_20251126181306.zip","MCRO_27-CR-20-693_Order-Evaluation_for_Competency_to_Proceed_(Rule_20.01)_2021-12-28_20251126181306.zip")</f>
        <v>MCRO_27-CR-20-693_Order-Evaluation_for_Competency_to_Proceed_(Rule_20.01)_2021-12-28_20251126181306.zip</v>
      </c>
    </row>
    <row r="112" customFormat="false" ht="18.7" hidden="false" customHeight="true" outlineLevel="0" collapsed="false">
      <c r="A112" s="1" t="n">
        <v>111</v>
      </c>
      <c r="B112" s="7" t="str">
        <f aca="false">HYPERLINK("https://mncourtfraud.com/file/27-CR-20-693.pdf","27-CR-20-693")</f>
        <v>27-CR-20-693</v>
      </c>
      <c r="C112" s="1" t="n">
        <v>1</v>
      </c>
      <c r="D112" s="2" t="s">
        <v>12</v>
      </c>
      <c r="E112" s="8" t="n">
        <v>44593</v>
      </c>
      <c r="F112" s="2" t="s">
        <v>19</v>
      </c>
      <c r="G112" s="7" t="str">
        <f aca="false">HYPERLINK("https://mncourtfraud.com/file/MCRO_27-CR-20-693_Findings and Order_2022-02-01_20251126181139.pdf","MCRO_27-CR-20-693_Findings and Order_2022-02-01_20251126181139.pdf")</f>
        <v>MCRO_27-CR-20-693_Findings and Order_2022-02-01_20251126181139.pdf</v>
      </c>
      <c r="H112" s="2" t="s">
        <v>130</v>
      </c>
      <c r="I112" s="7" t="str">
        <f aca="false">HYPERLINK("https://mncourtfraud.com/file/MCRO_27-CR-20-693_Findings and Order_2022-02-01_20251126181139.pdf.ots","MCRO_27-CR-20-693_Findings and Order_2022-02-01_20251126181139.pdf.ots")</f>
        <v>MCRO_27-CR-20-693_Findings and Order_2022-02-01_20251126181139.pdf.ots</v>
      </c>
      <c r="J112" s="7" t="str">
        <f aca="false">HYPERLINK("https://mncourtfraud.com/file/MCRO_27-CR-20-693_Findings and Order_2022-02-01_20251126181139_META.txt","MCRO_27-CR-20-693_Findings and Order_2022-02-01_20251126181139_META.txt")</f>
        <v>MCRO_27-CR-20-693_Findings and Order_2022-02-01_20251126181139_META.txt</v>
      </c>
      <c r="K112" s="7" t="str">
        <f aca="false">HYPERLINK("https://mncourtfraud.com/file/MCRO_27-CR-20-693_Findings and Order_2022-02-01_20251126181139_PDFSIGS.txt","MCRO_27-CR-20-693_Findings and Order_2022-02-01_20251126181139_PDFSIGS.txt")</f>
        <v>MCRO_27-CR-20-693_Findings and Order_2022-02-01_20251126181139_PDFSIGS.txt</v>
      </c>
      <c r="L112" s="7" t="str">
        <f aca="false">HYPERLINK("https://mncourtfraud.com/file/MCRO_27-CR-20-693_Findings_and_Order_2022-02-01_20251126181139.zip","MCRO_27-CR-20-693_Findings_and_Order_2022-02-01_20251126181139.zip")</f>
        <v>MCRO_27-CR-20-693_Findings_and_Order_2022-02-01_20251126181139.zip</v>
      </c>
    </row>
    <row r="113" customFormat="false" ht="18.7" hidden="false" customHeight="true" outlineLevel="0" collapsed="false">
      <c r="A113" s="1" t="n">
        <v>112</v>
      </c>
      <c r="B113" s="7" t="str">
        <f aca="false">HYPERLINK("https://mncourtfraud.com/file/27-CR-20-693.pdf","27-CR-20-693")</f>
        <v>27-CR-20-693</v>
      </c>
      <c r="C113" s="1" t="n">
        <v>1</v>
      </c>
      <c r="D113" s="2" t="s">
        <v>12</v>
      </c>
      <c r="E113" s="8" t="n">
        <v>44692</v>
      </c>
      <c r="F113" s="2" t="s">
        <v>15</v>
      </c>
      <c r="G113" s="7" t="str">
        <f aca="false">HYPERLINK("https://mncourtfraud.com/file/MCRO_27-CR-20-693_Order-Evaluation for Competency to Proceed (Rule 20.01)_2022-05-11_20251126181315.pdf","MCRO_27-CR-20-693_Order-Evaluation for Competency to Proceed (Rule 20.01)_2022-05-11_20251126181315.pdf")</f>
        <v>MCRO_27-CR-20-693_Order-Evaluation for Competency to Proceed (Rule 20.01)_2022-05-11_20251126181315.pdf</v>
      </c>
      <c r="H113" s="2" t="s">
        <v>131</v>
      </c>
      <c r="I113" s="7" t="str">
        <f aca="false">HYPERLINK("https://mncourtfraud.com/file/MCRO_27-CR-20-693_Order-Evaluation for Competency to Proceed (Rule 20.01)_2022-05-11_20251126181315.pdf.ots","MCRO_27-CR-20-693_Order-Evaluation for Competency to Proceed (Rule 20.01)_2022-05-11_20251126181315.pdf.ots")</f>
        <v>MCRO_27-CR-20-693_Order-Evaluation for Competency to Proceed (Rule 20.01)_2022-05-11_20251126181315.pdf.ots</v>
      </c>
      <c r="J113" s="7" t="str">
        <f aca="false">HYPERLINK("https://mncourtfraud.com/file/MCRO_27-CR-20-693_Order-Evaluation for Competency to Proceed (Rule 20.01)_2022-05-11_20251126181315_META.txt","MCRO_27-CR-20-693_Order-Evaluation for Competency to Proceed (Rule 20.01)_2022-05-11_20251126181315_META.txt")</f>
        <v>MCRO_27-CR-20-693_Order-Evaluation for Competency to Proceed (Rule 20.01)_2022-05-11_20251126181315_META.txt</v>
      </c>
      <c r="K113" s="7" t="str">
        <f aca="false">HYPERLINK("https://mncourtfraud.com/file/MCRO_27-CR-20-693_Order-Evaluation for Competency to Proceed (Rule 20.01)_2022-05-11_20251126181315_PDFSIGS.txt","MCRO_27-CR-20-693_Order-Evaluation for Competency to Proceed (Rule 20.01)_2022-05-11_20251126181315_PDFSIGS.txt")</f>
        <v>MCRO_27-CR-20-693_Order-Evaluation for Competency to Proceed (Rule 20.01)_2022-05-11_20251126181315_PDFSIGS.txt</v>
      </c>
      <c r="L113" s="7" t="str">
        <f aca="false">HYPERLINK("https://mncourtfraud.com/file/MCRO_27-CR-20-693_Order-Evaluation_for_Competency_to_Proceed_(Rule_20.01)_2022-05-11_20251126181315.zip","MCRO_27-CR-20-693_Order-Evaluation_for_Competency_to_Proceed_(Rule_20.01)_2022-05-11_20251126181315.zip")</f>
        <v>MCRO_27-CR-20-693_Order-Evaluation_for_Competency_to_Proceed_(Rule_20.01)_2022-05-11_20251126181315.zip</v>
      </c>
    </row>
    <row r="114" customFormat="false" ht="18.7" hidden="false" customHeight="true" outlineLevel="0" collapsed="false">
      <c r="A114" s="1" t="n">
        <v>113</v>
      </c>
      <c r="B114" s="7" t="str">
        <f aca="false">HYPERLINK("https://mncourtfraud.com/file/27-CR-20-693.pdf","27-CR-20-693")</f>
        <v>27-CR-20-693</v>
      </c>
      <c r="C114" s="1" t="n">
        <v>1</v>
      </c>
      <c r="D114" s="2" t="s">
        <v>12</v>
      </c>
      <c r="E114" s="8" t="n">
        <v>44895</v>
      </c>
      <c r="F114" s="2" t="s">
        <v>15</v>
      </c>
      <c r="G114" s="7" t="str">
        <f aca="false">HYPERLINK("https://mncourtfraud.com/file/MCRO_27-CR-20-693_Order-Evaluation for Competency to Proceed (Rule 20.01)_2022-11-30_20251126181327.pdf","MCRO_27-CR-20-693_Order-Evaluation for Competency to Proceed (Rule 20.01)_2022-11-30_20251126181327.pdf")</f>
        <v>MCRO_27-CR-20-693_Order-Evaluation for Competency to Proceed (Rule 20.01)_2022-11-30_20251126181327.pdf</v>
      </c>
      <c r="H114" s="2" t="s">
        <v>132</v>
      </c>
      <c r="I114" s="7" t="str">
        <f aca="false">HYPERLINK("https://mncourtfraud.com/file/MCRO_27-CR-20-693_Order-Evaluation for Competency to Proceed (Rule 20.01)_2022-11-30_20251126181327.pdf.ots","MCRO_27-CR-20-693_Order-Evaluation for Competency to Proceed (Rule 20.01)_2022-11-30_20251126181327.pdf.ots")</f>
        <v>MCRO_27-CR-20-693_Order-Evaluation for Competency to Proceed (Rule 20.01)_2022-11-30_20251126181327.pdf.ots</v>
      </c>
      <c r="J114" s="7" t="str">
        <f aca="false">HYPERLINK("https://mncourtfraud.com/file/MCRO_27-CR-20-693_Order-Evaluation for Competency to Proceed (Rule 20.01)_2022-11-30_20251126181327_META.txt","MCRO_27-CR-20-693_Order-Evaluation for Competency to Proceed (Rule 20.01)_2022-11-30_20251126181327_META.txt")</f>
        <v>MCRO_27-CR-20-693_Order-Evaluation for Competency to Proceed (Rule 20.01)_2022-11-30_20251126181327_META.txt</v>
      </c>
      <c r="K114" s="7" t="str">
        <f aca="false">HYPERLINK("https://mncourtfraud.com/file/MCRO_27-CR-20-693_Order-Evaluation for Competency to Proceed (Rule 20.01)_2022-11-30_20251126181327_PDFSIGS.txt","MCRO_27-CR-20-693_Order-Evaluation for Competency to Proceed (Rule 20.01)_2022-11-30_20251126181327_PDFSIGS.txt")</f>
        <v>MCRO_27-CR-20-693_Order-Evaluation for Competency to Proceed (Rule 20.01)_2022-11-30_20251126181327_PDFSIGS.txt</v>
      </c>
      <c r="L114" s="7" t="str">
        <f aca="false">HYPERLINK("https://mncourtfraud.com/file/MCRO_27-CR-20-693_Order-Evaluation_for_Competency_to_Proceed_(Rule_20.01)_2022-11-30_20251126181327.zip","MCRO_27-CR-20-693_Order-Evaluation_for_Competency_to_Proceed_(Rule_20.01)_2022-11-30_20251126181327.zip")</f>
        <v>MCRO_27-CR-20-693_Order-Evaluation_for_Competency_to_Proceed_(Rule_20.01)_2022-11-30_20251126181327.zip</v>
      </c>
    </row>
    <row r="115" customFormat="false" ht="18.7" hidden="false" customHeight="true" outlineLevel="0" collapsed="false">
      <c r="A115" s="1" t="n">
        <v>114</v>
      </c>
      <c r="B115" s="7" t="str">
        <f aca="false">HYPERLINK("https://mncourtfraud.com/file/27-CR-21-10185.pdf","27-CR-21-10185")</f>
        <v>27-CR-21-10185</v>
      </c>
      <c r="C115" s="1" t="n">
        <v>1</v>
      </c>
      <c r="D115" s="2" t="s">
        <v>12</v>
      </c>
      <c r="E115" s="8" t="n">
        <v>44396</v>
      </c>
      <c r="F115" s="2" t="s">
        <v>15</v>
      </c>
      <c r="G115" s="7" t="str">
        <f aca="false">HYPERLINK("https://mncourtfraud.com/file/MCRO_27-CR-21-10185_Order-Evaluation for Competency to Proceed (Rule 20.01)_2021-07-19_20251126181524.pdf","MCRO_27-CR-21-10185_Order-Evaluation for Competency to Proceed (Rule 20.01)_2021-07-19_20251126181524.pdf")</f>
        <v>MCRO_27-CR-21-10185_Order-Evaluation for Competency to Proceed (Rule 20.01)_2021-07-19_20251126181524.pdf</v>
      </c>
      <c r="H115" s="2" t="s">
        <v>133</v>
      </c>
      <c r="I115" s="7" t="str">
        <f aca="false">HYPERLINK("https://mncourtfraud.com/file/MCRO_27-CR-21-10185_Order-Evaluation for Competency to Proceed (Rule 20.01)_2021-07-19_20251126181524.pdf.ots","MCRO_27-CR-21-10185_Order-Evaluation for Competency to Proceed (Rule 20.01)_2021-07-19_20251126181524.pdf.ots")</f>
        <v>MCRO_27-CR-21-10185_Order-Evaluation for Competency to Proceed (Rule 20.01)_2021-07-19_20251126181524.pdf.ots</v>
      </c>
      <c r="J115" s="7" t="str">
        <f aca="false">HYPERLINK("https://mncourtfraud.com/file/MCRO_27-CR-21-10185_Order-Evaluation for Competency to Proceed (Rule 20.01)_2021-07-19_20251126181524_META.txt","MCRO_27-CR-21-10185_Order-Evaluation for Competency to Proceed (Rule 20.01)_2021-07-19_20251126181524_META.txt")</f>
        <v>MCRO_27-CR-21-10185_Order-Evaluation for Competency to Proceed (Rule 20.01)_2021-07-19_20251126181524_META.txt</v>
      </c>
      <c r="K115" s="7" t="str">
        <f aca="false">HYPERLINK("https://mncourtfraud.com/file/MCRO_27-CR-21-10185_Order-Evaluation for Competency to Proceed (Rule 20.01)_2021-07-19_20251126181524_PDFSIGS.txt","MCRO_27-CR-21-10185_Order-Evaluation for Competency to Proceed (Rule 20.01)_2021-07-19_20251126181524_PDFSIGS.txt")</f>
        <v>MCRO_27-CR-21-10185_Order-Evaluation for Competency to Proceed (Rule 20.01)_2021-07-19_20251126181524_PDFSIGS.txt</v>
      </c>
      <c r="L115" s="7" t="str">
        <f aca="false">HYPERLINK("https://mncourtfraud.com/file/MCRO_27-CR-21-10185_Order-Evaluation_for_Competency_to_Proceed_(Rule_20.01)_2021-07-19_20251126181524.zip","MCRO_27-CR-21-10185_Order-Evaluation_for_Competency_to_Proceed_(Rule_20.01)_2021-07-19_20251126181524.zip")</f>
        <v>MCRO_27-CR-21-10185_Order-Evaluation_for_Competency_to_Proceed_(Rule_20.01)_2021-07-19_20251126181524.zip</v>
      </c>
    </row>
    <row r="116" customFormat="false" ht="18.7" hidden="false" customHeight="true" outlineLevel="0" collapsed="false">
      <c r="A116" s="1" t="n">
        <v>115</v>
      </c>
      <c r="B116" s="7" t="str">
        <f aca="false">HYPERLINK("https://mncourtfraud.com/file/27-CR-21-10185.pdf","27-CR-21-10185")</f>
        <v>27-CR-21-10185</v>
      </c>
      <c r="C116" s="1" t="n">
        <v>1</v>
      </c>
      <c r="D116" s="2" t="s">
        <v>12</v>
      </c>
      <c r="E116" s="8" t="n">
        <v>44439</v>
      </c>
      <c r="F116" s="2" t="s">
        <v>134</v>
      </c>
      <c r="G116" s="7" t="str">
        <f aca="false">HYPERLINK("https://mncourtfraud.com/file/MCRO_27-CR-21-10185_Notice of Intent to Prosecute_2021-08-31_20251126181452.pdf","MCRO_27-CR-21-10185_Notice of Intent to Prosecute_2021-08-31_20251126181452.pdf")</f>
        <v>MCRO_27-CR-21-10185_Notice of Intent to Prosecute_2021-08-31_20251126181452.pdf</v>
      </c>
      <c r="H116" s="2" t="s">
        <v>135</v>
      </c>
      <c r="I116" s="7" t="str">
        <f aca="false">HYPERLINK("https://mncourtfraud.com/file/MCRO_27-CR-21-10185_Notice of Intent to Prosecute_2021-08-31_20251126181452.pdf.ots","MCRO_27-CR-21-10185_Notice of Intent to Prosecute_2021-08-31_20251126181452.pdf.ots")</f>
        <v>MCRO_27-CR-21-10185_Notice of Intent to Prosecute_2021-08-31_20251126181452.pdf.ots</v>
      </c>
      <c r="J116" s="7" t="str">
        <f aca="false">HYPERLINK("https://mncourtfraud.com/file/MCRO_27-CR-21-10185_Notice of Intent to Prosecute_2021-08-31_20251126181452_META.txt","MCRO_27-CR-21-10185_Notice of Intent to Prosecute_2021-08-31_20251126181452_META.txt")</f>
        <v>MCRO_27-CR-21-10185_Notice of Intent to Prosecute_2021-08-31_20251126181452_META.txt</v>
      </c>
      <c r="K116" s="7" t="str">
        <f aca="false">HYPERLINK("https://mncourtfraud.com/file/MCRO_27-CR-21-10185_Notice of Intent to Prosecute_2021-08-31_20251126181452_PDFSIGS.txt","MCRO_27-CR-21-10185_Notice of Intent to Prosecute_2021-08-31_20251126181452_PDFSIGS.txt")</f>
        <v>MCRO_27-CR-21-10185_Notice of Intent to Prosecute_2021-08-31_20251126181452_PDFSIGS.txt</v>
      </c>
      <c r="L116" s="7" t="str">
        <f aca="false">HYPERLINK("https://mncourtfraud.com/file/MCRO_27-CR-21-10185_Notice_of_Intent_to_Prosecute_2021-08-31_20251126181452.zip","MCRO_27-CR-21-10185_Notice_of_Intent_to_Prosecute_2021-08-31_20251126181452.zip")</f>
        <v>MCRO_27-CR-21-10185_Notice_of_Intent_to_Prosecute_2021-08-31_20251126181452.zip</v>
      </c>
    </row>
    <row r="117" customFormat="false" ht="18.7" hidden="false" customHeight="true" outlineLevel="0" collapsed="false">
      <c r="A117" s="1" t="n">
        <v>116</v>
      </c>
      <c r="B117" s="7" t="str">
        <f aca="false">HYPERLINK("https://mncourtfraud.com/file/27-CR-21-10185.pdf","27-CR-21-10185")</f>
        <v>27-CR-21-10185</v>
      </c>
      <c r="C117" s="1" t="n">
        <v>1</v>
      </c>
      <c r="D117" s="2" t="s">
        <v>12</v>
      </c>
      <c r="E117" s="8" t="n">
        <v>44439</v>
      </c>
      <c r="F117" s="2" t="s">
        <v>19</v>
      </c>
      <c r="G117" s="7" t="str">
        <f aca="false">HYPERLINK("https://mncourtfraud.com/file/MCRO_27-CR-21-10185_Findings and Order_2021-08-31_20251126181437.pdf","MCRO_27-CR-21-10185_Findings and Order_2021-08-31_20251126181437.pdf")</f>
        <v>MCRO_27-CR-21-10185_Findings and Order_2021-08-31_20251126181437.pdf</v>
      </c>
      <c r="H117" s="2" t="s">
        <v>136</v>
      </c>
      <c r="I117" s="7" t="str">
        <f aca="false">HYPERLINK("https://mncourtfraud.com/file/MCRO_27-CR-21-10185_Findings and Order_2021-08-31_20251126181437.pdf.ots","MCRO_27-CR-21-10185_Findings and Order_2021-08-31_20251126181437.pdf.ots")</f>
        <v>MCRO_27-CR-21-10185_Findings and Order_2021-08-31_20251126181437.pdf.ots</v>
      </c>
      <c r="J117" s="7" t="str">
        <f aca="false">HYPERLINK("https://mncourtfraud.com/file/MCRO_27-CR-21-10185_Findings and Order_2021-08-31_20251126181437_META.txt","MCRO_27-CR-21-10185_Findings and Order_2021-08-31_20251126181437_META.txt")</f>
        <v>MCRO_27-CR-21-10185_Findings and Order_2021-08-31_20251126181437_META.txt</v>
      </c>
      <c r="K117" s="7" t="str">
        <f aca="false">HYPERLINK("https://mncourtfraud.com/file/MCRO_27-CR-21-10185_Findings and Order_2021-08-31_20251126181437_PDFSIGS.txt","MCRO_27-CR-21-10185_Findings and Order_2021-08-31_20251126181437_PDFSIGS.txt")</f>
        <v>MCRO_27-CR-21-10185_Findings and Order_2021-08-31_20251126181437_PDFSIGS.txt</v>
      </c>
      <c r="L117" s="7" t="str">
        <f aca="false">HYPERLINK("https://mncourtfraud.com/file/MCRO_27-CR-21-10185_Findings_and_Order_2021-08-31_20251126181437.zip","MCRO_27-CR-21-10185_Findings_and_Order_2021-08-31_20251126181437.zip")</f>
        <v>MCRO_27-CR-21-10185_Findings_and_Order_2021-08-31_20251126181437.zip</v>
      </c>
    </row>
    <row r="118" customFormat="false" ht="18.7" hidden="false" customHeight="true" outlineLevel="0" collapsed="false">
      <c r="A118" s="1" t="n">
        <v>117</v>
      </c>
      <c r="B118" s="7" t="str">
        <f aca="false">HYPERLINK("https://mncourtfraud.com/file/27-CR-21-10185.pdf","27-CR-21-10185")</f>
        <v>27-CR-21-10185</v>
      </c>
      <c r="C118" s="1" t="n">
        <v>1</v>
      </c>
      <c r="D118" s="2" t="s">
        <v>12</v>
      </c>
      <c r="E118" s="8" t="n">
        <v>44460</v>
      </c>
      <c r="F118" s="2" t="s">
        <v>24</v>
      </c>
      <c r="G118" s="7" t="str">
        <f aca="false">HYPERLINK("https://mncourtfraud.com/file/MCRO_27-CR-21-10185_Order for Conditional Release_2021-09-21_20251126181510.pdf","MCRO_27-CR-21-10185_Order for Conditional Release_2021-09-21_20251126181510.pdf")</f>
        <v>MCRO_27-CR-21-10185_Order for Conditional Release_2021-09-21_20251126181510.pdf</v>
      </c>
      <c r="H118" s="2" t="s">
        <v>137</v>
      </c>
      <c r="I118" s="7" t="str">
        <f aca="false">HYPERLINK("https://mncourtfraud.com/file/MCRO_27-CR-21-10185_Order for Conditional Release_2021-09-21_20251126181510.pdf.ots","MCRO_27-CR-21-10185_Order for Conditional Release_2021-09-21_20251126181510.pdf.ots")</f>
        <v>MCRO_27-CR-21-10185_Order for Conditional Release_2021-09-21_20251126181510.pdf.ots</v>
      </c>
      <c r="J118" s="7" t="str">
        <f aca="false">HYPERLINK("https://mncourtfraud.com/file/MCRO_27-CR-21-10185_Order for Conditional Release_2021-09-21_20251126181510_META.txt","MCRO_27-CR-21-10185_Order for Conditional Release_2021-09-21_20251126181510_META.txt")</f>
        <v>MCRO_27-CR-21-10185_Order for Conditional Release_2021-09-21_20251126181510_META.txt</v>
      </c>
      <c r="K118" s="7" t="str">
        <f aca="false">HYPERLINK("https://mncourtfraud.com/file/MCRO_27-CR-21-10185_Order for Conditional Release_2021-09-21_20251126181510_PDFSIGS.txt","MCRO_27-CR-21-10185_Order for Conditional Release_2021-09-21_20251126181510_PDFSIGS.txt")</f>
        <v>MCRO_27-CR-21-10185_Order for Conditional Release_2021-09-21_20251126181510_PDFSIGS.txt</v>
      </c>
      <c r="L118" s="7" t="str">
        <f aca="false">HYPERLINK("https://mncourtfraud.com/file/MCRO_27-CR-21-10185_Order_for_Conditional_Release_2021-09-21_20251126181510.zip","MCRO_27-CR-21-10185_Order_for_Conditional_Release_2021-09-21_20251126181510.zip")</f>
        <v>MCRO_27-CR-21-10185_Order_for_Conditional_Release_2021-09-21_20251126181510.zip</v>
      </c>
    </row>
    <row r="119" customFormat="false" ht="18.7" hidden="false" customHeight="true" outlineLevel="0" collapsed="false">
      <c r="A119" s="1" t="n">
        <v>118</v>
      </c>
      <c r="B119" s="7" t="str">
        <f aca="false">HYPERLINK("https://mncourtfraud.com/file/27-CR-21-10185.pdf","27-CR-21-10185")</f>
        <v>27-CR-21-10185</v>
      </c>
      <c r="C119" s="1" t="n">
        <v>1</v>
      </c>
      <c r="D119" s="2" t="s">
        <v>12</v>
      </c>
      <c r="E119" s="8" t="n">
        <v>44468</v>
      </c>
      <c r="F119" s="2" t="s">
        <v>24</v>
      </c>
      <c r="G119" s="7" t="str">
        <f aca="false">HYPERLINK("https://mncourtfraud.com/file/MCRO_27-CR-21-10185_Order for Conditional Release_2021-09-29_20251126181506.pdf","MCRO_27-CR-21-10185_Order for Conditional Release_2021-09-29_20251126181506.pdf")</f>
        <v>MCRO_27-CR-21-10185_Order for Conditional Release_2021-09-29_20251126181506.pdf</v>
      </c>
      <c r="H119" s="2" t="s">
        <v>138</v>
      </c>
      <c r="I119" s="7" t="str">
        <f aca="false">HYPERLINK("https://mncourtfraud.com/file/MCRO_27-CR-21-10185_Order for Conditional Release_2021-09-29_20251126181506.pdf.ots","MCRO_27-CR-21-10185_Order for Conditional Release_2021-09-29_20251126181506.pdf.ots")</f>
        <v>MCRO_27-CR-21-10185_Order for Conditional Release_2021-09-29_20251126181506.pdf.ots</v>
      </c>
      <c r="J119" s="7" t="str">
        <f aca="false">HYPERLINK("https://mncourtfraud.com/file/MCRO_27-CR-21-10185_Order for Conditional Release_2021-09-29_20251126181506_META.txt","MCRO_27-CR-21-10185_Order for Conditional Release_2021-09-29_20251126181506_META.txt")</f>
        <v>MCRO_27-CR-21-10185_Order for Conditional Release_2021-09-29_20251126181506_META.txt</v>
      </c>
      <c r="K119" s="7" t="str">
        <f aca="false">HYPERLINK("https://mncourtfraud.com/file/MCRO_27-CR-21-10185_Order for Conditional Release_2021-09-29_20251126181506_PDFSIGS.txt","MCRO_27-CR-21-10185_Order for Conditional Release_2021-09-29_20251126181506_PDFSIGS.txt")</f>
        <v>MCRO_27-CR-21-10185_Order for Conditional Release_2021-09-29_20251126181506_PDFSIGS.txt</v>
      </c>
      <c r="L119" s="7" t="str">
        <f aca="false">HYPERLINK("https://mncourtfraud.com/file/MCRO_27-CR-21-10185_Order_for_Conditional_Release_2021-09-29_20251126181506.zip","MCRO_27-CR-21-10185_Order_for_Conditional_Release_2021-09-29_20251126181506.zip")</f>
        <v>MCRO_27-CR-21-10185_Order_for_Conditional_Release_2021-09-29_20251126181506.zip</v>
      </c>
    </row>
    <row r="120" customFormat="false" ht="18.7" hidden="false" customHeight="true" outlineLevel="0" collapsed="false">
      <c r="A120" s="1" t="n">
        <v>119</v>
      </c>
      <c r="B120" s="7" t="str">
        <f aca="false">HYPERLINK("https://mncourtfraud.com/file/27-CR-21-10185.pdf","27-CR-21-10185")</f>
        <v>27-CR-21-10185</v>
      </c>
      <c r="C120" s="1" t="n">
        <v>1</v>
      </c>
      <c r="D120" s="2" t="s">
        <v>12</v>
      </c>
      <c r="E120" s="8" t="n">
        <v>44543</v>
      </c>
      <c r="F120" s="2" t="s">
        <v>15</v>
      </c>
      <c r="G120" s="7" t="str">
        <f aca="false">HYPERLINK("https://mncourtfraud.com/file/MCRO_27-CR-21-10185_Order-Evaluation for Competency to Proceed (Rule 20.01)_2021-12-13_20251126181536.pdf","MCRO_27-CR-21-10185_Order-Evaluation for Competency to Proceed (Rule 20.01)_2021-12-13_20251126181536.pdf")</f>
        <v>MCRO_27-CR-21-10185_Order-Evaluation for Competency to Proceed (Rule 20.01)_2021-12-13_20251126181536.pdf</v>
      </c>
      <c r="H120" s="2" t="s">
        <v>139</v>
      </c>
      <c r="I120" s="7" t="str">
        <f aca="false">HYPERLINK("https://mncourtfraud.com/file/MCRO_27-CR-21-10185_Order-Evaluation for Competency to Proceed (Rule 20.01)_2021-12-13_20251126181536.pdf.ots","MCRO_27-CR-21-10185_Order-Evaluation for Competency to Proceed (Rule 20.01)_2021-12-13_20251126181536.pdf.ots")</f>
        <v>MCRO_27-CR-21-10185_Order-Evaluation for Competency to Proceed (Rule 20.01)_2021-12-13_20251126181536.pdf.ots</v>
      </c>
      <c r="J120" s="7" t="str">
        <f aca="false">HYPERLINK("https://mncourtfraud.com/file/MCRO_27-CR-21-10185_Order-Evaluation for Competency to Proceed (Rule 20.01)_2021-12-13_20251126181536_META.txt","MCRO_27-CR-21-10185_Order-Evaluation for Competency to Proceed (Rule 20.01)_2021-12-13_20251126181536_META.txt")</f>
        <v>MCRO_27-CR-21-10185_Order-Evaluation for Competency to Proceed (Rule 20.01)_2021-12-13_20251126181536_META.txt</v>
      </c>
      <c r="K120" s="7" t="str">
        <f aca="false">HYPERLINK("https://mncourtfraud.com/file/MCRO_27-CR-21-10185_Order-Evaluation for Competency to Proceed (Rule 20.01)_2021-12-13_20251126181536_PDFSIGS.txt","MCRO_27-CR-21-10185_Order-Evaluation for Competency to Proceed (Rule 20.01)_2021-12-13_20251126181536_PDFSIGS.txt")</f>
        <v>MCRO_27-CR-21-10185_Order-Evaluation for Competency to Proceed (Rule 20.01)_2021-12-13_20251126181536_PDFSIGS.txt</v>
      </c>
      <c r="L120" s="7" t="str">
        <f aca="false">HYPERLINK("https://mncourtfraud.com/file/MCRO_27-CR-21-10185_Order-Evaluation_for_Competency_to_Proceed_(Rule_20.01)_2021-12-13_20251126181536.zip","MCRO_27-CR-21-10185_Order-Evaluation_for_Competency_to_Proceed_(Rule_20.01)_2021-12-13_20251126181536.zip")</f>
        <v>MCRO_27-CR-21-10185_Order-Evaluation_for_Competency_to_Proceed_(Rule_20.01)_2021-12-13_20251126181536.zip</v>
      </c>
    </row>
    <row r="121" customFormat="false" ht="18.7" hidden="false" customHeight="true" outlineLevel="0" collapsed="false">
      <c r="A121" s="1" t="n">
        <v>120</v>
      </c>
      <c r="B121" s="7" t="str">
        <f aca="false">HYPERLINK("https://mncourtfraud.com/file/27-CR-21-10185.pdf","27-CR-21-10185")</f>
        <v>27-CR-21-10185</v>
      </c>
      <c r="C121" s="1" t="n">
        <v>1</v>
      </c>
      <c r="D121" s="2" t="s">
        <v>12</v>
      </c>
      <c r="E121" s="8" t="n">
        <v>44558</v>
      </c>
      <c r="F121" s="2" t="s">
        <v>15</v>
      </c>
      <c r="G121" s="7" t="str">
        <f aca="false">HYPERLINK("https://mncourtfraud.com/file/MCRO_27-CR-21-10185_Order-Evaluation for Competency to Proceed (Rule 20.01)_2021-12-28_20251126181546.pdf","MCRO_27-CR-21-10185_Order-Evaluation for Competency to Proceed (Rule 20.01)_2021-12-28_20251126181546.pdf")</f>
        <v>MCRO_27-CR-21-10185_Order-Evaluation for Competency to Proceed (Rule 20.01)_2021-12-28_20251126181546.pdf</v>
      </c>
      <c r="H121" s="2" t="s">
        <v>140</v>
      </c>
      <c r="I121" s="7" t="str">
        <f aca="false">HYPERLINK("https://mncourtfraud.com/file/MCRO_27-CR-21-10185_Order-Evaluation for Competency to Proceed (Rule 20.01)_2021-12-28_20251126181546.pdf.ots","MCRO_27-CR-21-10185_Order-Evaluation for Competency to Proceed (Rule 20.01)_2021-12-28_20251126181546.pdf.ots")</f>
        <v>MCRO_27-CR-21-10185_Order-Evaluation for Competency to Proceed (Rule 20.01)_2021-12-28_20251126181546.pdf.ots</v>
      </c>
      <c r="J121" s="7" t="str">
        <f aca="false">HYPERLINK("https://mncourtfraud.com/file/MCRO_27-CR-21-10185_Order-Evaluation for Competency to Proceed (Rule 20.01)_2021-12-28_20251126181546_META.txt","MCRO_27-CR-21-10185_Order-Evaluation for Competency to Proceed (Rule 20.01)_2021-12-28_20251126181546_META.txt")</f>
        <v>MCRO_27-CR-21-10185_Order-Evaluation for Competency to Proceed (Rule 20.01)_2021-12-28_20251126181546_META.txt</v>
      </c>
      <c r="K121" s="7" t="str">
        <f aca="false">HYPERLINK("https://mncourtfraud.com/file/MCRO_27-CR-21-10185_Order-Evaluation for Competency to Proceed (Rule 20.01)_2021-12-28_20251126181546_PDFSIGS.txt","MCRO_27-CR-21-10185_Order-Evaluation for Competency to Proceed (Rule 20.01)_2021-12-28_20251126181546_PDFSIGS.txt")</f>
        <v>MCRO_27-CR-21-10185_Order-Evaluation for Competency to Proceed (Rule 20.01)_2021-12-28_20251126181546_PDFSIGS.txt</v>
      </c>
      <c r="L121" s="7" t="str">
        <f aca="false">HYPERLINK("https://mncourtfraud.com/file/MCRO_27-CR-21-10185_Order-Evaluation_for_Competency_to_Proceed_(Rule_20.01)_2021-12-28_20251126181546.zip","MCRO_27-CR-21-10185_Order-Evaluation_for_Competency_to_Proceed_(Rule_20.01)_2021-12-28_20251126181546.zip")</f>
        <v>MCRO_27-CR-21-10185_Order-Evaluation_for_Competency_to_Proceed_(Rule_20.01)_2021-12-28_20251126181546.zip</v>
      </c>
    </row>
    <row r="122" customFormat="false" ht="18.7" hidden="false" customHeight="true" outlineLevel="0" collapsed="false">
      <c r="A122" s="1" t="n">
        <v>121</v>
      </c>
      <c r="B122" s="7" t="str">
        <f aca="false">HYPERLINK("https://mncourtfraud.com/file/27-CR-21-10185.pdf","27-CR-21-10185")</f>
        <v>27-CR-21-10185</v>
      </c>
      <c r="C122" s="1" t="n">
        <v>1</v>
      </c>
      <c r="D122" s="2" t="s">
        <v>12</v>
      </c>
      <c r="E122" s="8" t="n">
        <v>44593</v>
      </c>
      <c r="F122" s="2" t="s">
        <v>19</v>
      </c>
      <c r="G122" s="7" t="str">
        <f aca="false">HYPERLINK("https://mncourtfraud.com/file/MCRO_27-CR-21-10185_Findings and Order_2022-02-01_20251126181428.pdf","MCRO_27-CR-21-10185_Findings and Order_2022-02-01_20251126181428.pdf")</f>
        <v>MCRO_27-CR-21-10185_Findings and Order_2022-02-01_20251126181428.pdf</v>
      </c>
      <c r="H122" s="2" t="s">
        <v>141</v>
      </c>
      <c r="I122" s="7" t="str">
        <f aca="false">HYPERLINK("https://mncourtfraud.com/file/MCRO_27-CR-21-10185_Findings and Order_2022-02-01_20251126181428.pdf.ots","MCRO_27-CR-21-10185_Findings and Order_2022-02-01_20251126181428.pdf.ots")</f>
        <v>MCRO_27-CR-21-10185_Findings and Order_2022-02-01_20251126181428.pdf.ots</v>
      </c>
      <c r="J122" s="7" t="str">
        <f aca="false">HYPERLINK("https://mncourtfraud.com/file/MCRO_27-CR-21-10185_Findings and Order_2022-02-01_20251126181428_META.txt","MCRO_27-CR-21-10185_Findings and Order_2022-02-01_20251126181428_META.txt")</f>
        <v>MCRO_27-CR-21-10185_Findings and Order_2022-02-01_20251126181428_META.txt</v>
      </c>
      <c r="K122" s="7" t="str">
        <f aca="false">HYPERLINK("https://mncourtfraud.com/file/MCRO_27-CR-21-10185_Findings and Order_2022-02-01_20251126181428_PDFSIGS.txt","MCRO_27-CR-21-10185_Findings and Order_2022-02-01_20251126181428_PDFSIGS.txt")</f>
        <v>MCRO_27-CR-21-10185_Findings and Order_2022-02-01_20251126181428_PDFSIGS.txt</v>
      </c>
      <c r="L122" s="7" t="str">
        <f aca="false">HYPERLINK("https://mncourtfraud.com/file/MCRO_27-CR-21-10185_Findings_and_Order_2022-02-01_20251126181428.zip","MCRO_27-CR-21-10185_Findings_and_Order_2022-02-01_20251126181428.zip")</f>
        <v>MCRO_27-CR-21-10185_Findings_and_Order_2022-02-01_20251126181428.zip</v>
      </c>
    </row>
    <row r="123" customFormat="false" ht="18.7" hidden="false" customHeight="true" outlineLevel="0" collapsed="false">
      <c r="A123" s="1" t="n">
        <v>122</v>
      </c>
      <c r="B123" s="7" t="str">
        <f aca="false">HYPERLINK("https://mncourtfraud.com/file/27-CR-21-10185.pdf","27-CR-21-10185")</f>
        <v>27-CR-21-10185</v>
      </c>
      <c r="C123" s="1" t="n">
        <v>1</v>
      </c>
      <c r="D123" s="2" t="s">
        <v>12</v>
      </c>
      <c r="E123" s="8" t="n">
        <v>44692</v>
      </c>
      <c r="F123" s="2" t="s">
        <v>15</v>
      </c>
      <c r="G123" s="7" t="str">
        <f aca="false">HYPERLINK("https://mncourtfraud.com/file/MCRO_27-CR-21-10185_Order-Evaluation for Competency to Proceed (Rule 20.01)_2022-05-11_20251126181600.pdf","MCRO_27-CR-21-10185_Order-Evaluation for Competency to Proceed (Rule 20.01)_2022-05-11_20251126181600.pdf")</f>
        <v>MCRO_27-CR-21-10185_Order-Evaluation for Competency to Proceed (Rule 20.01)_2022-05-11_20251126181600.pdf</v>
      </c>
      <c r="H123" s="2" t="s">
        <v>142</v>
      </c>
      <c r="I123" s="7" t="str">
        <f aca="false">HYPERLINK("https://mncourtfraud.com/file/MCRO_27-CR-21-10185_Order-Evaluation for Competency to Proceed (Rule 20.01)_2022-05-11_20251126181600.pdf.ots","MCRO_27-CR-21-10185_Order-Evaluation for Competency to Proceed (Rule 20.01)_2022-05-11_20251126181600.pdf.ots")</f>
        <v>MCRO_27-CR-21-10185_Order-Evaluation for Competency to Proceed (Rule 20.01)_2022-05-11_20251126181600.pdf.ots</v>
      </c>
      <c r="J123" s="7" t="str">
        <f aca="false">HYPERLINK("https://mncourtfraud.com/file/MCRO_27-CR-21-10185_Order-Evaluation for Competency to Proceed (Rule 20.01)_2022-05-11_20251126181600_META.txt","MCRO_27-CR-21-10185_Order-Evaluation for Competency to Proceed (Rule 20.01)_2022-05-11_20251126181600_META.txt")</f>
        <v>MCRO_27-CR-21-10185_Order-Evaluation for Competency to Proceed (Rule 20.01)_2022-05-11_20251126181600_META.txt</v>
      </c>
      <c r="K123" s="7" t="str">
        <f aca="false">HYPERLINK("https://mncourtfraud.com/file/MCRO_27-CR-21-10185_Order-Evaluation for Competency to Proceed (Rule 20.01)_2022-05-11_20251126181600_PDFSIGS.txt","MCRO_27-CR-21-10185_Order-Evaluation for Competency to Proceed (Rule 20.01)_2022-05-11_20251126181600_PDFSIGS.txt")</f>
        <v>MCRO_27-CR-21-10185_Order-Evaluation for Competency to Proceed (Rule 20.01)_2022-05-11_20251126181600_PDFSIGS.txt</v>
      </c>
      <c r="L123" s="7" t="str">
        <f aca="false">HYPERLINK("https://mncourtfraud.com/file/MCRO_27-CR-21-10185_Order-Evaluation_for_Competency_to_Proceed_(Rule_20.01)_2022-05-11_20251126181600.zip","MCRO_27-CR-21-10185_Order-Evaluation_for_Competency_to_Proceed_(Rule_20.01)_2022-05-11_20251126181600.zip")</f>
        <v>MCRO_27-CR-21-10185_Order-Evaluation_for_Competency_to_Proceed_(Rule_20.01)_2022-05-11_20251126181600.zip</v>
      </c>
    </row>
    <row r="124" customFormat="false" ht="18.7" hidden="false" customHeight="true" outlineLevel="0" collapsed="false">
      <c r="A124" s="1" t="n">
        <v>123</v>
      </c>
      <c r="B124" s="7" t="str">
        <f aca="false">HYPERLINK("https://mncourtfraud.com/file/27-CR-21-10185.pdf","27-CR-21-10185")</f>
        <v>27-CR-21-10185</v>
      </c>
      <c r="C124" s="1" t="n">
        <v>1</v>
      </c>
      <c r="D124" s="2" t="s">
        <v>12</v>
      </c>
      <c r="E124" s="8" t="n">
        <v>44895</v>
      </c>
      <c r="F124" s="2" t="s">
        <v>15</v>
      </c>
      <c r="G124" s="7" t="str">
        <f aca="false">HYPERLINK("https://mncourtfraud.com/file/MCRO_27-CR-21-10185_Order-Evaluation for Competency to Proceed (Rule 20.01)_2022-11-30_20251126181610.pdf","MCRO_27-CR-21-10185_Order-Evaluation for Competency to Proceed (Rule 20.01)_2022-11-30_20251126181610.pdf")</f>
        <v>MCRO_27-CR-21-10185_Order-Evaluation for Competency to Proceed (Rule 20.01)_2022-11-30_20251126181610.pdf</v>
      </c>
      <c r="H124" s="2" t="s">
        <v>143</v>
      </c>
      <c r="I124" s="7" t="str">
        <f aca="false">HYPERLINK("https://mncourtfraud.com/file/MCRO_27-CR-21-10185_Order-Evaluation for Competency to Proceed (Rule 20.01)_2022-11-30_20251126181610.pdf.ots","MCRO_27-CR-21-10185_Order-Evaluation for Competency to Proceed (Rule 20.01)_2022-11-30_20251126181610.pdf.ots")</f>
        <v>MCRO_27-CR-21-10185_Order-Evaluation for Competency to Proceed (Rule 20.01)_2022-11-30_20251126181610.pdf.ots</v>
      </c>
      <c r="J124" s="7" t="str">
        <f aca="false">HYPERLINK("https://mncourtfraud.com/file/MCRO_27-CR-21-10185_Order-Evaluation for Competency to Proceed (Rule 20.01)_2022-11-30_20251126181610_META.txt","MCRO_27-CR-21-10185_Order-Evaluation for Competency to Proceed (Rule 20.01)_2022-11-30_20251126181610_META.txt")</f>
        <v>MCRO_27-CR-21-10185_Order-Evaluation for Competency to Proceed (Rule 20.01)_2022-11-30_20251126181610_META.txt</v>
      </c>
      <c r="K124" s="7" t="str">
        <f aca="false">HYPERLINK("https://mncourtfraud.com/file/MCRO_27-CR-21-10185_Order-Evaluation for Competency to Proceed (Rule 20.01)_2022-11-30_20251126181610_PDFSIGS.txt","MCRO_27-CR-21-10185_Order-Evaluation for Competency to Proceed (Rule 20.01)_2022-11-30_20251126181610_PDFSIGS.txt")</f>
        <v>MCRO_27-CR-21-10185_Order-Evaluation for Competency to Proceed (Rule 20.01)_2022-11-30_20251126181610_PDFSIGS.txt</v>
      </c>
      <c r="L124" s="7" t="str">
        <f aca="false">HYPERLINK("https://mncourtfraud.com/file/MCRO_27-CR-21-10185_Order-Evaluation_for_Competency_to_Proceed_(Rule_20.01)_2022-11-30_20251126181610.zip","MCRO_27-CR-21-10185_Order-Evaluation_for_Competency_to_Proceed_(Rule_20.01)_2022-11-30_20251126181610.zip")</f>
        <v>MCRO_27-CR-21-10185_Order-Evaluation_for_Competency_to_Proceed_(Rule_20.01)_2022-11-30_20251126181610.zip</v>
      </c>
    </row>
    <row r="125" customFormat="false" ht="18.7" hidden="false" customHeight="true" outlineLevel="0" collapsed="false">
      <c r="A125" s="1" t="n">
        <v>124</v>
      </c>
      <c r="B125" s="7" t="str">
        <f aca="false">HYPERLINK("https://mncourtfraud.com/file/27-CR-21-12714.pdf","27-CR-21-12714")</f>
        <v>27-CR-21-12714</v>
      </c>
      <c r="C125" s="1" t="n">
        <v>1</v>
      </c>
      <c r="D125" s="2" t="s">
        <v>12</v>
      </c>
      <c r="E125" s="8" t="n">
        <v>44396</v>
      </c>
      <c r="F125" s="2" t="s">
        <v>15</v>
      </c>
      <c r="G125" s="7" t="str">
        <f aca="false">HYPERLINK("https://mncourtfraud.com/file/MCRO_27-CR-21-12714_Order-Evaluation for Competency to Proceed (Rule 20.01)_2021-07-19_20251126181807.pdf","MCRO_27-CR-21-12714_Order-Evaluation for Competency to Proceed (Rule 20.01)_2021-07-19_20251126181807.pdf")</f>
        <v>MCRO_27-CR-21-12714_Order-Evaluation for Competency to Proceed (Rule 20.01)_2021-07-19_20251126181807.pdf</v>
      </c>
      <c r="H125" s="2" t="s">
        <v>144</v>
      </c>
      <c r="I125" s="7" t="str">
        <f aca="false">HYPERLINK("https://mncourtfraud.com/file/MCRO_27-CR-21-12714_Order-Evaluation for Competency to Proceed (Rule 20.01)_2021-07-19_20251126181807.pdf.ots","MCRO_27-CR-21-12714_Order-Evaluation for Competency to Proceed (Rule 20.01)_2021-07-19_20251126181807.pdf.ots")</f>
        <v>MCRO_27-CR-21-12714_Order-Evaluation for Competency to Proceed (Rule 20.01)_2021-07-19_20251126181807.pdf.ots</v>
      </c>
      <c r="J125" s="7" t="str">
        <f aca="false">HYPERLINK("https://mncourtfraud.com/file/MCRO_27-CR-21-12714_Order-Evaluation for Competency to Proceed (Rule 20.01)_2021-07-19_20251126181807_META.txt","MCRO_27-CR-21-12714_Order-Evaluation for Competency to Proceed (Rule 20.01)_2021-07-19_20251126181807_META.txt")</f>
        <v>MCRO_27-CR-21-12714_Order-Evaluation for Competency to Proceed (Rule 20.01)_2021-07-19_20251126181807_META.txt</v>
      </c>
      <c r="K125" s="7" t="str">
        <f aca="false">HYPERLINK("https://mncourtfraud.com/file/MCRO_27-CR-21-12714_Order-Evaluation for Competency to Proceed (Rule 20.01)_2021-07-19_20251126181807_PDFSIGS.txt","MCRO_27-CR-21-12714_Order-Evaluation for Competency to Proceed (Rule 20.01)_2021-07-19_20251126181807_PDFSIGS.txt")</f>
        <v>MCRO_27-CR-21-12714_Order-Evaluation for Competency to Proceed (Rule 20.01)_2021-07-19_20251126181807_PDFSIGS.txt</v>
      </c>
      <c r="L125" s="7" t="str">
        <f aca="false">HYPERLINK("https://mncourtfraud.com/file/MCRO_27-CR-21-12714_Order-Evaluation_for_Competency_to_Proceed_(Rule_20.01)_2021-07-19_20251126181807.zip","MCRO_27-CR-21-12714_Order-Evaluation_for_Competency_to_Proceed_(Rule_20.01)_2021-07-19_20251126181807.zip")</f>
        <v>MCRO_27-CR-21-12714_Order-Evaluation_for_Competency_to_Proceed_(Rule_20.01)_2021-07-19_20251126181807.zip</v>
      </c>
    </row>
    <row r="126" customFormat="false" ht="18.7" hidden="false" customHeight="true" outlineLevel="0" collapsed="false">
      <c r="A126" s="1" t="n">
        <v>125</v>
      </c>
      <c r="B126" s="7" t="str">
        <f aca="false">HYPERLINK("https://mncourtfraud.com/file/27-CR-21-12714.pdf","27-CR-21-12714")</f>
        <v>27-CR-21-12714</v>
      </c>
      <c r="C126" s="1" t="n">
        <v>1</v>
      </c>
      <c r="D126" s="2" t="s">
        <v>12</v>
      </c>
      <c r="E126" s="8" t="n">
        <v>44405</v>
      </c>
      <c r="F126" s="2" t="s">
        <v>145</v>
      </c>
      <c r="G126" s="7" t="str">
        <f aca="false">HYPERLINK("https://mncourtfraud.com/file/MCRO_27-CR-21-12714_Demand or Request for Discovery_2021-07-28_20251126181647.pdf","MCRO_27-CR-21-12714_Demand or Request for Discovery_2021-07-28_20251126181647.pdf")</f>
        <v>MCRO_27-CR-21-12714_Demand or Request for Discovery_2021-07-28_20251126181647.pdf</v>
      </c>
      <c r="H126" s="2" t="s">
        <v>146</v>
      </c>
      <c r="I126" s="7" t="str">
        <f aca="false">HYPERLINK("https://mncourtfraud.com/file/MCRO_27-CR-21-12714_Demand or Request for Discovery_2021-07-28_20251126181647.pdf.ots","MCRO_27-CR-21-12714_Demand or Request for Discovery_2021-07-28_20251126181647.pdf.ots")</f>
        <v>MCRO_27-CR-21-12714_Demand or Request for Discovery_2021-07-28_20251126181647.pdf.ots</v>
      </c>
      <c r="J126" s="7" t="str">
        <f aca="false">HYPERLINK("https://mncourtfraud.com/file/MCRO_27-CR-21-12714_Demand or Request for Discovery_2021-07-28_20251126181647_META.txt","MCRO_27-CR-21-12714_Demand or Request for Discovery_2021-07-28_20251126181647_META.txt")</f>
        <v>MCRO_27-CR-21-12714_Demand or Request for Discovery_2021-07-28_20251126181647_META.txt</v>
      </c>
      <c r="K126" s="7" t="str">
        <f aca="false">HYPERLINK("https://mncourtfraud.com/file/MCRO_27-CR-21-12714_Demand or Request for Discovery_2021-07-28_20251126181647_PDFSIGS.txt","MCRO_27-CR-21-12714_Demand or Request for Discovery_2021-07-28_20251126181647_PDFSIGS.txt")</f>
        <v>MCRO_27-CR-21-12714_Demand or Request for Discovery_2021-07-28_20251126181647_PDFSIGS.txt</v>
      </c>
      <c r="L126" s="7" t="str">
        <f aca="false">HYPERLINK("https://mncourtfraud.com/file/MCRO_27-CR-21-12714_Demand_or_Request_for_Discovery_2021-07-28_20251126181647.zip","MCRO_27-CR-21-12714_Demand_or_Request_for_Discovery_2021-07-28_20251126181647.zip")</f>
        <v>MCRO_27-CR-21-12714_Demand_or_Request_for_Discovery_2021-07-28_20251126181647.zip</v>
      </c>
    </row>
    <row r="127" customFormat="false" ht="18.7" hidden="false" customHeight="true" outlineLevel="0" collapsed="false">
      <c r="A127" s="1" t="n">
        <v>126</v>
      </c>
      <c r="B127" s="7" t="str">
        <f aca="false">HYPERLINK("https://mncourtfraud.com/file/27-CR-21-12714.pdf","27-CR-21-12714")</f>
        <v>27-CR-21-12714</v>
      </c>
      <c r="C127" s="1" t="n">
        <v>1</v>
      </c>
      <c r="D127" s="2" t="s">
        <v>12</v>
      </c>
      <c r="E127" s="8" t="n">
        <v>44439</v>
      </c>
      <c r="F127" s="2" t="s">
        <v>19</v>
      </c>
      <c r="G127" s="7" t="str">
        <f aca="false">HYPERLINK("https://mncourtfraud.com/file/MCRO_27-CR-21-12714_Findings and Order_2021-08-31_20251126181722.pdf","MCRO_27-CR-21-12714_Findings and Order_2021-08-31_20251126181722.pdf")</f>
        <v>MCRO_27-CR-21-12714_Findings and Order_2021-08-31_20251126181722.pdf</v>
      </c>
      <c r="H127" s="2" t="s">
        <v>147</v>
      </c>
      <c r="I127" s="7" t="str">
        <f aca="false">HYPERLINK("https://mncourtfraud.com/file/MCRO_27-CR-21-12714_Findings and Order_2021-08-31_20251126181722.pdf.ots","MCRO_27-CR-21-12714_Findings and Order_2021-08-31_20251126181722.pdf.ots")</f>
        <v>MCRO_27-CR-21-12714_Findings and Order_2021-08-31_20251126181722.pdf.ots</v>
      </c>
      <c r="J127" s="7" t="str">
        <f aca="false">HYPERLINK("https://mncourtfraud.com/file/MCRO_27-CR-21-12714_Findings and Order_2021-08-31_20251126181722_META.txt","MCRO_27-CR-21-12714_Findings and Order_2021-08-31_20251126181722_META.txt")</f>
        <v>MCRO_27-CR-21-12714_Findings and Order_2021-08-31_20251126181722_META.txt</v>
      </c>
      <c r="K127" s="7" t="str">
        <f aca="false">HYPERLINK("https://mncourtfraud.com/file/MCRO_27-CR-21-12714_Findings and Order_2021-08-31_20251126181722_PDFSIGS.txt","MCRO_27-CR-21-12714_Findings and Order_2021-08-31_20251126181722_PDFSIGS.txt")</f>
        <v>MCRO_27-CR-21-12714_Findings and Order_2021-08-31_20251126181722_PDFSIGS.txt</v>
      </c>
      <c r="L127" s="7" t="str">
        <f aca="false">HYPERLINK("https://mncourtfraud.com/file/MCRO_27-CR-21-12714_Findings_and_Order_2021-08-31_20251126181722.zip","MCRO_27-CR-21-12714_Findings_and_Order_2021-08-31_20251126181722.zip")</f>
        <v>MCRO_27-CR-21-12714_Findings_and_Order_2021-08-31_20251126181722.zip</v>
      </c>
    </row>
    <row r="128" customFormat="false" ht="18.7" hidden="false" customHeight="true" outlineLevel="0" collapsed="false">
      <c r="A128" s="1" t="n">
        <v>127</v>
      </c>
      <c r="B128" s="7" t="str">
        <f aca="false">HYPERLINK("https://mncourtfraud.com/file/27-CR-21-12714.pdf","27-CR-21-12714")</f>
        <v>27-CR-21-12714</v>
      </c>
      <c r="C128" s="1" t="n">
        <v>1</v>
      </c>
      <c r="D128" s="2" t="s">
        <v>12</v>
      </c>
      <c r="E128" s="8" t="n">
        <v>44460</v>
      </c>
      <c r="F128" s="2" t="s">
        <v>24</v>
      </c>
      <c r="G128" s="7" t="str">
        <f aca="false">HYPERLINK("https://mncourtfraud.com/file/MCRO_27-CR-21-12714_Order for Conditional Release_2021-09-21_20251126181747.pdf","MCRO_27-CR-21-12714_Order for Conditional Release_2021-09-21_20251126181747.pdf")</f>
        <v>MCRO_27-CR-21-12714_Order for Conditional Release_2021-09-21_20251126181747.pdf</v>
      </c>
      <c r="H128" s="2" t="s">
        <v>148</v>
      </c>
      <c r="I128" s="7" t="str">
        <f aca="false">HYPERLINK("https://mncourtfraud.com/file/MCRO_27-CR-21-12714_Order for Conditional Release_2021-09-21_20251126181747.pdf.ots","MCRO_27-CR-21-12714_Order for Conditional Release_2021-09-21_20251126181747.pdf.ots")</f>
        <v>MCRO_27-CR-21-12714_Order for Conditional Release_2021-09-21_20251126181747.pdf.ots</v>
      </c>
      <c r="J128" s="7" t="str">
        <f aca="false">HYPERLINK("https://mncourtfraud.com/file/MCRO_27-CR-21-12714_Order for Conditional Release_2021-09-21_20251126181747_META.txt","MCRO_27-CR-21-12714_Order for Conditional Release_2021-09-21_20251126181747_META.txt")</f>
        <v>MCRO_27-CR-21-12714_Order for Conditional Release_2021-09-21_20251126181747_META.txt</v>
      </c>
      <c r="K128" s="7" t="str">
        <f aca="false">HYPERLINK("https://mncourtfraud.com/file/MCRO_27-CR-21-12714_Order for Conditional Release_2021-09-21_20251126181747_PDFSIGS.txt","MCRO_27-CR-21-12714_Order for Conditional Release_2021-09-21_20251126181747_PDFSIGS.txt")</f>
        <v>MCRO_27-CR-21-12714_Order for Conditional Release_2021-09-21_20251126181747_PDFSIGS.txt</v>
      </c>
      <c r="L128" s="7" t="str">
        <f aca="false">HYPERLINK("https://mncourtfraud.com/file/MCRO_27-CR-21-12714_Order_for_Conditional_Release_2021-09-21_20251126181747.zip","MCRO_27-CR-21-12714_Order_for_Conditional_Release_2021-09-21_20251126181747.zip")</f>
        <v>MCRO_27-CR-21-12714_Order_for_Conditional_Release_2021-09-21_20251126181747.zip</v>
      </c>
    </row>
    <row r="129" customFormat="false" ht="18.7" hidden="false" customHeight="true" outlineLevel="0" collapsed="false">
      <c r="A129" s="1" t="n">
        <v>128</v>
      </c>
      <c r="B129" s="7" t="str">
        <f aca="false">HYPERLINK("https://mncourtfraud.com/file/27-CR-21-12714.pdf","27-CR-21-12714")</f>
        <v>27-CR-21-12714</v>
      </c>
      <c r="C129" s="1" t="n">
        <v>1</v>
      </c>
      <c r="D129" s="2" t="s">
        <v>12</v>
      </c>
      <c r="E129" s="8" t="n">
        <v>44468</v>
      </c>
      <c r="F129" s="2" t="s">
        <v>24</v>
      </c>
      <c r="G129" s="7" t="str">
        <f aca="false">HYPERLINK("https://mncourtfraud.com/file/MCRO_27-CR-21-12714_Order for Conditional Release_2021-09-29_20251126181755.pdf","MCRO_27-CR-21-12714_Order for Conditional Release_2021-09-29_20251126181755.pdf")</f>
        <v>MCRO_27-CR-21-12714_Order for Conditional Release_2021-09-29_20251126181755.pdf</v>
      </c>
      <c r="H129" s="2" t="s">
        <v>149</v>
      </c>
      <c r="I129" s="7" t="str">
        <f aca="false">HYPERLINK("https://mncourtfraud.com/file/MCRO_27-CR-21-12714_Order for Conditional Release_2021-09-29_20251126181755.pdf.ots","MCRO_27-CR-21-12714_Order for Conditional Release_2021-09-29_20251126181755.pdf.ots")</f>
        <v>MCRO_27-CR-21-12714_Order for Conditional Release_2021-09-29_20251126181755.pdf.ots</v>
      </c>
      <c r="J129" s="7" t="str">
        <f aca="false">HYPERLINK("https://mncourtfraud.com/file/MCRO_27-CR-21-12714_Order for Conditional Release_2021-09-29_20251126181755_META.txt","MCRO_27-CR-21-12714_Order for Conditional Release_2021-09-29_20251126181755_META.txt")</f>
        <v>MCRO_27-CR-21-12714_Order for Conditional Release_2021-09-29_20251126181755_META.txt</v>
      </c>
      <c r="K129" s="7" t="str">
        <f aca="false">HYPERLINK("https://mncourtfraud.com/file/MCRO_27-CR-21-12714_Order for Conditional Release_2021-09-29_20251126181755_PDFSIGS.txt","MCRO_27-CR-21-12714_Order for Conditional Release_2021-09-29_20251126181755_PDFSIGS.txt")</f>
        <v>MCRO_27-CR-21-12714_Order for Conditional Release_2021-09-29_20251126181755_PDFSIGS.txt</v>
      </c>
      <c r="L129" s="7" t="str">
        <f aca="false">HYPERLINK("https://mncourtfraud.com/file/MCRO_27-CR-21-12714_Order_for_Conditional_Release_2021-09-29_20251126181755.zip","MCRO_27-CR-21-12714_Order_for_Conditional_Release_2021-09-29_20251126181755.zip")</f>
        <v>MCRO_27-CR-21-12714_Order_for_Conditional_Release_2021-09-29_20251126181755.zip</v>
      </c>
    </row>
    <row r="130" customFormat="false" ht="18.7" hidden="false" customHeight="true" outlineLevel="0" collapsed="false">
      <c r="A130" s="1" t="n">
        <v>129</v>
      </c>
      <c r="B130" s="7" t="str">
        <f aca="false">HYPERLINK("https://mncourtfraud.com/file/27-CR-21-12714.pdf","27-CR-21-12714")</f>
        <v>27-CR-21-12714</v>
      </c>
      <c r="C130" s="1" t="n">
        <v>1</v>
      </c>
      <c r="D130" s="2" t="s">
        <v>12</v>
      </c>
      <c r="E130" s="8" t="n">
        <v>44543</v>
      </c>
      <c r="F130" s="2" t="s">
        <v>15</v>
      </c>
      <c r="G130" s="7" t="str">
        <f aca="false">HYPERLINK("https://mncourtfraud.com/file/MCRO_27-CR-21-12714_Order-Evaluation for Competency to Proceed (Rule 20.01)_2021-12-13_20251126181817.pdf","MCRO_27-CR-21-12714_Order-Evaluation for Competency to Proceed (Rule 20.01)_2021-12-13_20251126181817.pdf")</f>
        <v>MCRO_27-CR-21-12714_Order-Evaluation for Competency to Proceed (Rule 20.01)_2021-12-13_20251126181817.pdf</v>
      </c>
      <c r="H130" s="2" t="s">
        <v>150</v>
      </c>
      <c r="I130" s="7" t="str">
        <f aca="false">HYPERLINK("https://mncourtfraud.com/file/MCRO_27-CR-21-12714_Order-Evaluation for Competency to Proceed (Rule 20.01)_2021-12-13_20251126181817.pdf.ots","MCRO_27-CR-21-12714_Order-Evaluation for Competency to Proceed (Rule 20.01)_2021-12-13_20251126181817.pdf.ots")</f>
        <v>MCRO_27-CR-21-12714_Order-Evaluation for Competency to Proceed (Rule 20.01)_2021-12-13_20251126181817.pdf.ots</v>
      </c>
      <c r="J130" s="7" t="str">
        <f aca="false">HYPERLINK("https://mncourtfraud.com/file/MCRO_27-CR-21-12714_Order-Evaluation for Competency to Proceed (Rule 20.01)_2021-12-13_20251126181817_META.txt","MCRO_27-CR-21-12714_Order-Evaluation for Competency to Proceed (Rule 20.01)_2021-12-13_20251126181817_META.txt")</f>
        <v>MCRO_27-CR-21-12714_Order-Evaluation for Competency to Proceed (Rule 20.01)_2021-12-13_20251126181817_META.txt</v>
      </c>
      <c r="K130" s="7" t="str">
        <f aca="false">HYPERLINK("https://mncourtfraud.com/file/MCRO_27-CR-21-12714_Order-Evaluation for Competency to Proceed (Rule 20.01)_2021-12-13_20251126181817_PDFSIGS.txt","MCRO_27-CR-21-12714_Order-Evaluation for Competency to Proceed (Rule 20.01)_2021-12-13_20251126181817_PDFSIGS.txt")</f>
        <v>MCRO_27-CR-21-12714_Order-Evaluation for Competency to Proceed (Rule 20.01)_2021-12-13_20251126181817_PDFSIGS.txt</v>
      </c>
      <c r="L130" s="7" t="str">
        <f aca="false">HYPERLINK("https://mncourtfraud.com/file/MCRO_27-CR-21-12714_Order-Evaluation_for_Competency_to_Proceed_(Rule_20.01)_2021-12-13_20251126181817.zip","MCRO_27-CR-21-12714_Order-Evaluation_for_Competency_to_Proceed_(Rule_20.01)_2021-12-13_20251126181817.zip")</f>
        <v>MCRO_27-CR-21-12714_Order-Evaluation_for_Competency_to_Proceed_(Rule_20.01)_2021-12-13_20251126181817.zip</v>
      </c>
    </row>
    <row r="131" customFormat="false" ht="18.7" hidden="false" customHeight="true" outlineLevel="0" collapsed="false">
      <c r="A131" s="1" t="n">
        <v>130</v>
      </c>
      <c r="B131" s="7" t="str">
        <f aca="false">HYPERLINK("https://mncourtfraud.com/file/27-CR-21-12714.pdf","27-CR-21-12714")</f>
        <v>27-CR-21-12714</v>
      </c>
      <c r="C131" s="1" t="n">
        <v>1</v>
      </c>
      <c r="D131" s="2" t="s">
        <v>12</v>
      </c>
      <c r="E131" s="8" t="n">
        <v>44558</v>
      </c>
      <c r="F131" s="2" t="s">
        <v>15</v>
      </c>
      <c r="G131" s="7" t="str">
        <f aca="false">HYPERLINK("https://mncourtfraud.com/file/MCRO_27-CR-21-12714_Order-Evaluation for Competency to Proceed (Rule 20.01)_2021-12-28_20251126181825.pdf","MCRO_27-CR-21-12714_Order-Evaluation for Competency to Proceed (Rule 20.01)_2021-12-28_20251126181825.pdf")</f>
        <v>MCRO_27-CR-21-12714_Order-Evaluation for Competency to Proceed (Rule 20.01)_2021-12-28_20251126181825.pdf</v>
      </c>
      <c r="H131" s="2" t="s">
        <v>151</v>
      </c>
      <c r="I131" s="7" t="str">
        <f aca="false">HYPERLINK("https://mncourtfraud.com/file/MCRO_27-CR-21-12714_Order-Evaluation for Competency to Proceed (Rule 20.01)_2021-12-28_20251126181825.pdf.ots","MCRO_27-CR-21-12714_Order-Evaluation for Competency to Proceed (Rule 20.01)_2021-12-28_20251126181825.pdf.ots")</f>
        <v>MCRO_27-CR-21-12714_Order-Evaluation for Competency to Proceed (Rule 20.01)_2021-12-28_20251126181825.pdf.ots</v>
      </c>
      <c r="J131" s="7" t="str">
        <f aca="false">HYPERLINK("https://mncourtfraud.com/file/MCRO_27-CR-21-12714_Order-Evaluation for Competency to Proceed (Rule 20.01)_2021-12-28_20251126181825_META.txt","MCRO_27-CR-21-12714_Order-Evaluation for Competency to Proceed (Rule 20.01)_2021-12-28_20251126181825_META.txt")</f>
        <v>MCRO_27-CR-21-12714_Order-Evaluation for Competency to Proceed (Rule 20.01)_2021-12-28_20251126181825_META.txt</v>
      </c>
      <c r="K131" s="7" t="str">
        <f aca="false">HYPERLINK("https://mncourtfraud.com/file/MCRO_27-CR-21-12714_Order-Evaluation for Competency to Proceed (Rule 20.01)_2021-12-28_20251126181825_PDFSIGS.txt","MCRO_27-CR-21-12714_Order-Evaluation for Competency to Proceed (Rule 20.01)_2021-12-28_20251126181825_PDFSIGS.txt")</f>
        <v>MCRO_27-CR-21-12714_Order-Evaluation for Competency to Proceed (Rule 20.01)_2021-12-28_20251126181825_PDFSIGS.txt</v>
      </c>
      <c r="L131" s="7" t="str">
        <f aca="false">HYPERLINK("https://mncourtfraud.com/file/MCRO_27-CR-21-12714_Order-Evaluation_for_Competency_to_Proceed_(Rule_20.01)_2021-12-28_20251126181825.zip","MCRO_27-CR-21-12714_Order-Evaluation_for_Competency_to_Proceed_(Rule_20.01)_2021-12-28_20251126181825.zip")</f>
        <v>MCRO_27-CR-21-12714_Order-Evaluation_for_Competency_to_Proceed_(Rule_20.01)_2021-12-28_20251126181825.zip</v>
      </c>
    </row>
    <row r="132" customFormat="false" ht="18.7" hidden="false" customHeight="true" outlineLevel="0" collapsed="false">
      <c r="A132" s="1" t="n">
        <v>131</v>
      </c>
      <c r="B132" s="7" t="str">
        <f aca="false">HYPERLINK("https://mncourtfraud.com/file/27-CR-21-12714.pdf","27-CR-21-12714")</f>
        <v>27-CR-21-12714</v>
      </c>
      <c r="C132" s="1" t="n">
        <v>1</v>
      </c>
      <c r="D132" s="2" t="s">
        <v>12</v>
      </c>
      <c r="E132" s="8" t="n">
        <v>44593</v>
      </c>
      <c r="F132" s="2" t="s">
        <v>19</v>
      </c>
      <c r="G132" s="7" t="str">
        <f aca="false">HYPERLINK("https://mncourtfraud.com/file/MCRO_27-CR-21-12714_Findings and Order_2022-02-01_20251126181711.pdf","MCRO_27-CR-21-12714_Findings and Order_2022-02-01_20251126181711.pdf")</f>
        <v>MCRO_27-CR-21-12714_Findings and Order_2022-02-01_20251126181711.pdf</v>
      </c>
      <c r="H132" s="2" t="s">
        <v>152</v>
      </c>
      <c r="I132" s="7" t="str">
        <f aca="false">HYPERLINK("https://mncourtfraud.com/file/MCRO_27-CR-21-12714_Findings and Order_2022-02-01_20251126181711.pdf.ots","MCRO_27-CR-21-12714_Findings and Order_2022-02-01_20251126181711.pdf.ots")</f>
        <v>MCRO_27-CR-21-12714_Findings and Order_2022-02-01_20251126181711.pdf.ots</v>
      </c>
      <c r="J132" s="7" t="str">
        <f aca="false">HYPERLINK("https://mncourtfraud.com/file/MCRO_27-CR-21-12714_Findings and Order_2022-02-01_20251126181711_META.txt","MCRO_27-CR-21-12714_Findings and Order_2022-02-01_20251126181711_META.txt")</f>
        <v>MCRO_27-CR-21-12714_Findings and Order_2022-02-01_20251126181711_META.txt</v>
      </c>
      <c r="K132" s="7" t="str">
        <f aca="false">HYPERLINK("https://mncourtfraud.com/file/MCRO_27-CR-21-12714_Findings and Order_2022-02-01_20251126181711_PDFSIGS.txt","MCRO_27-CR-21-12714_Findings and Order_2022-02-01_20251126181711_PDFSIGS.txt")</f>
        <v>MCRO_27-CR-21-12714_Findings and Order_2022-02-01_20251126181711_PDFSIGS.txt</v>
      </c>
      <c r="L132" s="7" t="str">
        <f aca="false">HYPERLINK("https://mncourtfraud.com/file/MCRO_27-CR-21-12714_Findings_and_Order_2022-02-01_20251126181711.zip","MCRO_27-CR-21-12714_Findings_and_Order_2022-02-01_20251126181711.zip")</f>
        <v>MCRO_27-CR-21-12714_Findings_and_Order_2022-02-01_20251126181711.zip</v>
      </c>
    </row>
    <row r="133" customFormat="false" ht="18.7" hidden="false" customHeight="true" outlineLevel="0" collapsed="false">
      <c r="A133" s="1" t="n">
        <v>132</v>
      </c>
      <c r="B133" s="7" t="str">
        <f aca="false">HYPERLINK("https://mncourtfraud.com/file/27-CR-21-12714.pdf","27-CR-21-12714")</f>
        <v>27-CR-21-12714</v>
      </c>
      <c r="C133" s="1" t="n">
        <v>1</v>
      </c>
      <c r="D133" s="2" t="s">
        <v>12</v>
      </c>
      <c r="E133" s="8" t="n">
        <v>44692</v>
      </c>
      <c r="F133" s="2" t="s">
        <v>15</v>
      </c>
      <c r="G133" s="7" t="str">
        <f aca="false">HYPERLINK("https://mncourtfraud.com/file/MCRO_27-CR-21-12714_Order-Evaluation for Competency to Proceed (Rule 20.01)_2022-05-11_20251126181834.pdf","MCRO_27-CR-21-12714_Order-Evaluation for Competency to Proceed (Rule 20.01)_2022-05-11_20251126181834.pdf")</f>
        <v>MCRO_27-CR-21-12714_Order-Evaluation for Competency to Proceed (Rule 20.01)_2022-05-11_20251126181834.pdf</v>
      </c>
      <c r="H133" s="2" t="s">
        <v>153</v>
      </c>
      <c r="I133" s="7" t="str">
        <f aca="false">HYPERLINK("https://mncourtfraud.com/file/MCRO_27-CR-21-12714_Order-Evaluation for Competency to Proceed (Rule 20.01)_2022-05-11_20251126181834.pdf.ots","MCRO_27-CR-21-12714_Order-Evaluation for Competency to Proceed (Rule 20.01)_2022-05-11_20251126181834.pdf.ots")</f>
        <v>MCRO_27-CR-21-12714_Order-Evaluation for Competency to Proceed (Rule 20.01)_2022-05-11_20251126181834.pdf.ots</v>
      </c>
      <c r="J133" s="7" t="str">
        <f aca="false">HYPERLINK("https://mncourtfraud.com/file/MCRO_27-CR-21-12714_Order-Evaluation for Competency to Proceed (Rule 20.01)_2022-05-11_20251126181834_META.txt","MCRO_27-CR-21-12714_Order-Evaluation for Competency to Proceed (Rule 20.01)_2022-05-11_20251126181834_META.txt")</f>
        <v>MCRO_27-CR-21-12714_Order-Evaluation for Competency to Proceed (Rule 20.01)_2022-05-11_20251126181834_META.txt</v>
      </c>
      <c r="K133" s="7" t="str">
        <f aca="false">HYPERLINK("https://mncourtfraud.com/file/MCRO_27-CR-21-12714_Order-Evaluation for Competency to Proceed (Rule 20.01)_2022-05-11_20251126181834_PDFSIGS.txt","MCRO_27-CR-21-12714_Order-Evaluation for Competency to Proceed (Rule 20.01)_2022-05-11_20251126181834_PDFSIGS.txt")</f>
        <v>MCRO_27-CR-21-12714_Order-Evaluation for Competency to Proceed (Rule 20.01)_2022-05-11_20251126181834_PDFSIGS.txt</v>
      </c>
      <c r="L133" s="7" t="str">
        <f aca="false">HYPERLINK("https://mncourtfraud.com/file/MCRO_27-CR-21-12714_Order-Evaluation_for_Competency_to_Proceed_(Rule_20.01)_2022-05-11_20251126181834.zip","MCRO_27-CR-21-12714_Order-Evaluation_for_Competency_to_Proceed_(Rule_20.01)_2022-05-11_20251126181834.zip")</f>
        <v>MCRO_27-CR-21-12714_Order-Evaluation_for_Competency_to_Proceed_(Rule_20.01)_2022-05-11_20251126181834.zip</v>
      </c>
    </row>
    <row r="134" customFormat="false" ht="18.7" hidden="false" customHeight="true" outlineLevel="0" collapsed="false">
      <c r="A134" s="1" t="n">
        <v>133</v>
      </c>
      <c r="B134" s="7" t="str">
        <f aca="false">HYPERLINK("https://mncourtfraud.com/file/27-CR-21-12714.pdf","27-CR-21-12714")</f>
        <v>27-CR-21-12714</v>
      </c>
      <c r="C134" s="1" t="n">
        <v>1</v>
      </c>
      <c r="D134" s="2" t="s">
        <v>12</v>
      </c>
      <c r="E134" s="8" t="n">
        <v>44895</v>
      </c>
      <c r="F134" s="2" t="s">
        <v>15</v>
      </c>
      <c r="G134" s="7" t="str">
        <f aca="false">HYPERLINK("https://mncourtfraud.com/file/MCRO_27-CR-21-12714_Order-Evaluation for Competency to Proceed (Rule 20.01)_2022-11-30_20251126181847.pdf","MCRO_27-CR-21-12714_Order-Evaluation for Competency to Proceed (Rule 20.01)_2022-11-30_20251126181847.pdf")</f>
        <v>MCRO_27-CR-21-12714_Order-Evaluation for Competency to Proceed (Rule 20.01)_2022-11-30_20251126181847.pdf</v>
      </c>
      <c r="H134" s="2" t="s">
        <v>154</v>
      </c>
      <c r="I134" s="7" t="str">
        <f aca="false">HYPERLINK("https://mncourtfraud.com/file/MCRO_27-CR-21-12714_Order-Evaluation for Competency to Proceed (Rule 20.01)_2022-11-30_20251126181847.pdf.ots","MCRO_27-CR-21-12714_Order-Evaluation for Competency to Proceed (Rule 20.01)_2022-11-30_20251126181847.pdf.ots")</f>
        <v>MCRO_27-CR-21-12714_Order-Evaluation for Competency to Proceed (Rule 20.01)_2022-11-30_20251126181847.pdf.ots</v>
      </c>
      <c r="J134" s="7" t="str">
        <f aca="false">HYPERLINK("https://mncourtfraud.com/file/MCRO_27-CR-21-12714_Order-Evaluation for Competency to Proceed (Rule 20.01)_2022-11-30_20251126181847_META.txt","MCRO_27-CR-21-12714_Order-Evaluation for Competency to Proceed (Rule 20.01)_2022-11-30_20251126181847_META.txt")</f>
        <v>MCRO_27-CR-21-12714_Order-Evaluation for Competency to Proceed (Rule 20.01)_2022-11-30_20251126181847_META.txt</v>
      </c>
      <c r="K134" s="7" t="str">
        <f aca="false">HYPERLINK("https://mncourtfraud.com/file/MCRO_27-CR-21-12714_Order-Evaluation for Competency to Proceed (Rule 20.01)_2022-11-30_20251126181847_PDFSIGS.txt","MCRO_27-CR-21-12714_Order-Evaluation for Competency to Proceed (Rule 20.01)_2022-11-30_20251126181847_PDFSIGS.txt")</f>
        <v>MCRO_27-CR-21-12714_Order-Evaluation for Competency to Proceed (Rule 20.01)_2022-11-30_20251126181847_PDFSIGS.txt</v>
      </c>
      <c r="L134" s="7" t="str">
        <f aca="false">HYPERLINK("https://mncourtfraud.com/file/MCRO_27-CR-21-12714_Order-Evaluation_for_Competency_to_Proceed_(Rule_20.01)_2022-11-30_20251126181847.zip","MCRO_27-CR-21-12714_Order-Evaluation_for_Competency_to_Proceed_(Rule_20.01)_2022-11-30_20251126181847.zip")</f>
        <v>MCRO_27-CR-21-12714_Order-Evaluation_for_Competency_to_Proceed_(Rule_20.01)_2022-11-30_20251126181847.zip</v>
      </c>
    </row>
    <row r="135" customFormat="false" ht="18.7" hidden="false" customHeight="true" outlineLevel="0" collapsed="false">
      <c r="A135" s="1" t="n">
        <v>134</v>
      </c>
      <c r="B135" s="7" t="str">
        <f aca="false">HYPERLINK("https://mncourtfraud.com/file/27-CR-21-12714.pdf","27-CR-21-12714")</f>
        <v>27-CR-21-12714</v>
      </c>
      <c r="C135" s="1" t="n">
        <v>1</v>
      </c>
      <c r="D135" s="2" t="s">
        <v>12</v>
      </c>
      <c r="E135" s="8" t="n">
        <v>45048</v>
      </c>
      <c r="F135" s="2" t="s">
        <v>80</v>
      </c>
      <c r="G135" s="7" t="str">
        <f aca="false">HYPERLINK("https://mncourtfraud.com/file/MCRO_27-CR-21-12714_Finding of Incompetency and Order_2023-05-02_20251126181658.pdf","MCRO_27-CR-21-12714_Finding of Incompetency and Order_2023-05-02_20251126181658.pdf")</f>
        <v>MCRO_27-CR-21-12714_Finding of Incompetency and Order_2023-05-02_20251126181658.pdf</v>
      </c>
      <c r="H135" s="2" t="s">
        <v>155</v>
      </c>
      <c r="I135" s="7" t="str">
        <f aca="false">HYPERLINK("https://mncourtfraud.com/file/MCRO_27-CR-21-12714_Finding of Incompetency and Order_2023-05-02_20251126181658.pdf.ots","MCRO_27-CR-21-12714_Finding of Incompetency and Order_2023-05-02_20251126181658.pdf.ots")</f>
        <v>MCRO_27-CR-21-12714_Finding of Incompetency and Order_2023-05-02_20251126181658.pdf.ots</v>
      </c>
      <c r="J135" s="7" t="str">
        <f aca="false">HYPERLINK("https://mncourtfraud.com/file/MCRO_27-CR-21-12714_Finding of Incompetency and Order_2023-05-02_20251126181658_META.txt","MCRO_27-CR-21-12714_Finding of Incompetency and Order_2023-05-02_20251126181658_META.txt")</f>
        <v>MCRO_27-CR-21-12714_Finding of Incompetency and Order_2023-05-02_20251126181658_META.txt</v>
      </c>
      <c r="K135" s="7" t="str">
        <f aca="false">HYPERLINK("https://mncourtfraud.com/file/MCRO_27-CR-21-12714_Finding of Incompetency and Order_2023-05-02_20251126181658_PDFSIGS.txt","MCRO_27-CR-21-12714_Finding of Incompetency and Order_2023-05-02_20251126181658_PDFSIGS.txt")</f>
        <v>MCRO_27-CR-21-12714_Finding of Incompetency and Order_2023-05-02_20251126181658_PDFSIGS.txt</v>
      </c>
      <c r="L135" s="7" t="str">
        <f aca="false">HYPERLINK("https://mncourtfraud.com/file/MCRO_27-CR-21-12714_Finding_of_Incompetency_and_Order_2023-05-02_20251126181658.zip","MCRO_27-CR-21-12714_Finding_of_Incompetency_and_Order_2023-05-02_20251126181658.zip")</f>
        <v>MCRO_27-CR-21-12714_Finding_of_Incompetency_and_Order_2023-05-02_20251126181658.zip</v>
      </c>
    </row>
    <row r="136" customFormat="false" ht="18.7" hidden="false" customHeight="true" outlineLevel="0" collapsed="false">
      <c r="A136" s="1" t="n">
        <v>135</v>
      </c>
      <c r="B136" s="7" t="str">
        <f aca="false">HYPERLINK("https://mncourtfraud.com/file/27-CR-21-12714.pdf","27-CR-21-12714")</f>
        <v>27-CR-21-12714</v>
      </c>
      <c r="C136" s="1" t="n">
        <v>1</v>
      </c>
      <c r="D136" s="2" t="s">
        <v>12</v>
      </c>
      <c r="E136" s="8" t="n">
        <v>45160</v>
      </c>
      <c r="F136" s="2" t="s">
        <v>15</v>
      </c>
      <c r="G136" s="7" t="str">
        <f aca="false">HYPERLINK("https://mncourtfraud.com/file/MCRO_27-CR-21-12714_Order-Evaluation for Competency to Proceed (Rule 20.01)_2023-08-22_20251126181856.pdf","MCRO_27-CR-21-12714_Order-Evaluation for Competency to Proceed (Rule 20.01)_2023-08-22_20251126181856.pdf")</f>
        <v>MCRO_27-CR-21-12714_Order-Evaluation for Competency to Proceed (Rule 20.01)_2023-08-22_20251126181856.pdf</v>
      </c>
      <c r="H136" s="2" t="s">
        <v>156</v>
      </c>
      <c r="I136" s="7" t="str">
        <f aca="false">HYPERLINK("https://mncourtfraud.com/file/MCRO_27-CR-21-12714_Order-Evaluation for Competency to Proceed (Rule 20.01)_2023-08-22_20251126181856.pdf.ots","MCRO_27-CR-21-12714_Order-Evaluation for Competency to Proceed (Rule 20.01)_2023-08-22_20251126181856.pdf.ots")</f>
        <v>MCRO_27-CR-21-12714_Order-Evaluation for Competency to Proceed (Rule 20.01)_2023-08-22_20251126181856.pdf.ots</v>
      </c>
      <c r="J136" s="7" t="str">
        <f aca="false">HYPERLINK("https://mncourtfraud.com/file/MCRO_27-CR-21-12714_Order-Evaluation for Competency to Proceed (Rule 20.01)_2023-08-22_20251126181856_META.txt","MCRO_27-CR-21-12714_Order-Evaluation for Competency to Proceed (Rule 20.01)_2023-08-22_20251126181856_META.txt")</f>
        <v>MCRO_27-CR-21-12714_Order-Evaluation for Competency to Proceed (Rule 20.01)_2023-08-22_20251126181856_META.txt</v>
      </c>
      <c r="K136" s="7" t="str">
        <f aca="false">HYPERLINK("https://mncourtfraud.com/file/MCRO_27-CR-21-12714_Order-Evaluation for Competency to Proceed (Rule 20.01)_2023-08-22_20251126181856_PDFSIGS.txt","MCRO_27-CR-21-12714_Order-Evaluation for Competency to Proceed (Rule 20.01)_2023-08-22_20251126181856_PDFSIGS.txt")</f>
        <v>MCRO_27-CR-21-12714_Order-Evaluation for Competency to Proceed (Rule 20.01)_2023-08-22_20251126181856_PDFSIGS.txt</v>
      </c>
      <c r="L136" s="7" t="str">
        <f aca="false">HYPERLINK("https://mncourtfraud.com/file/MCRO_27-CR-21-12714_Order-Evaluation_for_Competency_to_Proceed_(Rule_20.01)_2023-08-22_20251126181856.zip","MCRO_27-CR-21-12714_Order-Evaluation_for_Competency_to_Proceed_(Rule_20.01)_2023-08-22_20251126181856.zip")</f>
        <v>MCRO_27-CR-21-12714_Order-Evaluation_for_Competency_to_Proceed_(Rule_20.01)_2023-08-22_20251126181856.zip</v>
      </c>
    </row>
    <row r="137" customFormat="false" ht="18.7" hidden="false" customHeight="true" outlineLevel="0" collapsed="false">
      <c r="A137" s="1" t="n">
        <v>136</v>
      </c>
      <c r="B137" s="7" t="str">
        <f aca="false">HYPERLINK("https://mncourtfraud.com/file/27-CR-21-12714.pdf","27-CR-21-12714")</f>
        <v>27-CR-21-12714</v>
      </c>
      <c r="C137" s="1" t="n">
        <v>1</v>
      </c>
      <c r="D137" s="2" t="s">
        <v>12</v>
      </c>
      <c r="E137" s="8" t="n">
        <v>45412</v>
      </c>
      <c r="F137" s="2" t="s">
        <v>24</v>
      </c>
      <c r="G137" s="7" t="str">
        <f aca="false">HYPERLINK("https://mncourtfraud.com/file/MCRO_27-CR-21-12714_Order for Conditional Release_2024-04-30_20251126181738.pdf","MCRO_27-CR-21-12714_Order for Conditional Release_2024-04-30_20251126181738.pdf")</f>
        <v>MCRO_27-CR-21-12714_Order for Conditional Release_2024-04-30_20251126181738.pdf</v>
      </c>
      <c r="H137" s="2" t="s">
        <v>157</v>
      </c>
      <c r="I137" s="7" t="str">
        <f aca="false">HYPERLINK("https://mncourtfraud.com/file/MCRO_27-CR-21-12714_Order for Conditional Release_2024-04-30_20251126181738.pdf.ots","MCRO_27-CR-21-12714_Order for Conditional Release_2024-04-30_20251126181738.pdf.ots")</f>
        <v>MCRO_27-CR-21-12714_Order for Conditional Release_2024-04-30_20251126181738.pdf.ots</v>
      </c>
      <c r="J137" s="7" t="str">
        <f aca="false">HYPERLINK("https://mncourtfraud.com/file/MCRO_27-CR-21-12714_Order for Conditional Release_2024-04-30_20251126181738_META.txt","MCRO_27-CR-21-12714_Order for Conditional Release_2024-04-30_20251126181738_META.txt")</f>
        <v>MCRO_27-CR-21-12714_Order for Conditional Release_2024-04-30_20251126181738_META.txt</v>
      </c>
      <c r="K137" s="7" t="str">
        <f aca="false">HYPERLINK("https://mncourtfraud.com/file/MCRO_27-CR-21-12714_Order for Conditional Release_2024-04-30_20251126181738_PDFSIGS.txt","MCRO_27-CR-21-12714_Order for Conditional Release_2024-04-30_20251126181738_PDFSIGS.txt")</f>
        <v>MCRO_27-CR-21-12714_Order for Conditional Release_2024-04-30_20251126181738_PDFSIGS.txt</v>
      </c>
      <c r="L137" s="7" t="str">
        <f aca="false">HYPERLINK("https://mncourtfraud.com/file/MCRO_27-CR-21-12714_Order_for_Conditional_Release_2024-04-30_20251126181738.zip","MCRO_27-CR-21-12714_Order_for_Conditional_Release_2024-04-30_20251126181738.zip")</f>
        <v>MCRO_27-CR-21-12714_Order_for_Conditional_Release_2024-04-30_20251126181738.zip</v>
      </c>
    </row>
    <row r="138" customFormat="false" ht="18.7" hidden="false" customHeight="true" outlineLevel="0" collapsed="false">
      <c r="A138" s="1" t="n">
        <v>137</v>
      </c>
      <c r="B138" s="7" t="str">
        <f aca="false">HYPERLINK("https://mncourtfraud.com/file/27-CR-21-12714.pdf","27-CR-21-12714")</f>
        <v>27-CR-21-12714</v>
      </c>
      <c r="C138" s="1" t="n">
        <v>1</v>
      </c>
      <c r="D138" s="2" t="s">
        <v>12</v>
      </c>
      <c r="E138" s="8" t="n">
        <v>45412</v>
      </c>
      <c r="F138" s="2" t="s">
        <v>15</v>
      </c>
      <c r="G138" s="7" t="str">
        <f aca="false">HYPERLINK("https://mncourtfraud.com/file/MCRO_27-CR-21-12714_Order-Evaluation for Competency to Proceed (Rule 20.01)_2024-04-30_20251126181906.pdf","MCRO_27-CR-21-12714_Order-Evaluation for Competency to Proceed (Rule 20.01)_2024-04-30_20251126181906.pdf")</f>
        <v>MCRO_27-CR-21-12714_Order-Evaluation for Competency to Proceed (Rule 20.01)_2024-04-30_20251126181906.pdf</v>
      </c>
      <c r="H138" s="2" t="s">
        <v>158</v>
      </c>
      <c r="I138" s="7" t="str">
        <f aca="false">HYPERLINK("https://mncourtfraud.com/file/MCRO_27-CR-21-12714_Order-Evaluation for Competency to Proceed (Rule 20.01)_2024-04-30_20251126181906.pdf.ots","MCRO_27-CR-21-12714_Order-Evaluation for Competency to Proceed (Rule 20.01)_2024-04-30_20251126181906.pdf.ots")</f>
        <v>MCRO_27-CR-21-12714_Order-Evaluation for Competency to Proceed (Rule 20.01)_2024-04-30_20251126181906.pdf.ots</v>
      </c>
      <c r="J138" s="7" t="str">
        <f aca="false">HYPERLINK("https://mncourtfraud.com/file/MCRO_27-CR-21-12714_Order-Evaluation for Competency to Proceed (Rule 20.01)_2024-04-30_20251126181906_META.txt","MCRO_27-CR-21-12714_Order-Evaluation for Competency to Proceed (Rule 20.01)_2024-04-30_20251126181906_META.txt")</f>
        <v>MCRO_27-CR-21-12714_Order-Evaluation for Competency to Proceed (Rule 20.01)_2024-04-30_20251126181906_META.txt</v>
      </c>
      <c r="K138" s="7" t="str">
        <f aca="false">HYPERLINK("https://mncourtfraud.com/file/MCRO_27-CR-21-12714_Order-Evaluation for Competency to Proceed (Rule 20.01)_2024-04-30_20251126181906_PDFSIGS.txt","MCRO_27-CR-21-12714_Order-Evaluation for Competency to Proceed (Rule 20.01)_2024-04-30_20251126181906_PDFSIGS.txt")</f>
        <v>MCRO_27-CR-21-12714_Order-Evaluation for Competency to Proceed (Rule 20.01)_2024-04-30_20251126181906_PDFSIGS.txt</v>
      </c>
      <c r="L138" s="7" t="str">
        <f aca="false">HYPERLINK("https://mncourtfraud.com/file/MCRO_27-CR-21-12714_Order-Evaluation_for_Competency_to_Proceed_(Rule_20.01)_2024-04-30_20251126181906.zip","MCRO_27-CR-21-12714_Order-Evaluation_for_Competency_to_Proceed_(Rule_20.01)_2024-04-30_20251126181906.zip")</f>
        <v>MCRO_27-CR-21-12714_Order-Evaluation_for_Competency_to_Proceed_(Rule_20.01)_2024-04-30_20251126181906.zip</v>
      </c>
    </row>
    <row r="139" customFormat="false" ht="18.7" hidden="false" customHeight="true" outlineLevel="0" collapsed="false">
      <c r="A139" s="1" t="n">
        <v>138</v>
      </c>
      <c r="B139" s="7" t="str">
        <f aca="false">HYPERLINK("https://mncourtfraud.com/file/27-CR-21-12749.pdf","27-CR-21-12749")</f>
        <v>27-CR-21-12749</v>
      </c>
      <c r="C139" s="1" t="n">
        <v>1</v>
      </c>
      <c r="D139" s="2" t="s">
        <v>12</v>
      </c>
      <c r="E139" s="8" t="n">
        <v>44396</v>
      </c>
      <c r="F139" s="2" t="s">
        <v>15</v>
      </c>
      <c r="G139" s="7" t="str">
        <f aca="false">HYPERLINK("https://mncourtfraud.com/file/MCRO_27-CR-21-12749_Order-Evaluation for Competency to Proceed (Rule 20.01)_2021-07-19_20251126182123.pdf","MCRO_27-CR-21-12749_Order-Evaluation for Competency to Proceed (Rule 20.01)_2021-07-19_20251126182123.pdf")</f>
        <v>MCRO_27-CR-21-12749_Order-Evaluation for Competency to Proceed (Rule 20.01)_2021-07-19_20251126182123.pdf</v>
      </c>
      <c r="H139" s="2" t="s">
        <v>159</v>
      </c>
      <c r="I139" s="7" t="str">
        <f aca="false">HYPERLINK("https://mncourtfraud.com/file/MCRO_27-CR-21-12749_Order-Evaluation for Competency to Proceed (Rule 20.01)_2021-07-19_20251126182123.pdf.ots","MCRO_27-CR-21-12749_Order-Evaluation for Competency to Proceed (Rule 20.01)_2021-07-19_20251126182123.pdf.ots")</f>
        <v>MCRO_27-CR-21-12749_Order-Evaluation for Competency to Proceed (Rule 20.01)_2021-07-19_20251126182123.pdf.ots</v>
      </c>
      <c r="J139" s="7" t="str">
        <f aca="false">HYPERLINK("https://mncourtfraud.com/file/MCRO_27-CR-21-12749_Order-Evaluation for Competency to Proceed (Rule 20.01)_2021-07-19_20251126182123_META.txt","MCRO_27-CR-21-12749_Order-Evaluation for Competency to Proceed (Rule 20.01)_2021-07-19_20251126182123_META.txt")</f>
        <v>MCRO_27-CR-21-12749_Order-Evaluation for Competency to Proceed (Rule 20.01)_2021-07-19_20251126182123_META.txt</v>
      </c>
      <c r="K139" s="7" t="str">
        <f aca="false">HYPERLINK("https://mncourtfraud.com/file/MCRO_27-CR-21-12749_Order-Evaluation for Competency to Proceed (Rule 20.01)_2021-07-19_20251126182123_PDFSIGS.txt","MCRO_27-CR-21-12749_Order-Evaluation for Competency to Proceed (Rule 20.01)_2021-07-19_20251126182123_PDFSIGS.txt")</f>
        <v>MCRO_27-CR-21-12749_Order-Evaluation for Competency to Proceed (Rule 20.01)_2021-07-19_20251126182123_PDFSIGS.txt</v>
      </c>
      <c r="L139" s="7" t="str">
        <f aca="false">HYPERLINK("https://mncourtfraud.com/file/MCRO_27-CR-21-12749_Order-Evaluation_for_Competency_to_Proceed_(Rule_20.01)_2021-07-19_20251126182123.zip","MCRO_27-CR-21-12749_Order-Evaluation_for_Competency_to_Proceed_(Rule_20.01)_2021-07-19_20251126182123.zip")</f>
        <v>MCRO_27-CR-21-12749_Order-Evaluation_for_Competency_to_Proceed_(Rule_20.01)_2021-07-19_20251126182123.zip</v>
      </c>
    </row>
    <row r="140" customFormat="false" ht="18.7" hidden="false" customHeight="true" outlineLevel="0" collapsed="false">
      <c r="A140" s="1" t="n">
        <v>139</v>
      </c>
      <c r="B140" s="7" t="str">
        <f aca="false">HYPERLINK("https://mncourtfraud.com/file/27-CR-21-12749.pdf","27-CR-21-12749")</f>
        <v>27-CR-21-12749</v>
      </c>
      <c r="C140" s="1" t="n">
        <v>1</v>
      </c>
      <c r="D140" s="2" t="s">
        <v>12</v>
      </c>
      <c r="E140" s="8" t="n">
        <v>44405</v>
      </c>
      <c r="F140" s="2" t="s">
        <v>145</v>
      </c>
      <c r="G140" s="7" t="str">
        <f aca="false">HYPERLINK("https://mncourtfraud.com/file/MCRO_27-CR-21-12749_Demand or Request for Discovery_2021-07-28_20251126181936.pdf","MCRO_27-CR-21-12749_Demand or Request for Discovery_2021-07-28_20251126181936.pdf")</f>
        <v>MCRO_27-CR-21-12749_Demand or Request for Discovery_2021-07-28_20251126181936.pdf</v>
      </c>
      <c r="H140" s="2" t="s">
        <v>160</v>
      </c>
      <c r="I140" s="7" t="str">
        <f aca="false">HYPERLINK("https://mncourtfraud.com/file/MCRO_27-CR-21-12749_Demand or Request for Discovery_2021-07-28_20251126181936.pdf.ots","MCRO_27-CR-21-12749_Demand or Request for Discovery_2021-07-28_20251126181936.pdf.ots")</f>
        <v>MCRO_27-CR-21-12749_Demand or Request for Discovery_2021-07-28_20251126181936.pdf.ots</v>
      </c>
      <c r="J140" s="7" t="str">
        <f aca="false">HYPERLINK("https://mncourtfraud.com/file/MCRO_27-CR-21-12749_Demand or Request for Discovery_2021-07-28_20251126181936_META.txt","MCRO_27-CR-21-12749_Demand or Request for Discovery_2021-07-28_20251126181936_META.txt")</f>
        <v>MCRO_27-CR-21-12749_Demand or Request for Discovery_2021-07-28_20251126181936_META.txt</v>
      </c>
      <c r="K140" s="7" t="str">
        <f aca="false">HYPERLINK("https://mncourtfraud.com/file/MCRO_27-CR-21-12749_Demand or Request for Discovery_2021-07-28_20251126181936_PDFSIGS.txt","MCRO_27-CR-21-12749_Demand or Request for Discovery_2021-07-28_20251126181936_PDFSIGS.txt")</f>
        <v>MCRO_27-CR-21-12749_Demand or Request for Discovery_2021-07-28_20251126181936_PDFSIGS.txt</v>
      </c>
      <c r="L140" s="7" t="str">
        <f aca="false">HYPERLINK("https://mncourtfraud.com/file/MCRO_27-CR-21-12749_Demand_or_Request_for_Discovery_2021-07-28_20251126181936.zip","MCRO_27-CR-21-12749_Demand_or_Request_for_Discovery_2021-07-28_20251126181936.zip")</f>
        <v>MCRO_27-CR-21-12749_Demand_or_Request_for_Discovery_2021-07-28_20251126181936.zip</v>
      </c>
    </row>
    <row r="141" customFormat="false" ht="18.7" hidden="false" customHeight="true" outlineLevel="0" collapsed="false">
      <c r="A141" s="1" t="n">
        <v>140</v>
      </c>
      <c r="B141" s="7" t="str">
        <f aca="false">HYPERLINK("https://mncourtfraud.com/file/27-CR-21-12749.pdf","27-CR-21-12749")</f>
        <v>27-CR-21-12749</v>
      </c>
      <c r="C141" s="1" t="n">
        <v>1</v>
      </c>
      <c r="D141" s="2" t="s">
        <v>12</v>
      </c>
      <c r="E141" s="8" t="n">
        <v>44439</v>
      </c>
      <c r="F141" s="2" t="s">
        <v>19</v>
      </c>
      <c r="G141" s="7" t="str">
        <f aca="false">HYPERLINK("https://mncourtfraud.com/file/MCRO_27-CR-21-12749_Findings and Order_2021-08-31_20251126182009.pdf","MCRO_27-CR-21-12749_Findings and Order_2021-08-31_20251126182009.pdf")</f>
        <v>MCRO_27-CR-21-12749_Findings and Order_2021-08-31_20251126182009.pdf</v>
      </c>
      <c r="H141" s="2" t="s">
        <v>161</v>
      </c>
      <c r="I141" s="7" t="str">
        <f aca="false">HYPERLINK("https://mncourtfraud.com/file/MCRO_27-CR-21-12749_Findings and Order_2021-08-31_20251126182009.pdf.ots","MCRO_27-CR-21-12749_Findings and Order_2021-08-31_20251126182009.pdf.ots")</f>
        <v>MCRO_27-CR-21-12749_Findings and Order_2021-08-31_20251126182009.pdf.ots</v>
      </c>
      <c r="J141" s="7" t="str">
        <f aca="false">HYPERLINK("https://mncourtfraud.com/file/MCRO_27-CR-21-12749_Findings and Order_2021-08-31_20251126182009_META.txt","MCRO_27-CR-21-12749_Findings and Order_2021-08-31_20251126182009_META.txt")</f>
        <v>MCRO_27-CR-21-12749_Findings and Order_2021-08-31_20251126182009_META.txt</v>
      </c>
      <c r="K141" s="7" t="str">
        <f aca="false">HYPERLINK("https://mncourtfraud.com/file/MCRO_27-CR-21-12749_Findings and Order_2021-08-31_20251126182009_PDFSIGS.txt","MCRO_27-CR-21-12749_Findings and Order_2021-08-31_20251126182009_PDFSIGS.txt")</f>
        <v>MCRO_27-CR-21-12749_Findings and Order_2021-08-31_20251126182009_PDFSIGS.txt</v>
      </c>
      <c r="L141" s="7" t="str">
        <f aca="false">HYPERLINK("https://mncourtfraud.com/file/MCRO_27-CR-21-12749_Findings_and_Order_2021-08-31_20251126182009.zip","MCRO_27-CR-21-12749_Findings_and_Order_2021-08-31_20251126182009.zip")</f>
        <v>MCRO_27-CR-21-12749_Findings_and_Order_2021-08-31_20251126182009.zip</v>
      </c>
    </row>
    <row r="142" customFormat="false" ht="18.7" hidden="false" customHeight="true" outlineLevel="0" collapsed="false">
      <c r="A142" s="1" t="n">
        <v>141</v>
      </c>
      <c r="B142" s="7" t="str">
        <f aca="false">HYPERLINK("https://mncourtfraud.com/file/27-CR-21-12749.pdf","27-CR-21-12749")</f>
        <v>27-CR-21-12749</v>
      </c>
      <c r="C142" s="1" t="n">
        <v>1</v>
      </c>
      <c r="D142" s="2" t="s">
        <v>12</v>
      </c>
      <c r="E142" s="8" t="n">
        <v>44460</v>
      </c>
      <c r="F142" s="2" t="s">
        <v>24</v>
      </c>
      <c r="G142" s="7" t="str">
        <f aca="false">HYPERLINK("https://mncourtfraud.com/file/MCRO_27-CR-21-12749_Order for Conditional Release_2021-09-21_20251126182103.pdf","MCRO_27-CR-21-12749_Order for Conditional Release_2021-09-21_20251126182103.pdf")</f>
        <v>MCRO_27-CR-21-12749_Order for Conditional Release_2021-09-21_20251126182103.pdf</v>
      </c>
      <c r="H142" s="2" t="s">
        <v>162</v>
      </c>
      <c r="I142" s="7" t="str">
        <f aca="false">HYPERLINK("https://mncourtfraud.com/file/MCRO_27-CR-21-12749_Order for Conditional Release_2021-09-21_20251126182103.pdf.ots","MCRO_27-CR-21-12749_Order for Conditional Release_2021-09-21_20251126182103.pdf.ots")</f>
        <v>MCRO_27-CR-21-12749_Order for Conditional Release_2021-09-21_20251126182103.pdf.ots</v>
      </c>
      <c r="J142" s="7" t="str">
        <f aca="false">HYPERLINK("https://mncourtfraud.com/file/MCRO_27-CR-21-12749_Order for Conditional Release_2021-09-21_20251126182103_META.txt","MCRO_27-CR-21-12749_Order for Conditional Release_2021-09-21_20251126182103_META.txt")</f>
        <v>MCRO_27-CR-21-12749_Order for Conditional Release_2021-09-21_20251126182103_META.txt</v>
      </c>
      <c r="K142" s="7" t="str">
        <f aca="false">HYPERLINK("https://mncourtfraud.com/file/MCRO_27-CR-21-12749_Order for Conditional Release_2021-09-21_20251126182103_PDFSIGS.txt","MCRO_27-CR-21-12749_Order for Conditional Release_2021-09-21_20251126182103_PDFSIGS.txt")</f>
        <v>MCRO_27-CR-21-12749_Order for Conditional Release_2021-09-21_20251126182103_PDFSIGS.txt</v>
      </c>
      <c r="L142" s="7" t="str">
        <f aca="false">HYPERLINK("https://mncourtfraud.com/file/MCRO_27-CR-21-12749_Order_for_Conditional_Release_2021-09-21_20251126182103.zip","MCRO_27-CR-21-12749_Order_for_Conditional_Release_2021-09-21_20251126182103.zip")</f>
        <v>MCRO_27-CR-21-12749_Order_for_Conditional_Release_2021-09-21_20251126182103.zip</v>
      </c>
    </row>
    <row r="143" customFormat="false" ht="18.7" hidden="false" customHeight="true" outlineLevel="0" collapsed="false">
      <c r="A143" s="1" t="n">
        <v>142</v>
      </c>
      <c r="B143" s="7" t="str">
        <f aca="false">HYPERLINK("https://mncourtfraud.com/file/27-CR-21-12749.pdf","27-CR-21-12749")</f>
        <v>27-CR-21-12749</v>
      </c>
      <c r="C143" s="1" t="n">
        <v>1</v>
      </c>
      <c r="D143" s="2" t="s">
        <v>12</v>
      </c>
      <c r="E143" s="8" t="n">
        <v>44468</v>
      </c>
      <c r="F143" s="2" t="s">
        <v>24</v>
      </c>
      <c r="G143" s="7" t="str">
        <f aca="false">HYPERLINK("https://mncourtfraud.com/file/MCRO_27-CR-21-12749_Order for Conditional Release_2021-09-29_20251126182110.pdf","MCRO_27-CR-21-12749_Order for Conditional Release_2021-09-29_20251126182110.pdf")</f>
        <v>MCRO_27-CR-21-12749_Order for Conditional Release_2021-09-29_20251126182110.pdf</v>
      </c>
      <c r="H143" s="2" t="s">
        <v>163</v>
      </c>
      <c r="I143" s="7" t="str">
        <f aca="false">HYPERLINK("https://mncourtfraud.com/file/MCRO_27-CR-21-12749_Order for Conditional Release_2021-09-29_20251126182110.pdf.ots","MCRO_27-CR-21-12749_Order for Conditional Release_2021-09-29_20251126182110.pdf.ots")</f>
        <v>MCRO_27-CR-21-12749_Order for Conditional Release_2021-09-29_20251126182110.pdf.ots</v>
      </c>
      <c r="J143" s="7" t="str">
        <f aca="false">HYPERLINK("https://mncourtfraud.com/file/MCRO_27-CR-21-12749_Order for Conditional Release_2021-09-29_20251126182110_META.txt","MCRO_27-CR-21-12749_Order for Conditional Release_2021-09-29_20251126182110_META.txt")</f>
        <v>MCRO_27-CR-21-12749_Order for Conditional Release_2021-09-29_20251126182110_META.txt</v>
      </c>
      <c r="K143" s="7" t="str">
        <f aca="false">HYPERLINK("https://mncourtfraud.com/file/MCRO_27-CR-21-12749_Order for Conditional Release_2021-09-29_20251126182110_PDFSIGS.txt","MCRO_27-CR-21-12749_Order for Conditional Release_2021-09-29_20251126182110_PDFSIGS.txt")</f>
        <v>MCRO_27-CR-21-12749_Order for Conditional Release_2021-09-29_20251126182110_PDFSIGS.txt</v>
      </c>
      <c r="L143" s="7" t="str">
        <f aca="false">HYPERLINK("https://mncourtfraud.com/file/MCRO_27-CR-21-12749_Order_for_Conditional_Release_2021-09-29_20251126182110.zip","MCRO_27-CR-21-12749_Order_for_Conditional_Release_2021-09-29_20251126182110.zip")</f>
        <v>MCRO_27-CR-21-12749_Order_for_Conditional_Release_2021-09-29_20251126182110.zip</v>
      </c>
    </row>
    <row r="144" customFormat="false" ht="18.7" hidden="false" customHeight="true" outlineLevel="0" collapsed="false">
      <c r="A144" s="1" t="n">
        <v>143</v>
      </c>
      <c r="B144" s="7" t="str">
        <f aca="false">HYPERLINK("https://mncourtfraud.com/file/27-CR-21-12749.pdf","27-CR-21-12749")</f>
        <v>27-CR-21-12749</v>
      </c>
      <c r="C144" s="1" t="n">
        <v>1</v>
      </c>
      <c r="D144" s="2" t="s">
        <v>12</v>
      </c>
      <c r="E144" s="8" t="n">
        <v>44543</v>
      </c>
      <c r="F144" s="2" t="s">
        <v>15</v>
      </c>
      <c r="G144" s="7" t="str">
        <f aca="false">HYPERLINK("https://mncourtfraud.com/file/MCRO_27-CR-21-12749_Order-Evaluation for Competency to Proceed (Rule 20.01)_2021-12-13_20251126182133.pdf","MCRO_27-CR-21-12749_Order-Evaluation for Competency to Proceed (Rule 20.01)_2021-12-13_20251126182133.pdf")</f>
        <v>MCRO_27-CR-21-12749_Order-Evaluation for Competency to Proceed (Rule 20.01)_2021-12-13_20251126182133.pdf</v>
      </c>
      <c r="H144" s="2" t="s">
        <v>164</v>
      </c>
      <c r="I144" s="7" t="str">
        <f aca="false">HYPERLINK("https://mncourtfraud.com/file/MCRO_27-CR-21-12749_Order-Evaluation for Competency to Proceed (Rule 20.01)_2021-12-13_20251126182133.pdf.ots","MCRO_27-CR-21-12749_Order-Evaluation for Competency to Proceed (Rule 20.01)_2021-12-13_20251126182133.pdf.ots")</f>
        <v>MCRO_27-CR-21-12749_Order-Evaluation for Competency to Proceed (Rule 20.01)_2021-12-13_20251126182133.pdf.ots</v>
      </c>
      <c r="J144" s="7" t="str">
        <f aca="false">HYPERLINK("https://mncourtfraud.com/file/MCRO_27-CR-21-12749_Order-Evaluation for Competency to Proceed (Rule 20.01)_2021-12-13_20251126182133_META.txt","MCRO_27-CR-21-12749_Order-Evaluation for Competency to Proceed (Rule 20.01)_2021-12-13_20251126182133_META.txt")</f>
        <v>MCRO_27-CR-21-12749_Order-Evaluation for Competency to Proceed (Rule 20.01)_2021-12-13_20251126182133_META.txt</v>
      </c>
      <c r="K144" s="7" t="str">
        <f aca="false">HYPERLINK("https://mncourtfraud.com/file/MCRO_27-CR-21-12749_Order-Evaluation for Competency to Proceed (Rule 20.01)_2021-12-13_20251126182133_PDFSIGS.txt","MCRO_27-CR-21-12749_Order-Evaluation for Competency to Proceed (Rule 20.01)_2021-12-13_20251126182133_PDFSIGS.txt")</f>
        <v>MCRO_27-CR-21-12749_Order-Evaluation for Competency to Proceed (Rule 20.01)_2021-12-13_20251126182133_PDFSIGS.txt</v>
      </c>
      <c r="L144" s="7" t="str">
        <f aca="false">HYPERLINK("https://mncourtfraud.com/file/MCRO_27-CR-21-12749_Order-Evaluation_for_Competency_to_Proceed_(Rule_20.01)_2021-12-13_20251126182133.zip","MCRO_27-CR-21-12749_Order-Evaluation_for_Competency_to_Proceed_(Rule_20.01)_2021-12-13_20251126182133.zip")</f>
        <v>MCRO_27-CR-21-12749_Order-Evaluation_for_Competency_to_Proceed_(Rule_20.01)_2021-12-13_20251126182133.zip</v>
      </c>
    </row>
    <row r="145" customFormat="false" ht="18.7" hidden="false" customHeight="true" outlineLevel="0" collapsed="false">
      <c r="A145" s="1" t="n">
        <v>144</v>
      </c>
      <c r="B145" s="7" t="str">
        <f aca="false">HYPERLINK("https://mncourtfraud.com/file/27-CR-21-12749.pdf","27-CR-21-12749")</f>
        <v>27-CR-21-12749</v>
      </c>
      <c r="C145" s="1" t="n">
        <v>1</v>
      </c>
      <c r="D145" s="2" t="s">
        <v>12</v>
      </c>
      <c r="E145" s="8" t="n">
        <v>44558</v>
      </c>
      <c r="F145" s="2" t="s">
        <v>15</v>
      </c>
      <c r="G145" s="7" t="str">
        <f aca="false">HYPERLINK("https://mncourtfraud.com/file/MCRO_27-CR-21-12749_Order-Evaluation for Competency to Proceed (Rule 20.01)_2021-12-28_20251126182145.pdf","MCRO_27-CR-21-12749_Order-Evaluation for Competency to Proceed (Rule 20.01)_2021-12-28_20251126182145.pdf")</f>
        <v>MCRO_27-CR-21-12749_Order-Evaluation for Competency to Proceed (Rule 20.01)_2021-12-28_20251126182145.pdf</v>
      </c>
      <c r="H145" s="2" t="s">
        <v>165</v>
      </c>
      <c r="I145" s="7" t="str">
        <f aca="false">HYPERLINK("https://mncourtfraud.com/file/MCRO_27-CR-21-12749_Order-Evaluation for Competency to Proceed (Rule 20.01)_2021-12-28_20251126182145.pdf.ots","MCRO_27-CR-21-12749_Order-Evaluation for Competency to Proceed (Rule 20.01)_2021-12-28_20251126182145.pdf.ots")</f>
        <v>MCRO_27-CR-21-12749_Order-Evaluation for Competency to Proceed (Rule 20.01)_2021-12-28_20251126182145.pdf.ots</v>
      </c>
      <c r="J145" s="7" t="str">
        <f aca="false">HYPERLINK("https://mncourtfraud.com/file/MCRO_27-CR-21-12749_Order-Evaluation for Competency to Proceed (Rule 20.01)_2021-12-28_20251126182145_META.txt","MCRO_27-CR-21-12749_Order-Evaluation for Competency to Proceed (Rule 20.01)_2021-12-28_20251126182145_META.txt")</f>
        <v>MCRO_27-CR-21-12749_Order-Evaluation for Competency to Proceed (Rule 20.01)_2021-12-28_20251126182145_META.txt</v>
      </c>
      <c r="K145" s="7" t="str">
        <f aca="false">HYPERLINK("https://mncourtfraud.com/file/MCRO_27-CR-21-12749_Order-Evaluation for Competency to Proceed (Rule 20.01)_2021-12-28_20251126182145_PDFSIGS.txt","MCRO_27-CR-21-12749_Order-Evaluation for Competency to Proceed (Rule 20.01)_2021-12-28_20251126182145_PDFSIGS.txt")</f>
        <v>MCRO_27-CR-21-12749_Order-Evaluation for Competency to Proceed (Rule 20.01)_2021-12-28_20251126182145_PDFSIGS.txt</v>
      </c>
      <c r="L145" s="7" t="str">
        <f aca="false">HYPERLINK("https://mncourtfraud.com/file/MCRO_27-CR-21-12749_Order-Evaluation_for_Competency_to_Proceed_(Rule_20.01)_2021-12-28_20251126182145.zip","MCRO_27-CR-21-12749_Order-Evaluation_for_Competency_to_Proceed_(Rule_20.01)_2021-12-28_20251126182145.zip")</f>
        <v>MCRO_27-CR-21-12749_Order-Evaluation_for_Competency_to_Proceed_(Rule_20.01)_2021-12-28_20251126182145.zip</v>
      </c>
    </row>
    <row r="146" customFormat="false" ht="18.7" hidden="false" customHeight="true" outlineLevel="0" collapsed="false">
      <c r="A146" s="1" t="n">
        <v>145</v>
      </c>
      <c r="B146" s="7" t="str">
        <f aca="false">HYPERLINK("https://mncourtfraud.com/file/27-CR-21-12749.pdf","27-CR-21-12749")</f>
        <v>27-CR-21-12749</v>
      </c>
      <c r="C146" s="1" t="n">
        <v>1</v>
      </c>
      <c r="D146" s="2" t="s">
        <v>12</v>
      </c>
      <c r="E146" s="8" t="n">
        <v>44593</v>
      </c>
      <c r="F146" s="2" t="s">
        <v>19</v>
      </c>
      <c r="G146" s="7" t="str">
        <f aca="false">HYPERLINK("https://mncourtfraud.com/file/MCRO_27-CR-21-12749_Findings and Order_2022-02-01_20251126181958.pdf","MCRO_27-CR-21-12749_Findings and Order_2022-02-01_20251126181958.pdf")</f>
        <v>MCRO_27-CR-21-12749_Findings and Order_2022-02-01_20251126181958.pdf</v>
      </c>
      <c r="H146" s="2" t="s">
        <v>166</v>
      </c>
      <c r="I146" s="7" t="str">
        <f aca="false">HYPERLINK("https://mncourtfraud.com/file/MCRO_27-CR-21-12749_Findings and Order_2022-02-01_20251126181958.pdf.ots","MCRO_27-CR-21-12749_Findings and Order_2022-02-01_20251126181958.pdf.ots")</f>
        <v>MCRO_27-CR-21-12749_Findings and Order_2022-02-01_20251126181958.pdf.ots</v>
      </c>
      <c r="J146" s="7" t="str">
        <f aca="false">HYPERLINK("https://mncourtfraud.com/file/MCRO_27-CR-21-12749_Findings and Order_2022-02-01_20251126181958_META.txt","MCRO_27-CR-21-12749_Findings and Order_2022-02-01_20251126181958_META.txt")</f>
        <v>MCRO_27-CR-21-12749_Findings and Order_2022-02-01_20251126181958_META.txt</v>
      </c>
      <c r="K146" s="7" t="str">
        <f aca="false">HYPERLINK("https://mncourtfraud.com/file/MCRO_27-CR-21-12749_Findings and Order_2022-02-01_20251126181958_PDFSIGS.txt","MCRO_27-CR-21-12749_Findings and Order_2022-02-01_20251126181958_PDFSIGS.txt")</f>
        <v>MCRO_27-CR-21-12749_Findings and Order_2022-02-01_20251126181958_PDFSIGS.txt</v>
      </c>
      <c r="L146" s="7" t="str">
        <f aca="false">HYPERLINK("https://mncourtfraud.com/file/MCRO_27-CR-21-12749_Findings_and_Order_2022-02-01_20251126181958.zip","MCRO_27-CR-21-12749_Findings_and_Order_2022-02-01_20251126181958.zip")</f>
        <v>MCRO_27-CR-21-12749_Findings_and_Order_2022-02-01_20251126181958.zip</v>
      </c>
    </row>
    <row r="147" customFormat="false" ht="18.7" hidden="false" customHeight="true" outlineLevel="0" collapsed="false">
      <c r="A147" s="1" t="n">
        <v>146</v>
      </c>
      <c r="B147" s="7" t="str">
        <f aca="false">HYPERLINK("https://mncourtfraud.com/file/27-CR-21-12749.pdf","27-CR-21-12749")</f>
        <v>27-CR-21-12749</v>
      </c>
      <c r="C147" s="1" t="n">
        <v>1</v>
      </c>
      <c r="D147" s="2" t="s">
        <v>12</v>
      </c>
      <c r="E147" s="8" t="n">
        <v>44692</v>
      </c>
      <c r="F147" s="2" t="s">
        <v>15</v>
      </c>
      <c r="G147" s="7" t="str">
        <f aca="false">HYPERLINK("https://mncourtfraud.com/file/MCRO_27-CR-21-12749_Order-Evaluation for Competency to Proceed (Rule 20.01)_2022-05-11_20251126182155.pdf","MCRO_27-CR-21-12749_Order-Evaluation for Competency to Proceed (Rule 20.01)_2022-05-11_20251126182155.pdf")</f>
        <v>MCRO_27-CR-21-12749_Order-Evaluation for Competency to Proceed (Rule 20.01)_2022-05-11_20251126182155.pdf</v>
      </c>
      <c r="H147" s="2" t="s">
        <v>167</v>
      </c>
      <c r="I147" s="7" t="str">
        <f aca="false">HYPERLINK("https://mncourtfraud.com/file/MCRO_27-CR-21-12749_Order-Evaluation for Competency to Proceed (Rule 20.01)_2022-05-11_20251126182155.pdf.ots","MCRO_27-CR-21-12749_Order-Evaluation for Competency to Proceed (Rule 20.01)_2022-05-11_20251126182155.pdf.ots")</f>
        <v>MCRO_27-CR-21-12749_Order-Evaluation for Competency to Proceed (Rule 20.01)_2022-05-11_20251126182155.pdf.ots</v>
      </c>
      <c r="J147" s="7" t="str">
        <f aca="false">HYPERLINK("https://mncourtfraud.com/file/MCRO_27-CR-21-12749_Order-Evaluation for Competency to Proceed (Rule 20.01)_2022-05-11_20251126182155_META.txt","MCRO_27-CR-21-12749_Order-Evaluation for Competency to Proceed (Rule 20.01)_2022-05-11_20251126182155_META.txt")</f>
        <v>MCRO_27-CR-21-12749_Order-Evaluation for Competency to Proceed (Rule 20.01)_2022-05-11_20251126182155_META.txt</v>
      </c>
      <c r="K147" s="7" t="str">
        <f aca="false">HYPERLINK("https://mncourtfraud.com/file/MCRO_27-CR-21-12749_Order-Evaluation for Competency to Proceed (Rule 20.01)_2022-05-11_20251126182155_PDFSIGS.txt","MCRO_27-CR-21-12749_Order-Evaluation for Competency to Proceed (Rule 20.01)_2022-05-11_20251126182155_PDFSIGS.txt")</f>
        <v>MCRO_27-CR-21-12749_Order-Evaluation for Competency to Proceed (Rule 20.01)_2022-05-11_20251126182155_PDFSIGS.txt</v>
      </c>
      <c r="L147" s="7" t="str">
        <f aca="false">HYPERLINK("https://mncourtfraud.com/file/MCRO_27-CR-21-12749_Order-Evaluation_for_Competency_to_Proceed_(Rule_20.01)_2022-05-11_20251126182155.zip","MCRO_27-CR-21-12749_Order-Evaluation_for_Competency_to_Proceed_(Rule_20.01)_2022-05-11_20251126182155.zip")</f>
        <v>MCRO_27-CR-21-12749_Order-Evaluation_for_Competency_to_Proceed_(Rule_20.01)_2022-05-11_20251126182155.zip</v>
      </c>
    </row>
    <row r="148" customFormat="false" ht="18.7" hidden="false" customHeight="true" outlineLevel="0" collapsed="false">
      <c r="A148" s="1" t="n">
        <v>147</v>
      </c>
      <c r="B148" s="7" t="str">
        <f aca="false">HYPERLINK("https://mncourtfraud.com/file/27-CR-21-12749.pdf","27-CR-21-12749")</f>
        <v>27-CR-21-12749</v>
      </c>
      <c r="C148" s="1" t="n">
        <v>1</v>
      </c>
      <c r="D148" s="2" t="s">
        <v>12</v>
      </c>
      <c r="E148" s="8" t="n">
        <v>44895</v>
      </c>
      <c r="F148" s="2" t="s">
        <v>15</v>
      </c>
      <c r="G148" s="7" t="str">
        <f aca="false">HYPERLINK("https://mncourtfraud.com/file/MCRO_27-CR-21-12749_Order-Evaluation for Competency to Proceed (Rule 20.01)_2022-11-30_20251126182203.pdf","MCRO_27-CR-21-12749_Order-Evaluation for Competency to Proceed (Rule 20.01)_2022-11-30_20251126182203.pdf")</f>
        <v>MCRO_27-CR-21-12749_Order-Evaluation for Competency to Proceed (Rule 20.01)_2022-11-30_20251126182203.pdf</v>
      </c>
      <c r="H148" s="2" t="s">
        <v>168</v>
      </c>
      <c r="I148" s="7" t="str">
        <f aca="false">HYPERLINK("https://mncourtfraud.com/file/MCRO_27-CR-21-12749_Order-Evaluation for Competency to Proceed (Rule 20.01)_2022-11-30_20251126182203.pdf.ots","MCRO_27-CR-21-12749_Order-Evaluation for Competency to Proceed (Rule 20.01)_2022-11-30_20251126182203.pdf.ots")</f>
        <v>MCRO_27-CR-21-12749_Order-Evaluation for Competency to Proceed (Rule 20.01)_2022-11-30_20251126182203.pdf.ots</v>
      </c>
      <c r="J148" s="7" t="str">
        <f aca="false">HYPERLINK("https://mncourtfraud.com/file/MCRO_27-CR-21-12749_Order-Evaluation for Competency to Proceed (Rule 20.01)_2022-11-30_20251126182203_META.txt","MCRO_27-CR-21-12749_Order-Evaluation for Competency to Proceed (Rule 20.01)_2022-11-30_20251126182203_META.txt")</f>
        <v>MCRO_27-CR-21-12749_Order-Evaluation for Competency to Proceed (Rule 20.01)_2022-11-30_20251126182203_META.txt</v>
      </c>
      <c r="K148" s="7" t="str">
        <f aca="false">HYPERLINK("https://mncourtfraud.com/file/MCRO_27-CR-21-12749_Order-Evaluation for Competency to Proceed (Rule 20.01)_2022-11-30_20251126182203_PDFSIGS.txt","MCRO_27-CR-21-12749_Order-Evaluation for Competency to Proceed (Rule 20.01)_2022-11-30_20251126182203_PDFSIGS.txt")</f>
        <v>MCRO_27-CR-21-12749_Order-Evaluation for Competency to Proceed (Rule 20.01)_2022-11-30_20251126182203_PDFSIGS.txt</v>
      </c>
      <c r="L148" s="7" t="str">
        <f aca="false">HYPERLINK("https://mncourtfraud.com/file/MCRO_27-CR-21-12749_Order-Evaluation_for_Competency_to_Proceed_(Rule_20.01)_2022-11-30_20251126182203.zip","MCRO_27-CR-21-12749_Order-Evaluation_for_Competency_to_Proceed_(Rule_20.01)_2022-11-30_20251126182203.zip")</f>
        <v>MCRO_27-CR-21-12749_Order-Evaluation_for_Competency_to_Proceed_(Rule_20.01)_2022-11-30_20251126182203.zip</v>
      </c>
    </row>
    <row r="149" customFormat="false" ht="18.7" hidden="false" customHeight="true" outlineLevel="0" collapsed="false">
      <c r="A149" s="1" t="n">
        <v>148</v>
      </c>
      <c r="B149" s="7" t="str">
        <f aca="false">HYPERLINK("https://mncourtfraud.com/file/27-CR-21-12749.pdf","27-CR-21-12749")</f>
        <v>27-CR-21-12749</v>
      </c>
      <c r="C149" s="1" t="n">
        <v>1</v>
      </c>
      <c r="D149" s="2" t="s">
        <v>12</v>
      </c>
      <c r="E149" s="8" t="n">
        <v>45048</v>
      </c>
      <c r="F149" s="2" t="s">
        <v>80</v>
      </c>
      <c r="G149" s="7" t="str">
        <f aca="false">HYPERLINK("https://mncourtfraud.com/file/MCRO_27-CR-21-12749_Finding of Incompetency and Order_2023-05-02_20251126181946.pdf","MCRO_27-CR-21-12749_Finding of Incompetency and Order_2023-05-02_20251126181946.pdf")</f>
        <v>MCRO_27-CR-21-12749_Finding of Incompetency and Order_2023-05-02_20251126181946.pdf</v>
      </c>
      <c r="H149" s="2" t="s">
        <v>169</v>
      </c>
      <c r="I149" s="7" t="str">
        <f aca="false">HYPERLINK("https://mncourtfraud.com/file/MCRO_27-CR-21-12749_Finding of Incompetency and Order_2023-05-02_20251126181946.pdf.ots","MCRO_27-CR-21-12749_Finding of Incompetency and Order_2023-05-02_20251126181946.pdf.ots")</f>
        <v>MCRO_27-CR-21-12749_Finding of Incompetency and Order_2023-05-02_20251126181946.pdf.ots</v>
      </c>
      <c r="J149" s="7" t="str">
        <f aca="false">HYPERLINK("https://mncourtfraud.com/file/MCRO_27-CR-21-12749_Finding of Incompetency and Order_2023-05-02_20251126181946_META.txt","MCRO_27-CR-21-12749_Finding of Incompetency and Order_2023-05-02_20251126181946_META.txt")</f>
        <v>MCRO_27-CR-21-12749_Finding of Incompetency and Order_2023-05-02_20251126181946_META.txt</v>
      </c>
      <c r="K149" s="7" t="str">
        <f aca="false">HYPERLINK("https://mncourtfraud.com/file/MCRO_27-CR-21-12749_Finding of Incompetency and Order_2023-05-02_20251126181946_PDFSIGS.txt","MCRO_27-CR-21-12749_Finding of Incompetency and Order_2023-05-02_20251126181946_PDFSIGS.txt")</f>
        <v>MCRO_27-CR-21-12749_Finding of Incompetency and Order_2023-05-02_20251126181946_PDFSIGS.txt</v>
      </c>
      <c r="L149" s="7" t="str">
        <f aca="false">HYPERLINK("https://mncourtfraud.com/file/MCRO_27-CR-21-12749_Finding_of_Incompetency_and_Order_2023-05-02_20251126181946.zip","MCRO_27-CR-21-12749_Finding_of_Incompetency_and_Order_2023-05-02_20251126181946.zip")</f>
        <v>MCRO_27-CR-21-12749_Finding_of_Incompetency_and_Order_2023-05-02_20251126181946.zip</v>
      </c>
    </row>
    <row r="150" customFormat="false" ht="18.7" hidden="false" customHeight="true" outlineLevel="0" collapsed="false">
      <c r="A150" s="1" t="n">
        <v>149</v>
      </c>
      <c r="B150" s="7" t="str">
        <f aca="false">HYPERLINK("https://mncourtfraud.com/file/27-CR-21-12749.pdf","27-CR-21-12749")</f>
        <v>27-CR-21-12749</v>
      </c>
      <c r="C150" s="1" t="n">
        <v>1</v>
      </c>
      <c r="D150" s="2" t="s">
        <v>12</v>
      </c>
      <c r="E150" s="8" t="n">
        <v>45093</v>
      </c>
      <c r="F150" s="2" t="s">
        <v>82</v>
      </c>
      <c r="G150" s="7" t="str">
        <f aca="false">HYPERLINK("https://mncourtfraud.com/file/MCRO_27-CR-21-12749_Notice of Case Reassignment_2023-06-16_20251126182023.pdf","MCRO_27-CR-21-12749_Notice of Case Reassignment_2023-06-16_20251126182023.pdf")</f>
        <v>MCRO_27-CR-21-12749_Notice of Case Reassignment_2023-06-16_20251126182023.pdf</v>
      </c>
      <c r="H150" s="2" t="s">
        <v>170</v>
      </c>
      <c r="I150" s="7" t="str">
        <f aca="false">HYPERLINK("https://mncourtfraud.com/file/MCRO_27-CR-21-12749_Notice of Case Reassignment_2023-06-16_20251126182023.pdf.ots","MCRO_27-CR-21-12749_Notice of Case Reassignment_2023-06-16_20251126182023.pdf.ots")</f>
        <v>MCRO_27-CR-21-12749_Notice of Case Reassignment_2023-06-16_20251126182023.pdf.ots</v>
      </c>
      <c r="J150" s="7" t="str">
        <f aca="false">HYPERLINK("https://mncourtfraud.com/file/MCRO_27-CR-21-12749_Notice of Case Reassignment_2023-06-16_20251126182023_META.txt","MCRO_27-CR-21-12749_Notice of Case Reassignment_2023-06-16_20251126182023_META.txt")</f>
        <v>MCRO_27-CR-21-12749_Notice of Case Reassignment_2023-06-16_20251126182023_META.txt</v>
      </c>
      <c r="K150" s="7" t="str">
        <f aca="false">HYPERLINK("https://mncourtfraud.com/file/MCRO_27-CR-21-12749_Notice of Case Reassignment_2023-06-16_20251126182023_PDFSIGS.txt","MCRO_27-CR-21-12749_Notice of Case Reassignment_2023-06-16_20251126182023_PDFSIGS.txt")</f>
        <v>MCRO_27-CR-21-12749_Notice of Case Reassignment_2023-06-16_20251126182023_PDFSIGS.txt</v>
      </c>
      <c r="L150" s="7" t="str">
        <f aca="false">HYPERLINK("https://mncourtfraud.com/file/MCRO_27-CR-21-12749_Notice_of_Case_Reassignment_2023-06-16_20251126182023.zip","MCRO_27-CR-21-12749_Notice_of_Case_Reassignment_2023-06-16_20251126182023.zip")</f>
        <v>MCRO_27-CR-21-12749_Notice_of_Case_Reassignment_2023-06-16_20251126182023.zip</v>
      </c>
    </row>
    <row r="151" customFormat="false" ht="18.7" hidden="false" customHeight="true" outlineLevel="0" collapsed="false">
      <c r="A151" s="1" t="n">
        <v>150</v>
      </c>
      <c r="B151" s="7" t="str">
        <f aca="false">HYPERLINK("https://mncourtfraud.com/file/27-CR-21-12749.pdf","27-CR-21-12749")</f>
        <v>27-CR-21-12749</v>
      </c>
      <c r="C151" s="1" t="n">
        <v>1</v>
      </c>
      <c r="D151" s="2" t="s">
        <v>12</v>
      </c>
      <c r="E151" s="8" t="n">
        <v>45160</v>
      </c>
      <c r="F151" s="2" t="s">
        <v>15</v>
      </c>
      <c r="G151" s="7" t="str">
        <f aca="false">HYPERLINK("https://mncourtfraud.com/file/MCRO_27-CR-21-12749_Order-Evaluation for Competency to Proceed (Rule 20.01)_2023-08-22_20251126182213.pdf","MCRO_27-CR-21-12749_Order-Evaluation for Competency to Proceed (Rule 20.01)_2023-08-22_20251126182213.pdf")</f>
        <v>MCRO_27-CR-21-12749_Order-Evaluation for Competency to Proceed (Rule 20.01)_2023-08-22_20251126182213.pdf</v>
      </c>
      <c r="H151" s="2" t="s">
        <v>171</v>
      </c>
      <c r="I151" s="7" t="str">
        <f aca="false">HYPERLINK("https://mncourtfraud.com/file/MCRO_27-CR-21-12749_Order-Evaluation for Competency to Proceed (Rule 20.01)_2023-08-22_20251126182213.pdf.ots","MCRO_27-CR-21-12749_Order-Evaluation for Competency to Proceed (Rule 20.01)_2023-08-22_20251126182213.pdf.ots")</f>
        <v>MCRO_27-CR-21-12749_Order-Evaluation for Competency to Proceed (Rule 20.01)_2023-08-22_20251126182213.pdf.ots</v>
      </c>
      <c r="J151" s="7" t="str">
        <f aca="false">HYPERLINK("https://mncourtfraud.com/file/MCRO_27-CR-21-12749_Order-Evaluation for Competency to Proceed (Rule 20.01)_2023-08-22_20251126182213_META.txt","MCRO_27-CR-21-12749_Order-Evaluation for Competency to Proceed (Rule 20.01)_2023-08-22_20251126182213_META.txt")</f>
        <v>MCRO_27-CR-21-12749_Order-Evaluation for Competency to Proceed (Rule 20.01)_2023-08-22_20251126182213_META.txt</v>
      </c>
      <c r="K151" s="7" t="str">
        <f aca="false">HYPERLINK("https://mncourtfraud.com/file/MCRO_27-CR-21-12749_Order-Evaluation for Competency to Proceed (Rule 20.01)_2023-08-22_20251126182213_PDFSIGS.txt","MCRO_27-CR-21-12749_Order-Evaluation for Competency to Proceed (Rule 20.01)_2023-08-22_20251126182213_PDFSIGS.txt")</f>
        <v>MCRO_27-CR-21-12749_Order-Evaluation for Competency to Proceed (Rule 20.01)_2023-08-22_20251126182213_PDFSIGS.txt</v>
      </c>
      <c r="L151" s="7" t="str">
        <f aca="false">HYPERLINK("https://mncourtfraud.com/file/MCRO_27-CR-21-12749_Order-Evaluation_for_Competency_to_Proceed_(Rule_20.01)_2023-08-22_20251126182213.zip","MCRO_27-CR-21-12749_Order-Evaluation_for_Competency_to_Proceed_(Rule_20.01)_2023-08-22_20251126182213.zip")</f>
        <v>MCRO_27-CR-21-12749_Order-Evaluation_for_Competency_to_Proceed_(Rule_20.01)_2023-08-22_20251126182213.zip</v>
      </c>
    </row>
    <row r="152" customFormat="false" ht="18.7" hidden="false" customHeight="true" outlineLevel="0" collapsed="false">
      <c r="A152" s="1" t="n">
        <v>151</v>
      </c>
      <c r="B152" s="7" t="str">
        <f aca="false">HYPERLINK("https://mncourtfraud.com/file/27-CR-21-12749.pdf","27-CR-21-12749")</f>
        <v>27-CR-21-12749</v>
      </c>
      <c r="C152" s="1" t="n">
        <v>1</v>
      </c>
      <c r="D152" s="2" t="s">
        <v>12</v>
      </c>
      <c r="E152" s="8" t="n">
        <v>45412</v>
      </c>
      <c r="F152" s="2" t="s">
        <v>24</v>
      </c>
      <c r="G152" s="7" t="str">
        <f aca="false">HYPERLINK("https://mncourtfraud.com/file/MCRO_27-CR-21-12749_Order for Conditional Release_2024-04-30_20251126182051.pdf","MCRO_27-CR-21-12749_Order for Conditional Release_2024-04-30_20251126182051.pdf")</f>
        <v>MCRO_27-CR-21-12749_Order for Conditional Release_2024-04-30_20251126182051.pdf</v>
      </c>
      <c r="H152" s="2" t="s">
        <v>172</v>
      </c>
      <c r="I152" s="7" t="str">
        <f aca="false">HYPERLINK("https://mncourtfraud.com/file/MCRO_27-CR-21-12749_Order for Conditional Release_2024-04-30_20251126182051.pdf.ots","MCRO_27-CR-21-12749_Order for Conditional Release_2024-04-30_20251126182051.pdf.ots")</f>
        <v>MCRO_27-CR-21-12749_Order for Conditional Release_2024-04-30_20251126182051.pdf.ots</v>
      </c>
      <c r="J152" s="7" t="str">
        <f aca="false">HYPERLINK("https://mncourtfraud.com/file/MCRO_27-CR-21-12749_Order for Conditional Release_2024-04-30_20251126182051_META.txt","MCRO_27-CR-21-12749_Order for Conditional Release_2024-04-30_20251126182051_META.txt")</f>
        <v>MCRO_27-CR-21-12749_Order for Conditional Release_2024-04-30_20251126182051_META.txt</v>
      </c>
      <c r="K152" s="7" t="str">
        <f aca="false">HYPERLINK("https://mncourtfraud.com/file/MCRO_27-CR-21-12749_Order for Conditional Release_2024-04-30_20251126182051_PDFSIGS.txt","MCRO_27-CR-21-12749_Order for Conditional Release_2024-04-30_20251126182051_PDFSIGS.txt")</f>
        <v>MCRO_27-CR-21-12749_Order for Conditional Release_2024-04-30_20251126182051_PDFSIGS.txt</v>
      </c>
      <c r="L152" s="7" t="str">
        <f aca="false">HYPERLINK("https://mncourtfraud.com/file/MCRO_27-CR-21-12749_Order_for_Conditional_Release_2024-04-30_20251126182051.zip","MCRO_27-CR-21-12749_Order_for_Conditional_Release_2024-04-30_20251126182051.zip")</f>
        <v>MCRO_27-CR-21-12749_Order_for_Conditional_Release_2024-04-30_20251126182051.zip</v>
      </c>
    </row>
    <row r="153" customFormat="false" ht="18.7" hidden="false" customHeight="true" outlineLevel="0" collapsed="false">
      <c r="A153" s="1" t="n">
        <v>152</v>
      </c>
      <c r="B153" s="7" t="str">
        <f aca="false">HYPERLINK("https://mncourtfraud.com/file/27-CR-21-12749.pdf","27-CR-21-12749")</f>
        <v>27-CR-21-12749</v>
      </c>
      <c r="C153" s="1" t="n">
        <v>1</v>
      </c>
      <c r="D153" s="2" t="s">
        <v>12</v>
      </c>
      <c r="E153" s="8" t="n">
        <v>45412</v>
      </c>
      <c r="F153" s="2" t="s">
        <v>15</v>
      </c>
      <c r="G153" s="7" t="str">
        <f aca="false">HYPERLINK("https://mncourtfraud.com/file/MCRO_27-CR-21-12749_Order-Evaluation for Competency to Proceed (Rule 20.01)_2024-04-30_20251126182222.pdf","MCRO_27-CR-21-12749_Order-Evaluation for Competency to Proceed (Rule 20.01)_2024-04-30_20251126182222.pdf")</f>
        <v>MCRO_27-CR-21-12749_Order-Evaluation for Competency to Proceed (Rule 20.01)_2024-04-30_20251126182222.pdf</v>
      </c>
      <c r="H153" s="2" t="s">
        <v>173</v>
      </c>
      <c r="I153" s="7" t="str">
        <f aca="false">HYPERLINK("https://mncourtfraud.com/file/MCRO_27-CR-21-12749_Order-Evaluation for Competency to Proceed (Rule 20.01)_2024-04-30_20251126182222.pdf.ots","MCRO_27-CR-21-12749_Order-Evaluation for Competency to Proceed (Rule 20.01)_2024-04-30_20251126182222.pdf.ots")</f>
        <v>MCRO_27-CR-21-12749_Order-Evaluation for Competency to Proceed (Rule 20.01)_2024-04-30_20251126182222.pdf.ots</v>
      </c>
      <c r="J153" s="7" t="str">
        <f aca="false">HYPERLINK("https://mncourtfraud.com/file/MCRO_27-CR-21-12749_Order-Evaluation for Competency to Proceed (Rule 20.01)_2024-04-30_20251126182222_META.txt","MCRO_27-CR-21-12749_Order-Evaluation for Competency to Proceed (Rule 20.01)_2024-04-30_20251126182222_META.txt")</f>
        <v>MCRO_27-CR-21-12749_Order-Evaluation for Competency to Proceed (Rule 20.01)_2024-04-30_20251126182222_META.txt</v>
      </c>
      <c r="K153" s="7" t="str">
        <f aca="false">HYPERLINK("https://mncourtfraud.com/file/MCRO_27-CR-21-12749_Order-Evaluation for Competency to Proceed (Rule 20.01)_2024-04-30_20251126182222_PDFSIGS.txt","MCRO_27-CR-21-12749_Order-Evaluation for Competency to Proceed (Rule 20.01)_2024-04-30_20251126182222_PDFSIGS.txt")</f>
        <v>MCRO_27-CR-21-12749_Order-Evaluation for Competency to Proceed (Rule 20.01)_2024-04-30_20251126182222_PDFSIGS.txt</v>
      </c>
      <c r="L153" s="7" t="str">
        <f aca="false">HYPERLINK("https://mncourtfraud.com/file/MCRO_27-CR-21-12749_Order-Evaluation_for_Competency_to_Proceed_(Rule_20.01)_2024-04-30_20251126182222.zip","MCRO_27-CR-21-12749_Order-Evaluation_for_Competency_to_Proceed_(Rule_20.01)_2024-04-30_20251126182222.zip")</f>
        <v>MCRO_27-CR-21-12749_Order-Evaluation_for_Competency_to_Proceed_(Rule_20.01)_2024-04-30_20251126182222.zip</v>
      </c>
    </row>
    <row r="154" customFormat="false" ht="18.7" hidden="false" customHeight="true" outlineLevel="0" collapsed="false">
      <c r="A154" s="1" t="n">
        <v>153</v>
      </c>
      <c r="B154" s="7" t="str">
        <f aca="false">HYPERLINK("https://mncourtfraud.com/file/27-CR-21-12762.pdf","27-CR-21-12762")</f>
        <v>27-CR-21-12762</v>
      </c>
      <c r="C154" s="1" t="n">
        <v>1</v>
      </c>
      <c r="D154" s="2" t="s">
        <v>12</v>
      </c>
      <c r="E154" s="8" t="n">
        <v>44396</v>
      </c>
      <c r="F154" s="2" t="s">
        <v>15</v>
      </c>
      <c r="G154" s="7" t="str">
        <f aca="false">HYPERLINK("https://mncourtfraud.com/file/MCRO_27-CR-21-12762_Order-Evaluation for Competency to Proceed (Rule 20.01)_2021-07-19_20251126182430.pdf","MCRO_27-CR-21-12762_Order-Evaluation for Competency to Proceed (Rule 20.01)_2021-07-19_20251126182430.pdf")</f>
        <v>MCRO_27-CR-21-12762_Order-Evaluation for Competency to Proceed (Rule 20.01)_2021-07-19_20251126182430.pdf</v>
      </c>
      <c r="H154" s="2" t="s">
        <v>174</v>
      </c>
      <c r="I154" s="7" t="str">
        <f aca="false">HYPERLINK("https://mncourtfraud.com/file/MCRO_27-CR-21-12762_Order-Evaluation for Competency to Proceed (Rule 20.01)_2021-07-19_20251126182430.pdf.ots","MCRO_27-CR-21-12762_Order-Evaluation for Competency to Proceed (Rule 20.01)_2021-07-19_20251126182430.pdf.ots")</f>
        <v>MCRO_27-CR-21-12762_Order-Evaluation for Competency to Proceed (Rule 20.01)_2021-07-19_20251126182430.pdf.ots</v>
      </c>
      <c r="J154" s="7" t="str">
        <f aca="false">HYPERLINK("https://mncourtfraud.com/file/MCRO_27-CR-21-12762_Order-Evaluation for Competency to Proceed (Rule 20.01)_2021-07-19_20251126182430_META.txt","MCRO_27-CR-21-12762_Order-Evaluation for Competency to Proceed (Rule 20.01)_2021-07-19_20251126182430_META.txt")</f>
        <v>MCRO_27-CR-21-12762_Order-Evaluation for Competency to Proceed (Rule 20.01)_2021-07-19_20251126182430_META.txt</v>
      </c>
      <c r="K154" s="7" t="str">
        <f aca="false">HYPERLINK("https://mncourtfraud.com/file/MCRO_27-CR-21-12762_Order-Evaluation for Competency to Proceed (Rule 20.01)_2021-07-19_20251126182430_PDFSIGS.txt","MCRO_27-CR-21-12762_Order-Evaluation for Competency to Proceed (Rule 20.01)_2021-07-19_20251126182430_PDFSIGS.txt")</f>
        <v>MCRO_27-CR-21-12762_Order-Evaluation for Competency to Proceed (Rule 20.01)_2021-07-19_20251126182430_PDFSIGS.txt</v>
      </c>
      <c r="L154" s="7" t="str">
        <f aca="false">HYPERLINK("https://mncourtfraud.com/file/MCRO_27-CR-21-12762_Order-Evaluation_for_Competency_to_Proceed_(Rule_20.01)_2021-07-19_20251126182430.zip","MCRO_27-CR-21-12762_Order-Evaluation_for_Competency_to_Proceed_(Rule_20.01)_2021-07-19_20251126182430.zip")</f>
        <v>MCRO_27-CR-21-12762_Order-Evaluation_for_Competency_to_Proceed_(Rule_20.01)_2021-07-19_20251126182430.zip</v>
      </c>
    </row>
    <row r="155" customFormat="false" ht="18.7" hidden="false" customHeight="true" outlineLevel="0" collapsed="false">
      <c r="A155" s="1" t="n">
        <v>154</v>
      </c>
      <c r="B155" s="7" t="str">
        <f aca="false">HYPERLINK("https://mncourtfraud.com/file/27-CR-21-12762.pdf","27-CR-21-12762")</f>
        <v>27-CR-21-12762</v>
      </c>
      <c r="C155" s="1" t="n">
        <v>1</v>
      </c>
      <c r="D155" s="2" t="s">
        <v>12</v>
      </c>
      <c r="E155" s="8" t="n">
        <v>44405</v>
      </c>
      <c r="F155" s="2" t="s">
        <v>145</v>
      </c>
      <c r="G155" s="7" t="str">
        <f aca="false">HYPERLINK("https://mncourtfraud.com/file/MCRO_27-CR-21-12762_Demand or Request for Discovery_2021-07-28_20251126182249.pdf","MCRO_27-CR-21-12762_Demand or Request for Discovery_2021-07-28_20251126182249.pdf")</f>
        <v>MCRO_27-CR-21-12762_Demand or Request for Discovery_2021-07-28_20251126182249.pdf</v>
      </c>
      <c r="H155" s="2" t="s">
        <v>175</v>
      </c>
      <c r="I155" s="7" t="str">
        <f aca="false">HYPERLINK("https://mncourtfraud.com/file/MCRO_27-CR-21-12762_Demand or Request for Discovery_2021-07-28_20251126182249.pdf.ots","MCRO_27-CR-21-12762_Demand or Request for Discovery_2021-07-28_20251126182249.pdf.ots")</f>
        <v>MCRO_27-CR-21-12762_Demand or Request for Discovery_2021-07-28_20251126182249.pdf.ots</v>
      </c>
      <c r="J155" s="7" t="str">
        <f aca="false">HYPERLINK("https://mncourtfraud.com/file/MCRO_27-CR-21-12762_Demand or Request for Discovery_2021-07-28_20251126182249_META.txt","MCRO_27-CR-21-12762_Demand or Request for Discovery_2021-07-28_20251126182249_META.txt")</f>
        <v>MCRO_27-CR-21-12762_Demand or Request for Discovery_2021-07-28_20251126182249_META.txt</v>
      </c>
      <c r="K155" s="7" t="str">
        <f aca="false">HYPERLINK("https://mncourtfraud.com/file/MCRO_27-CR-21-12762_Demand or Request for Discovery_2021-07-28_20251126182249_PDFSIGS.txt","MCRO_27-CR-21-12762_Demand or Request for Discovery_2021-07-28_20251126182249_PDFSIGS.txt")</f>
        <v>MCRO_27-CR-21-12762_Demand or Request for Discovery_2021-07-28_20251126182249_PDFSIGS.txt</v>
      </c>
      <c r="L155" s="7" t="str">
        <f aca="false">HYPERLINK("https://mncourtfraud.com/file/MCRO_27-CR-21-12762_Demand_or_Request_for_Discovery_2021-07-28_20251126182249.zip","MCRO_27-CR-21-12762_Demand_or_Request_for_Discovery_2021-07-28_20251126182249.zip")</f>
        <v>MCRO_27-CR-21-12762_Demand_or_Request_for_Discovery_2021-07-28_20251126182249.zip</v>
      </c>
    </row>
    <row r="156" customFormat="false" ht="18.7" hidden="false" customHeight="true" outlineLevel="0" collapsed="false">
      <c r="A156" s="1" t="n">
        <v>155</v>
      </c>
      <c r="B156" s="7" t="str">
        <f aca="false">HYPERLINK("https://mncourtfraud.com/file/27-CR-21-12762.pdf","27-CR-21-12762")</f>
        <v>27-CR-21-12762</v>
      </c>
      <c r="C156" s="1" t="n">
        <v>1</v>
      </c>
      <c r="D156" s="2" t="s">
        <v>12</v>
      </c>
      <c r="E156" s="8" t="n">
        <v>44439</v>
      </c>
      <c r="F156" s="2" t="s">
        <v>19</v>
      </c>
      <c r="G156" s="7" t="str">
        <f aca="false">HYPERLINK("https://mncourtfraud.com/file/MCRO_27-CR-21-12762_Findings and Order_2021-08-31_20251126182327.pdf","MCRO_27-CR-21-12762_Findings and Order_2021-08-31_20251126182327.pdf")</f>
        <v>MCRO_27-CR-21-12762_Findings and Order_2021-08-31_20251126182327.pdf</v>
      </c>
      <c r="H156" s="2" t="s">
        <v>176</v>
      </c>
      <c r="I156" s="7" t="str">
        <f aca="false">HYPERLINK("https://mncourtfraud.com/file/MCRO_27-CR-21-12762_Findings and Order_2021-08-31_20251126182327.pdf.ots","MCRO_27-CR-21-12762_Findings and Order_2021-08-31_20251126182327.pdf.ots")</f>
        <v>MCRO_27-CR-21-12762_Findings and Order_2021-08-31_20251126182327.pdf.ots</v>
      </c>
      <c r="J156" s="7" t="str">
        <f aca="false">HYPERLINK("https://mncourtfraud.com/file/MCRO_27-CR-21-12762_Findings and Order_2021-08-31_20251126182327_META.txt","MCRO_27-CR-21-12762_Findings and Order_2021-08-31_20251126182327_META.txt")</f>
        <v>MCRO_27-CR-21-12762_Findings and Order_2021-08-31_20251126182327_META.txt</v>
      </c>
      <c r="K156" s="7" t="str">
        <f aca="false">HYPERLINK("https://mncourtfraud.com/file/MCRO_27-CR-21-12762_Findings and Order_2021-08-31_20251126182327_PDFSIGS.txt","MCRO_27-CR-21-12762_Findings and Order_2021-08-31_20251126182327_PDFSIGS.txt")</f>
        <v>MCRO_27-CR-21-12762_Findings and Order_2021-08-31_20251126182327_PDFSIGS.txt</v>
      </c>
      <c r="L156" s="7" t="str">
        <f aca="false">HYPERLINK("https://mncourtfraud.com/file/MCRO_27-CR-21-12762_Findings_and_Order_2021-08-31_20251126182327.zip","MCRO_27-CR-21-12762_Findings_and_Order_2021-08-31_20251126182327.zip")</f>
        <v>MCRO_27-CR-21-12762_Findings_and_Order_2021-08-31_20251126182327.zip</v>
      </c>
    </row>
    <row r="157" customFormat="false" ht="18.7" hidden="false" customHeight="true" outlineLevel="0" collapsed="false">
      <c r="A157" s="1" t="n">
        <v>156</v>
      </c>
      <c r="B157" s="7" t="str">
        <f aca="false">HYPERLINK("https://mncourtfraud.com/file/27-CR-21-12762.pdf","27-CR-21-12762")</f>
        <v>27-CR-21-12762</v>
      </c>
      <c r="C157" s="1" t="n">
        <v>1</v>
      </c>
      <c r="D157" s="2" t="s">
        <v>12</v>
      </c>
      <c r="E157" s="8" t="n">
        <v>44460</v>
      </c>
      <c r="F157" s="2" t="s">
        <v>24</v>
      </c>
      <c r="G157" s="7" t="str">
        <f aca="false">HYPERLINK("https://mncourtfraud.com/file/MCRO_27-CR-21-12762_Order for Conditional Release_2021-09-21_20251126182412.pdf","MCRO_27-CR-21-12762_Order for Conditional Release_2021-09-21_20251126182412.pdf")</f>
        <v>MCRO_27-CR-21-12762_Order for Conditional Release_2021-09-21_20251126182412.pdf</v>
      </c>
      <c r="H157" s="2" t="s">
        <v>177</v>
      </c>
      <c r="I157" s="7" t="str">
        <f aca="false">HYPERLINK("https://mncourtfraud.com/file/MCRO_27-CR-21-12762_Order for Conditional Release_2021-09-21_20251126182412.pdf.ots","MCRO_27-CR-21-12762_Order for Conditional Release_2021-09-21_20251126182412.pdf.ots")</f>
        <v>MCRO_27-CR-21-12762_Order for Conditional Release_2021-09-21_20251126182412.pdf.ots</v>
      </c>
      <c r="J157" s="7" t="str">
        <f aca="false">HYPERLINK("https://mncourtfraud.com/file/MCRO_27-CR-21-12762_Order for Conditional Release_2021-09-21_20251126182412_META.txt","MCRO_27-CR-21-12762_Order for Conditional Release_2021-09-21_20251126182412_META.txt")</f>
        <v>MCRO_27-CR-21-12762_Order for Conditional Release_2021-09-21_20251126182412_META.txt</v>
      </c>
      <c r="K157" s="7" t="str">
        <f aca="false">HYPERLINK("https://mncourtfraud.com/file/MCRO_27-CR-21-12762_Order for Conditional Release_2021-09-21_20251126182412_PDFSIGS.txt","MCRO_27-CR-21-12762_Order for Conditional Release_2021-09-21_20251126182412_PDFSIGS.txt")</f>
        <v>MCRO_27-CR-21-12762_Order for Conditional Release_2021-09-21_20251126182412_PDFSIGS.txt</v>
      </c>
      <c r="L157" s="7" t="str">
        <f aca="false">HYPERLINK("https://mncourtfraud.com/file/MCRO_27-CR-21-12762_Order_for_Conditional_Release_2021-09-21_20251126182412.zip","MCRO_27-CR-21-12762_Order_for_Conditional_Release_2021-09-21_20251126182412.zip")</f>
        <v>MCRO_27-CR-21-12762_Order_for_Conditional_Release_2021-09-21_20251126182412.zip</v>
      </c>
    </row>
    <row r="158" customFormat="false" ht="18.7" hidden="false" customHeight="true" outlineLevel="0" collapsed="false">
      <c r="A158" s="1" t="n">
        <v>157</v>
      </c>
      <c r="B158" s="7" t="str">
        <f aca="false">HYPERLINK("https://mncourtfraud.com/file/27-CR-21-12762.pdf","27-CR-21-12762")</f>
        <v>27-CR-21-12762</v>
      </c>
      <c r="C158" s="1" t="n">
        <v>1</v>
      </c>
      <c r="D158" s="2" t="s">
        <v>12</v>
      </c>
      <c r="E158" s="8" t="n">
        <v>44468</v>
      </c>
      <c r="F158" s="2" t="s">
        <v>24</v>
      </c>
      <c r="G158" s="7" t="str">
        <f aca="false">HYPERLINK("https://mncourtfraud.com/file/MCRO_27-CR-21-12762_Order for Conditional Release_2021-09-29_20251126182418.pdf","MCRO_27-CR-21-12762_Order for Conditional Release_2021-09-29_20251126182418.pdf")</f>
        <v>MCRO_27-CR-21-12762_Order for Conditional Release_2021-09-29_20251126182418.pdf</v>
      </c>
      <c r="H158" s="2" t="s">
        <v>178</v>
      </c>
      <c r="I158" s="7" t="str">
        <f aca="false">HYPERLINK("https://mncourtfraud.com/file/MCRO_27-CR-21-12762_Order for Conditional Release_2021-09-29_20251126182418.pdf.ots","MCRO_27-CR-21-12762_Order for Conditional Release_2021-09-29_20251126182418.pdf.ots")</f>
        <v>MCRO_27-CR-21-12762_Order for Conditional Release_2021-09-29_20251126182418.pdf.ots</v>
      </c>
      <c r="J158" s="7" t="str">
        <f aca="false">HYPERLINK("https://mncourtfraud.com/file/MCRO_27-CR-21-12762_Order for Conditional Release_2021-09-29_20251126182418_META.txt","MCRO_27-CR-21-12762_Order for Conditional Release_2021-09-29_20251126182418_META.txt")</f>
        <v>MCRO_27-CR-21-12762_Order for Conditional Release_2021-09-29_20251126182418_META.txt</v>
      </c>
      <c r="K158" s="7" t="str">
        <f aca="false">HYPERLINK("https://mncourtfraud.com/file/MCRO_27-CR-21-12762_Order for Conditional Release_2021-09-29_20251126182418_PDFSIGS.txt","MCRO_27-CR-21-12762_Order for Conditional Release_2021-09-29_20251126182418_PDFSIGS.txt")</f>
        <v>MCRO_27-CR-21-12762_Order for Conditional Release_2021-09-29_20251126182418_PDFSIGS.txt</v>
      </c>
      <c r="L158" s="7" t="str">
        <f aca="false">HYPERLINK("https://mncourtfraud.com/file/MCRO_27-CR-21-12762_Order_for_Conditional_Release_2021-09-29_20251126182418.zip","MCRO_27-CR-21-12762_Order_for_Conditional_Release_2021-09-29_20251126182418.zip")</f>
        <v>MCRO_27-CR-21-12762_Order_for_Conditional_Release_2021-09-29_20251126182418.zip</v>
      </c>
    </row>
    <row r="159" customFormat="false" ht="18.7" hidden="false" customHeight="true" outlineLevel="0" collapsed="false">
      <c r="A159" s="1" t="n">
        <v>158</v>
      </c>
      <c r="B159" s="7" t="str">
        <f aca="false">HYPERLINK("https://mncourtfraud.com/file/27-CR-21-12762.pdf","27-CR-21-12762")</f>
        <v>27-CR-21-12762</v>
      </c>
      <c r="C159" s="1" t="n">
        <v>1</v>
      </c>
      <c r="D159" s="2" t="s">
        <v>12</v>
      </c>
      <c r="E159" s="8" t="n">
        <v>44543</v>
      </c>
      <c r="F159" s="2" t="s">
        <v>15</v>
      </c>
      <c r="G159" s="7" t="str">
        <f aca="false">HYPERLINK("https://mncourtfraud.com/file/MCRO_27-CR-21-12762_Order-Evaluation for Competency to Proceed (Rule 20.01)_2021-12-13_20251126182440.pdf","MCRO_27-CR-21-12762_Order-Evaluation for Competency to Proceed (Rule 20.01)_2021-12-13_20251126182440.pdf")</f>
        <v>MCRO_27-CR-21-12762_Order-Evaluation for Competency to Proceed (Rule 20.01)_2021-12-13_20251126182440.pdf</v>
      </c>
      <c r="H159" s="2" t="s">
        <v>179</v>
      </c>
      <c r="I159" s="7" t="str">
        <f aca="false">HYPERLINK("https://mncourtfraud.com/file/MCRO_27-CR-21-12762_Order-Evaluation for Competency to Proceed (Rule 20.01)_2021-12-13_20251126182440.pdf.ots","MCRO_27-CR-21-12762_Order-Evaluation for Competency to Proceed (Rule 20.01)_2021-12-13_20251126182440.pdf.ots")</f>
        <v>MCRO_27-CR-21-12762_Order-Evaluation for Competency to Proceed (Rule 20.01)_2021-12-13_20251126182440.pdf.ots</v>
      </c>
      <c r="J159" s="7" t="str">
        <f aca="false">HYPERLINK("https://mncourtfraud.com/file/MCRO_27-CR-21-12762_Order-Evaluation for Competency to Proceed (Rule 20.01)_2021-12-13_20251126182440_META.txt","MCRO_27-CR-21-12762_Order-Evaluation for Competency to Proceed (Rule 20.01)_2021-12-13_20251126182440_META.txt")</f>
        <v>MCRO_27-CR-21-12762_Order-Evaluation for Competency to Proceed (Rule 20.01)_2021-12-13_20251126182440_META.txt</v>
      </c>
      <c r="K159" s="7" t="str">
        <f aca="false">HYPERLINK("https://mncourtfraud.com/file/MCRO_27-CR-21-12762_Order-Evaluation for Competency to Proceed (Rule 20.01)_2021-12-13_20251126182440_PDFSIGS.txt","MCRO_27-CR-21-12762_Order-Evaluation for Competency to Proceed (Rule 20.01)_2021-12-13_20251126182440_PDFSIGS.txt")</f>
        <v>MCRO_27-CR-21-12762_Order-Evaluation for Competency to Proceed (Rule 20.01)_2021-12-13_20251126182440_PDFSIGS.txt</v>
      </c>
      <c r="L159" s="7" t="str">
        <f aca="false">HYPERLINK("https://mncourtfraud.com/file/MCRO_27-CR-21-12762_Order-Evaluation_for_Competency_to_Proceed_(Rule_20.01)_2021-12-13_20251126182440.zip","MCRO_27-CR-21-12762_Order-Evaluation_for_Competency_to_Proceed_(Rule_20.01)_2021-12-13_20251126182440.zip")</f>
        <v>MCRO_27-CR-21-12762_Order-Evaluation_for_Competency_to_Proceed_(Rule_20.01)_2021-12-13_20251126182440.zip</v>
      </c>
    </row>
    <row r="160" customFormat="false" ht="18.7" hidden="false" customHeight="true" outlineLevel="0" collapsed="false">
      <c r="A160" s="1" t="n">
        <v>159</v>
      </c>
      <c r="B160" s="7" t="str">
        <f aca="false">HYPERLINK("https://mncourtfraud.com/file/27-CR-21-12762.pdf","27-CR-21-12762")</f>
        <v>27-CR-21-12762</v>
      </c>
      <c r="C160" s="1" t="n">
        <v>1</v>
      </c>
      <c r="D160" s="2" t="s">
        <v>12</v>
      </c>
      <c r="E160" s="8" t="n">
        <v>44558</v>
      </c>
      <c r="F160" s="2" t="s">
        <v>15</v>
      </c>
      <c r="G160" s="7" t="str">
        <f aca="false">HYPERLINK("https://mncourtfraud.com/file/MCRO_27-CR-21-12762_Order-Evaluation for Competency to Proceed (Rule 20.01)_2021-12-28_20251126182449.pdf","MCRO_27-CR-21-12762_Order-Evaluation for Competency to Proceed (Rule 20.01)_2021-12-28_20251126182449.pdf")</f>
        <v>MCRO_27-CR-21-12762_Order-Evaluation for Competency to Proceed (Rule 20.01)_2021-12-28_20251126182449.pdf</v>
      </c>
      <c r="H160" s="2" t="s">
        <v>180</v>
      </c>
      <c r="I160" s="7" t="str">
        <f aca="false">HYPERLINK("https://mncourtfraud.com/file/MCRO_27-CR-21-12762_Order-Evaluation for Competency to Proceed (Rule 20.01)_2021-12-28_20251126182449.pdf.ots","MCRO_27-CR-21-12762_Order-Evaluation for Competency to Proceed (Rule 20.01)_2021-12-28_20251126182449.pdf.ots")</f>
        <v>MCRO_27-CR-21-12762_Order-Evaluation for Competency to Proceed (Rule 20.01)_2021-12-28_20251126182449.pdf.ots</v>
      </c>
      <c r="J160" s="7" t="str">
        <f aca="false">HYPERLINK("https://mncourtfraud.com/file/MCRO_27-CR-21-12762_Order-Evaluation for Competency to Proceed (Rule 20.01)_2021-12-28_20251126182449_META.txt","MCRO_27-CR-21-12762_Order-Evaluation for Competency to Proceed (Rule 20.01)_2021-12-28_20251126182449_META.txt")</f>
        <v>MCRO_27-CR-21-12762_Order-Evaluation for Competency to Proceed (Rule 20.01)_2021-12-28_20251126182449_META.txt</v>
      </c>
      <c r="K160" s="7" t="str">
        <f aca="false">HYPERLINK("https://mncourtfraud.com/file/MCRO_27-CR-21-12762_Order-Evaluation for Competency to Proceed (Rule 20.01)_2021-12-28_20251126182449_PDFSIGS.txt","MCRO_27-CR-21-12762_Order-Evaluation for Competency to Proceed (Rule 20.01)_2021-12-28_20251126182449_PDFSIGS.txt")</f>
        <v>MCRO_27-CR-21-12762_Order-Evaluation for Competency to Proceed (Rule 20.01)_2021-12-28_20251126182449_PDFSIGS.txt</v>
      </c>
      <c r="L160" s="7" t="str">
        <f aca="false">HYPERLINK("https://mncourtfraud.com/file/MCRO_27-CR-21-12762_Order-Evaluation_for_Competency_to_Proceed_(Rule_20.01)_2021-12-28_20251126182449.zip","MCRO_27-CR-21-12762_Order-Evaluation_for_Competency_to_Proceed_(Rule_20.01)_2021-12-28_20251126182449.zip")</f>
        <v>MCRO_27-CR-21-12762_Order-Evaluation_for_Competency_to_Proceed_(Rule_20.01)_2021-12-28_20251126182449.zip</v>
      </c>
    </row>
    <row r="161" customFormat="false" ht="18.7" hidden="false" customHeight="true" outlineLevel="0" collapsed="false">
      <c r="A161" s="1" t="n">
        <v>160</v>
      </c>
      <c r="B161" s="7" t="str">
        <f aca="false">HYPERLINK("https://mncourtfraud.com/file/27-CR-21-12762.pdf","27-CR-21-12762")</f>
        <v>27-CR-21-12762</v>
      </c>
      <c r="C161" s="1" t="n">
        <v>1</v>
      </c>
      <c r="D161" s="2" t="s">
        <v>12</v>
      </c>
      <c r="E161" s="8" t="n">
        <v>44593</v>
      </c>
      <c r="F161" s="2" t="s">
        <v>19</v>
      </c>
      <c r="G161" s="7" t="str">
        <f aca="false">HYPERLINK("https://mncourtfraud.com/file/MCRO_27-CR-21-12762_Findings and Order_2022-02-01_20251126182314.pdf","MCRO_27-CR-21-12762_Findings and Order_2022-02-01_20251126182314.pdf")</f>
        <v>MCRO_27-CR-21-12762_Findings and Order_2022-02-01_20251126182314.pdf</v>
      </c>
      <c r="H161" s="2" t="s">
        <v>181</v>
      </c>
      <c r="I161" s="7" t="str">
        <f aca="false">HYPERLINK("https://mncourtfraud.com/file/MCRO_27-CR-21-12762_Findings and Order_2022-02-01_20251126182314.pdf.ots","MCRO_27-CR-21-12762_Findings and Order_2022-02-01_20251126182314.pdf.ots")</f>
        <v>MCRO_27-CR-21-12762_Findings and Order_2022-02-01_20251126182314.pdf.ots</v>
      </c>
      <c r="J161" s="7" t="str">
        <f aca="false">HYPERLINK("https://mncourtfraud.com/file/MCRO_27-CR-21-12762_Findings and Order_2022-02-01_20251126182314_META.txt","MCRO_27-CR-21-12762_Findings and Order_2022-02-01_20251126182314_META.txt")</f>
        <v>MCRO_27-CR-21-12762_Findings and Order_2022-02-01_20251126182314_META.txt</v>
      </c>
      <c r="K161" s="7" t="str">
        <f aca="false">HYPERLINK("https://mncourtfraud.com/file/MCRO_27-CR-21-12762_Findings and Order_2022-02-01_20251126182314_PDFSIGS.txt","MCRO_27-CR-21-12762_Findings and Order_2022-02-01_20251126182314_PDFSIGS.txt")</f>
        <v>MCRO_27-CR-21-12762_Findings and Order_2022-02-01_20251126182314_PDFSIGS.txt</v>
      </c>
      <c r="L161" s="7" t="str">
        <f aca="false">HYPERLINK("https://mncourtfraud.com/file/MCRO_27-CR-21-12762_Findings_and_Order_2022-02-01_20251126182314.zip","MCRO_27-CR-21-12762_Findings_and_Order_2022-02-01_20251126182314.zip")</f>
        <v>MCRO_27-CR-21-12762_Findings_and_Order_2022-02-01_20251126182314.zip</v>
      </c>
    </row>
    <row r="162" customFormat="false" ht="18.7" hidden="false" customHeight="true" outlineLevel="0" collapsed="false">
      <c r="A162" s="1" t="n">
        <v>161</v>
      </c>
      <c r="B162" s="7" t="str">
        <f aca="false">HYPERLINK("https://mncourtfraud.com/file/27-CR-21-12762.pdf","27-CR-21-12762")</f>
        <v>27-CR-21-12762</v>
      </c>
      <c r="C162" s="1" t="n">
        <v>1</v>
      </c>
      <c r="D162" s="2" t="s">
        <v>12</v>
      </c>
      <c r="E162" s="8" t="n">
        <v>44692</v>
      </c>
      <c r="F162" s="2" t="s">
        <v>15</v>
      </c>
      <c r="G162" s="7" t="str">
        <f aca="false">HYPERLINK("https://mncourtfraud.com/file/MCRO_27-CR-21-12762_Order-Evaluation for Competency to Proceed (Rule 20.01)_2022-05-11_20251126182457.pdf","MCRO_27-CR-21-12762_Order-Evaluation for Competency to Proceed (Rule 20.01)_2022-05-11_20251126182457.pdf")</f>
        <v>MCRO_27-CR-21-12762_Order-Evaluation for Competency to Proceed (Rule 20.01)_2022-05-11_20251126182457.pdf</v>
      </c>
      <c r="H162" s="2" t="s">
        <v>182</v>
      </c>
      <c r="I162" s="7" t="str">
        <f aca="false">HYPERLINK("https://mncourtfraud.com/file/MCRO_27-CR-21-12762_Order-Evaluation for Competency to Proceed (Rule 20.01)_2022-05-11_20251126182457.pdf.ots","MCRO_27-CR-21-12762_Order-Evaluation for Competency to Proceed (Rule 20.01)_2022-05-11_20251126182457.pdf.ots")</f>
        <v>MCRO_27-CR-21-12762_Order-Evaluation for Competency to Proceed (Rule 20.01)_2022-05-11_20251126182457.pdf.ots</v>
      </c>
      <c r="J162" s="7" t="str">
        <f aca="false">HYPERLINK("https://mncourtfraud.com/file/MCRO_27-CR-21-12762_Order-Evaluation for Competency to Proceed (Rule 20.01)_2022-05-11_20251126182457_META.txt","MCRO_27-CR-21-12762_Order-Evaluation for Competency to Proceed (Rule 20.01)_2022-05-11_20251126182457_META.txt")</f>
        <v>MCRO_27-CR-21-12762_Order-Evaluation for Competency to Proceed (Rule 20.01)_2022-05-11_20251126182457_META.txt</v>
      </c>
      <c r="K162" s="7" t="str">
        <f aca="false">HYPERLINK("https://mncourtfraud.com/file/MCRO_27-CR-21-12762_Order-Evaluation for Competency to Proceed (Rule 20.01)_2022-05-11_20251126182457_PDFSIGS.txt","MCRO_27-CR-21-12762_Order-Evaluation for Competency to Proceed (Rule 20.01)_2022-05-11_20251126182457_PDFSIGS.txt")</f>
        <v>MCRO_27-CR-21-12762_Order-Evaluation for Competency to Proceed (Rule 20.01)_2022-05-11_20251126182457_PDFSIGS.txt</v>
      </c>
      <c r="L162" s="7" t="str">
        <f aca="false">HYPERLINK("https://mncourtfraud.com/file/MCRO_27-CR-21-12762_Order-Evaluation_for_Competency_to_Proceed_(Rule_20.01)_2022-05-11_20251126182457.zip","MCRO_27-CR-21-12762_Order-Evaluation_for_Competency_to_Proceed_(Rule_20.01)_2022-05-11_20251126182457.zip")</f>
        <v>MCRO_27-CR-21-12762_Order-Evaluation_for_Competency_to_Proceed_(Rule_20.01)_2022-05-11_20251126182457.zip</v>
      </c>
    </row>
    <row r="163" customFormat="false" ht="18.7" hidden="false" customHeight="true" outlineLevel="0" collapsed="false">
      <c r="A163" s="1" t="n">
        <v>162</v>
      </c>
      <c r="B163" s="7" t="str">
        <f aca="false">HYPERLINK("https://mncourtfraud.com/file/27-CR-21-12762.pdf","27-CR-21-12762")</f>
        <v>27-CR-21-12762</v>
      </c>
      <c r="C163" s="1" t="n">
        <v>1</v>
      </c>
      <c r="D163" s="2" t="s">
        <v>12</v>
      </c>
      <c r="E163" s="8" t="n">
        <v>44895</v>
      </c>
      <c r="F163" s="2" t="s">
        <v>15</v>
      </c>
      <c r="G163" s="7" t="str">
        <f aca="false">HYPERLINK("https://mncourtfraud.com/file/MCRO_27-CR-21-12762_Order-Evaluation for Competency to Proceed (Rule 20.01)_2022-11-30_20251126182506.pdf","MCRO_27-CR-21-12762_Order-Evaluation for Competency to Proceed (Rule 20.01)_2022-11-30_20251126182506.pdf")</f>
        <v>MCRO_27-CR-21-12762_Order-Evaluation for Competency to Proceed (Rule 20.01)_2022-11-30_20251126182506.pdf</v>
      </c>
      <c r="H163" s="2" t="s">
        <v>183</v>
      </c>
      <c r="I163" s="7" t="str">
        <f aca="false">HYPERLINK("https://mncourtfraud.com/file/MCRO_27-CR-21-12762_Order-Evaluation for Competency to Proceed (Rule 20.01)_2022-11-30_20251126182506.pdf.ots","MCRO_27-CR-21-12762_Order-Evaluation for Competency to Proceed (Rule 20.01)_2022-11-30_20251126182506.pdf.ots")</f>
        <v>MCRO_27-CR-21-12762_Order-Evaluation for Competency to Proceed (Rule 20.01)_2022-11-30_20251126182506.pdf.ots</v>
      </c>
      <c r="J163" s="7" t="str">
        <f aca="false">HYPERLINK("https://mncourtfraud.com/file/MCRO_27-CR-21-12762_Order-Evaluation for Competency to Proceed (Rule 20.01)_2022-11-30_20251126182506_META.txt","MCRO_27-CR-21-12762_Order-Evaluation for Competency to Proceed (Rule 20.01)_2022-11-30_20251126182506_META.txt")</f>
        <v>MCRO_27-CR-21-12762_Order-Evaluation for Competency to Proceed (Rule 20.01)_2022-11-30_20251126182506_META.txt</v>
      </c>
      <c r="K163" s="7" t="str">
        <f aca="false">HYPERLINK("https://mncourtfraud.com/file/MCRO_27-CR-21-12762_Order-Evaluation for Competency to Proceed (Rule 20.01)_2022-11-30_20251126182506_PDFSIGS.txt","MCRO_27-CR-21-12762_Order-Evaluation for Competency to Proceed (Rule 20.01)_2022-11-30_20251126182506_PDFSIGS.txt")</f>
        <v>MCRO_27-CR-21-12762_Order-Evaluation for Competency to Proceed (Rule 20.01)_2022-11-30_20251126182506_PDFSIGS.txt</v>
      </c>
      <c r="L163" s="7" t="str">
        <f aca="false">HYPERLINK("https://mncourtfraud.com/file/MCRO_27-CR-21-12762_Order-Evaluation_for_Competency_to_Proceed_(Rule_20.01)_2022-11-30_20251126182506.zip","MCRO_27-CR-21-12762_Order-Evaluation_for_Competency_to_Proceed_(Rule_20.01)_2022-11-30_20251126182506.zip")</f>
        <v>MCRO_27-CR-21-12762_Order-Evaluation_for_Competency_to_Proceed_(Rule_20.01)_2022-11-30_20251126182506.zip</v>
      </c>
    </row>
    <row r="164" customFormat="false" ht="18.7" hidden="false" customHeight="true" outlineLevel="0" collapsed="false">
      <c r="A164" s="1" t="n">
        <v>163</v>
      </c>
      <c r="B164" s="7" t="str">
        <f aca="false">HYPERLINK("https://mncourtfraud.com/file/27-CR-21-12762.pdf","27-CR-21-12762")</f>
        <v>27-CR-21-12762</v>
      </c>
      <c r="C164" s="1" t="n">
        <v>1</v>
      </c>
      <c r="D164" s="2" t="s">
        <v>12</v>
      </c>
      <c r="E164" s="8" t="n">
        <v>45048</v>
      </c>
      <c r="F164" s="2" t="s">
        <v>80</v>
      </c>
      <c r="G164" s="7" t="str">
        <f aca="false">HYPERLINK("https://mncourtfraud.com/file/MCRO_27-CR-21-12762_Finding of Incompetency and Order_2023-05-02_20251126182300.pdf","MCRO_27-CR-21-12762_Finding of Incompetency and Order_2023-05-02_20251126182300.pdf")</f>
        <v>MCRO_27-CR-21-12762_Finding of Incompetency and Order_2023-05-02_20251126182300.pdf</v>
      </c>
      <c r="H164" s="2" t="s">
        <v>184</v>
      </c>
      <c r="I164" s="7" t="str">
        <f aca="false">HYPERLINK("https://mncourtfraud.com/file/MCRO_27-CR-21-12762_Finding of Incompetency and Order_2023-05-02_20251126182300.pdf.ots","MCRO_27-CR-21-12762_Finding of Incompetency and Order_2023-05-02_20251126182300.pdf.ots")</f>
        <v>MCRO_27-CR-21-12762_Finding of Incompetency and Order_2023-05-02_20251126182300.pdf.ots</v>
      </c>
      <c r="J164" s="7" t="str">
        <f aca="false">HYPERLINK("https://mncourtfraud.com/file/MCRO_27-CR-21-12762_Finding of Incompetency and Order_2023-05-02_20251126182300_META.txt","MCRO_27-CR-21-12762_Finding of Incompetency and Order_2023-05-02_20251126182300_META.txt")</f>
        <v>MCRO_27-CR-21-12762_Finding of Incompetency and Order_2023-05-02_20251126182300_META.txt</v>
      </c>
      <c r="K164" s="7" t="str">
        <f aca="false">HYPERLINK("https://mncourtfraud.com/file/MCRO_27-CR-21-12762_Finding of Incompetency and Order_2023-05-02_20251126182300_PDFSIGS.txt","MCRO_27-CR-21-12762_Finding of Incompetency and Order_2023-05-02_20251126182300_PDFSIGS.txt")</f>
        <v>MCRO_27-CR-21-12762_Finding of Incompetency and Order_2023-05-02_20251126182300_PDFSIGS.txt</v>
      </c>
      <c r="L164" s="7" t="str">
        <f aca="false">HYPERLINK("https://mncourtfraud.com/file/MCRO_27-CR-21-12762_Finding_of_Incompetency_and_Order_2023-05-02_20251126182300.zip","MCRO_27-CR-21-12762_Finding_of_Incompetency_and_Order_2023-05-02_20251126182300.zip")</f>
        <v>MCRO_27-CR-21-12762_Finding_of_Incompetency_and_Order_2023-05-02_20251126182300.zip</v>
      </c>
    </row>
    <row r="165" customFormat="false" ht="18.7" hidden="false" customHeight="true" outlineLevel="0" collapsed="false">
      <c r="A165" s="1" t="n">
        <v>164</v>
      </c>
      <c r="B165" s="7" t="str">
        <f aca="false">HYPERLINK("https://mncourtfraud.com/file/27-CR-21-12762.pdf","27-CR-21-12762")</f>
        <v>27-CR-21-12762</v>
      </c>
      <c r="C165" s="1" t="n">
        <v>1</v>
      </c>
      <c r="D165" s="2" t="s">
        <v>12</v>
      </c>
      <c r="E165" s="8" t="n">
        <v>45093</v>
      </c>
      <c r="F165" s="2" t="s">
        <v>82</v>
      </c>
      <c r="G165" s="7" t="str">
        <f aca="false">HYPERLINK("https://mncourtfraud.com/file/MCRO_27-CR-21-12762_Notice of Case Reassignment_2023-06-16_20251126182340.pdf","MCRO_27-CR-21-12762_Notice of Case Reassignment_2023-06-16_20251126182340.pdf")</f>
        <v>MCRO_27-CR-21-12762_Notice of Case Reassignment_2023-06-16_20251126182340.pdf</v>
      </c>
      <c r="H165" s="2" t="s">
        <v>185</v>
      </c>
      <c r="I165" s="7" t="str">
        <f aca="false">HYPERLINK("https://mncourtfraud.com/file/MCRO_27-CR-21-12762_Notice of Case Reassignment_2023-06-16_20251126182340.pdf.ots","MCRO_27-CR-21-12762_Notice of Case Reassignment_2023-06-16_20251126182340.pdf.ots")</f>
        <v>MCRO_27-CR-21-12762_Notice of Case Reassignment_2023-06-16_20251126182340.pdf.ots</v>
      </c>
      <c r="J165" s="7" t="str">
        <f aca="false">HYPERLINK("https://mncourtfraud.com/file/MCRO_27-CR-21-12762_Notice of Case Reassignment_2023-06-16_20251126182340_META.txt","MCRO_27-CR-21-12762_Notice of Case Reassignment_2023-06-16_20251126182340_META.txt")</f>
        <v>MCRO_27-CR-21-12762_Notice of Case Reassignment_2023-06-16_20251126182340_META.txt</v>
      </c>
      <c r="K165" s="7" t="str">
        <f aca="false">HYPERLINK("https://mncourtfraud.com/file/MCRO_27-CR-21-12762_Notice of Case Reassignment_2023-06-16_20251126182340_PDFSIGS.txt","MCRO_27-CR-21-12762_Notice of Case Reassignment_2023-06-16_20251126182340_PDFSIGS.txt")</f>
        <v>MCRO_27-CR-21-12762_Notice of Case Reassignment_2023-06-16_20251126182340_PDFSIGS.txt</v>
      </c>
      <c r="L165" s="7" t="str">
        <f aca="false">HYPERLINK("https://mncourtfraud.com/file/MCRO_27-CR-21-12762_Notice_of_Case_Reassignment_2023-06-16_20251126182340.zip","MCRO_27-CR-21-12762_Notice_of_Case_Reassignment_2023-06-16_20251126182340.zip")</f>
        <v>MCRO_27-CR-21-12762_Notice_of_Case_Reassignment_2023-06-16_20251126182340.zip</v>
      </c>
    </row>
    <row r="166" customFormat="false" ht="18.7" hidden="false" customHeight="true" outlineLevel="0" collapsed="false">
      <c r="A166" s="1" t="n">
        <v>165</v>
      </c>
      <c r="B166" s="7" t="str">
        <f aca="false">HYPERLINK("https://mncourtfraud.com/file/27-CR-21-12762.pdf","27-CR-21-12762")</f>
        <v>27-CR-21-12762</v>
      </c>
      <c r="C166" s="1" t="n">
        <v>1</v>
      </c>
      <c r="D166" s="2" t="s">
        <v>12</v>
      </c>
      <c r="E166" s="8" t="n">
        <v>45160</v>
      </c>
      <c r="F166" s="2" t="s">
        <v>15</v>
      </c>
      <c r="G166" s="7" t="str">
        <f aca="false">HYPERLINK("https://mncourtfraud.com/file/MCRO_27-CR-21-12762_Order-Evaluation for Competency to Proceed (Rule 20.01)_2023-08-22_20251126182515.pdf","MCRO_27-CR-21-12762_Order-Evaluation for Competency to Proceed (Rule 20.01)_2023-08-22_20251126182515.pdf")</f>
        <v>MCRO_27-CR-21-12762_Order-Evaluation for Competency to Proceed (Rule 20.01)_2023-08-22_20251126182515.pdf</v>
      </c>
      <c r="H166" s="2" t="s">
        <v>186</v>
      </c>
      <c r="I166" s="7" t="str">
        <f aca="false">HYPERLINK("https://mncourtfraud.com/file/MCRO_27-CR-21-12762_Order-Evaluation for Competency to Proceed (Rule 20.01)_2023-08-22_20251126182515.pdf.ots","MCRO_27-CR-21-12762_Order-Evaluation for Competency to Proceed (Rule 20.01)_2023-08-22_20251126182515.pdf.ots")</f>
        <v>MCRO_27-CR-21-12762_Order-Evaluation for Competency to Proceed (Rule 20.01)_2023-08-22_20251126182515.pdf.ots</v>
      </c>
      <c r="J166" s="7" t="str">
        <f aca="false">HYPERLINK("https://mncourtfraud.com/file/MCRO_27-CR-21-12762_Order-Evaluation for Competency to Proceed (Rule 20.01)_2023-08-22_20251126182515_META.txt","MCRO_27-CR-21-12762_Order-Evaluation for Competency to Proceed (Rule 20.01)_2023-08-22_20251126182515_META.txt")</f>
        <v>MCRO_27-CR-21-12762_Order-Evaluation for Competency to Proceed (Rule 20.01)_2023-08-22_20251126182515_META.txt</v>
      </c>
      <c r="K166" s="7" t="str">
        <f aca="false">HYPERLINK("https://mncourtfraud.com/file/MCRO_27-CR-21-12762_Order-Evaluation for Competency to Proceed (Rule 20.01)_2023-08-22_20251126182515_PDFSIGS.txt","MCRO_27-CR-21-12762_Order-Evaluation for Competency to Proceed (Rule 20.01)_2023-08-22_20251126182515_PDFSIGS.txt")</f>
        <v>MCRO_27-CR-21-12762_Order-Evaluation for Competency to Proceed (Rule 20.01)_2023-08-22_20251126182515_PDFSIGS.txt</v>
      </c>
      <c r="L166" s="7" t="str">
        <f aca="false">HYPERLINK("https://mncourtfraud.com/file/MCRO_27-CR-21-12762_Order-Evaluation_for_Competency_to_Proceed_(Rule_20.01)_2023-08-22_20251126182515.zip","MCRO_27-CR-21-12762_Order-Evaluation_for_Competency_to_Proceed_(Rule_20.01)_2023-08-22_20251126182515.zip")</f>
        <v>MCRO_27-CR-21-12762_Order-Evaluation_for_Competency_to_Proceed_(Rule_20.01)_2023-08-22_20251126182515.zip</v>
      </c>
    </row>
    <row r="167" customFormat="false" ht="18.7" hidden="false" customHeight="true" outlineLevel="0" collapsed="false">
      <c r="A167" s="1" t="n">
        <v>166</v>
      </c>
      <c r="B167" s="7" t="str">
        <f aca="false">HYPERLINK("https://mncourtfraud.com/file/27-CR-21-12762.pdf","27-CR-21-12762")</f>
        <v>27-CR-21-12762</v>
      </c>
      <c r="C167" s="1" t="n">
        <v>1</v>
      </c>
      <c r="D167" s="2" t="s">
        <v>12</v>
      </c>
      <c r="E167" s="8" t="n">
        <v>45412</v>
      </c>
      <c r="F167" s="2" t="s">
        <v>24</v>
      </c>
      <c r="G167" s="7" t="str">
        <f aca="false">HYPERLINK("https://mncourtfraud.com/file/MCRO_27-CR-21-12762_Order for Conditional Release_2024-04-30_20251126182405.pdf","MCRO_27-CR-21-12762_Order for Conditional Release_2024-04-30_20251126182405.pdf")</f>
        <v>MCRO_27-CR-21-12762_Order for Conditional Release_2024-04-30_20251126182405.pdf</v>
      </c>
      <c r="H167" s="2" t="s">
        <v>187</v>
      </c>
      <c r="I167" s="7" t="str">
        <f aca="false">HYPERLINK("https://mncourtfraud.com/file/MCRO_27-CR-21-12762_Order for Conditional Release_2024-04-30_20251126182405.pdf.ots","MCRO_27-CR-21-12762_Order for Conditional Release_2024-04-30_20251126182405.pdf.ots")</f>
        <v>MCRO_27-CR-21-12762_Order for Conditional Release_2024-04-30_20251126182405.pdf.ots</v>
      </c>
      <c r="J167" s="7" t="str">
        <f aca="false">HYPERLINK("https://mncourtfraud.com/file/MCRO_27-CR-21-12762_Order for Conditional Release_2024-04-30_20251126182405_META.txt","MCRO_27-CR-21-12762_Order for Conditional Release_2024-04-30_20251126182405_META.txt")</f>
        <v>MCRO_27-CR-21-12762_Order for Conditional Release_2024-04-30_20251126182405_META.txt</v>
      </c>
      <c r="K167" s="7" t="str">
        <f aca="false">HYPERLINK("https://mncourtfraud.com/file/MCRO_27-CR-21-12762_Order for Conditional Release_2024-04-30_20251126182405_PDFSIGS.txt","MCRO_27-CR-21-12762_Order for Conditional Release_2024-04-30_20251126182405_PDFSIGS.txt")</f>
        <v>MCRO_27-CR-21-12762_Order for Conditional Release_2024-04-30_20251126182405_PDFSIGS.txt</v>
      </c>
      <c r="L167" s="7" t="str">
        <f aca="false">HYPERLINK("https://mncourtfraud.com/file/MCRO_27-CR-21-12762_Order_for_Conditional_Release_2024-04-30_20251126182405.zip","MCRO_27-CR-21-12762_Order_for_Conditional_Release_2024-04-30_20251126182405.zip")</f>
        <v>MCRO_27-CR-21-12762_Order_for_Conditional_Release_2024-04-30_20251126182405.zip</v>
      </c>
    </row>
    <row r="168" customFormat="false" ht="18.7" hidden="false" customHeight="true" outlineLevel="0" collapsed="false">
      <c r="A168" s="1" t="n">
        <v>167</v>
      </c>
      <c r="B168" s="7" t="str">
        <f aca="false">HYPERLINK("https://mncourtfraud.com/file/27-CR-21-12762.pdf","27-CR-21-12762")</f>
        <v>27-CR-21-12762</v>
      </c>
      <c r="C168" s="1" t="n">
        <v>1</v>
      </c>
      <c r="D168" s="2" t="s">
        <v>12</v>
      </c>
      <c r="E168" s="8" t="n">
        <v>45412</v>
      </c>
      <c r="F168" s="2" t="s">
        <v>15</v>
      </c>
      <c r="G168" s="7" t="str">
        <f aca="false">HYPERLINK("https://mncourtfraud.com/file/MCRO_27-CR-21-12762_Order-Evaluation for Competency to Proceed (Rule 20.01)_2024-04-30_20251126182523.pdf","MCRO_27-CR-21-12762_Order-Evaluation for Competency to Proceed (Rule 20.01)_2024-04-30_20251126182523.pdf")</f>
        <v>MCRO_27-CR-21-12762_Order-Evaluation for Competency to Proceed (Rule 20.01)_2024-04-30_20251126182523.pdf</v>
      </c>
      <c r="H168" s="2" t="s">
        <v>188</v>
      </c>
      <c r="I168" s="7" t="str">
        <f aca="false">HYPERLINK("https://mncourtfraud.com/file/MCRO_27-CR-21-12762_Order-Evaluation for Competency to Proceed (Rule 20.01)_2024-04-30_20251126182523.pdf.ots","MCRO_27-CR-21-12762_Order-Evaluation for Competency to Proceed (Rule 20.01)_2024-04-30_20251126182523.pdf.ots")</f>
        <v>MCRO_27-CR-21-12762_Order-Evaluation for Competency to Proceed (Rule 20.01)_2024-04-30_20251126182523.pdf.ots</v>
      </c>
      <c r="J168" s="7" t="str">
        <f aca="false">HYPERLINK("https://mncourtfraud.com/file/MCRO_27-CR-21-12762_Order-Evaluation for Competency to Proceed (Rule 20.01)_2024-04-30_20251126182523_META.txt","MCRO_27-CR-21-12762_Order-Evaluation for Competency to Proceed (Rule 20.01)_2024-04-30_20251126182523_META.txt")</f>
        <v>MCRO_27-CR-21-12762_Order-Evaluation for Competency to Proceed (Rule 20.01)_2024-04-30_20251126182523_META.txt</v>
      </c>
      <c r="K168" s="7" t="str">
        <f aca="false">HYPERLINK("https://mncourtfraud.com/file/MCRO_27-CR-21-12762_Order-Evaluation for Competency to Proceed (Rule 20.01)_2024-04-30_20251126182523_PDFSIGS.txt","MCRO_27-CR-21-12762_Order-Evaluation for Competency to Proceed (Rule 20.01)_2024-04-30_20251126182523_PDFSIGS.txt")</f>
        <v>MCRO_27-CR-21-12762_Order-Evaluation for Competency to Proceed (Rule 20.01)_2024-04-30_20251126182523_PDFSIGS.txt</v>
      </c>
      <c r="L168" s="7" t="str">
        <f aca="false">HYPERLINK("https://mncourtfraud.com/file/MCRO_27-CR-21-12762_Order-Evaluation_for_Competency_to_Proceed_(Rule_20.01)_2024-04-30_20251126182523.zip","MCRO_27-CR-21-12762_Order-Evaluation_for_Competency_to_Proceed_(Rule_20.01)_2024-04-30_20251126182523.zip")</f>
        <v>MCRO_27-CR-21-12762_Order-Evaluation_for_Competency_to_Proceed_(Rule_20.01)_2024-04-30_20251126182523.zip</v>
      </c>
    </row>
    <row r="169" customFormat="false" ht="18.7" hidden="false" customHeight="true" outlineLevel="0" collapsed="false">
      <c r="A169" s="1" t="n">
        <v>168</v>
      </c>
      <c r="B169" s="7" t="str">
        <f aca="false">HYPERLINK("https://mncourtfraud.com/file/27-CR-21-12947.pdf","27-CR-21-12947")</f>
        <v>27-CR-21-12947</v>
      </c>
      <c r="C169" s="1" t="n">
        <v>1</v>
      </c>
      <c r="D169" s="2" t="s">
        <v>12</v>
      </c>
      <c r="E169" s="8" t="n">
        <v>44396</v>
      </c>
      <c r="F169" s="2" t="s">
        <v>15</v>
      </c>
      <c r="G169" s="7" t="str">
        <f aca="false">HYPERLINK("https://mncourtfraud.com/file/MCRO_27-CR-21-12947_Order-Evaluation for Competency to Proceed (Rule 20.01)_2021-07-19_20251126182723.pdf","MCRO_27-CR-21-12947_Order-Evaluation for Competency to Proceed (Rule 20.01)_2021-07-19_20251126182723.pdf")</f>
        <v>MCRO_27-CR-21-12947_Order-Evaluation for Competency to Proceed (Rule 20.01)_2021-07-19_20251126182723.pdf</v>
      </c>
      <c r="H169" s="2" t="s">
        <v>189</v>
      </c>
      <c r="I169" s="7" t="str">
        <f aca="false">HYPERLINK("https://mncourtfraud.com/file/MCRO_27-CR-21-12947_Order-Evaluation for Competency to Proceed (Rule 20.01)_2021-07-19_20251126182723.pdf.ots","MCRO_27-CR-21-12947_Order-Evaluation for Competency to Proceed (Rule 20.01)_2021-07-19_20251126182723.pdf.ots")</f>
        <v>MCRO_27-CR-21-12947_Order-Evaluation for Competency to Proceed (Rule 20.01)_2021-07-19_20251126182723.pdf.ots</v>
      </c>
      <c r="J169" s="7" t="str">
        <f aca="false">HYPERLINK("https://mncourtfraud.com/file/MCRO_27-CR-21-12947_Order-Evaluation for Competency to Proceed (Rule 20.01)_2021-07-19_20251126182723_META.txt","MCRO_27-CR-21-12947_Order-Evaluation for Competency to Proceed (Rule 20.01)_2021-07-19_20251126182723_META.txt")</f>
        <v>MCRO_27-CR-21-12947_Order-Evaluation for Competency to Proceed (Rule 20.01)_2021-07-19_20251126182723_META.txt</v>
      </c>
      <c r="K169" s="7" t="str">
        <f aca="false">HYPERLINK("https://mncourtfraud.com/file/MCRO_27-CR-21-12947_Order-Evaluation for Competency to Proceed (Rule 20.01)_2021-07-19_20251126182723_PDFSIGS.txt","MCRO_27-CR-21-12947_Order-Evaluation for Competency to Proceed (Rule 20.01)_2021-07-19_20251126182723_PDFSIGS.txt")</f>
        <v>MCRO_27-CR-21-12947_Order-Evaluation for Competency to Proceed (Rule 20.01)_2021-07-19_20251126182723_PDFSIGS.txt</v>
      </c>
      <c r="L169" s="7" t="str">
        <f aca="false">HYPERLINK("https://mncourtfraud.com/file/MCRO_27-CR-21-12947_Order-Evaluation_for_Competency_to_Proceed_(Rule_20.01)_2021-07-19_20251126182723.zip","MCRO_27-CR-21-12947_Order-Evaluation_for_Competency_to_Proceed_(Rule_20.01)_2021-07-19_20251126182723.zip")</f>
        <v>MCRO_27-CR-21-12947_Order-Evaluation_for_Competency_to_Proceed_(Rule_20.01)_2021-07-19_20251126182723.zip</v>
      </c>
    </row>
    <row r="170" customFormat="false" ht="18.7" hidden="false" customHeight="true" outlineLevel="0" collapsed="false">
      <c r="A170" s="1" t="n">
        <v>169</v>
      </c>
      <c r="B170" s="7" t="str">
        <f aca="false">HYPERLINK("https://mncourtfraud.com/file/27-CR-21-12947.pdf","27-CR-21-12947")</f>
        <v>27-CR-21-12947</v>
      </c>
      <c r="C170" s="1" t="n">
        <v>1</v>
      </c>
      <c r="D170" s="2" t="s">
        <v>12</v>
      </c>
      <c r="E170" s="8" t="n">
        <v>44405</v>
      </c>
      <c r="F170" s="2" t="s">
        <v>145</v>
      </c>
      <c r="G170" s="7" t="str">
        <f aca="false">HYPERLINK("https://mncourtfraud.com/file/MCRO_27-CR-21-12947_Demand or Request for Discovery_2021-07-28_20251126182551.pdf","MCRO_27-CR-21-12947_Demand or Request for Discovery_2021-07-28_20251126182551.pdf")</f>
        <v>MCRO_27-CR-21-12947_Demand or Request for Discovery_2021-07-28_20251126182551.pdf</v>
      </c>
      <c r="H170" s="2" t="s">
        <v>190</v>
      </c>
      <c r="I170" s="7" t="str">
        <f aca="false">HYPERLINK("https://mncourtfraud.com/file/MCRO_27-CR-21-12947_Demand or Request for Discovery_2021-07-28_20251126182551.pdf.ots","MCRO_27-CR-21-12947_Demand or Request for Discovery_2021-07-28_20251126182551.pdf.ots")</f>
        <v>MCRO_27-CR-21-12947_Demand or Request for Discovery_2021-07-28_20251126182551.pdf.ots</v>
      </c>
      <c r="J170" s="7" t="str">
        <f aca="false">HYPERLINK("https://mncourtfraud.com/file/MCRO_27-CR-21-12947_Demand or Request for Discovery_2021-07-28_20251126182551_META.txt","MCRO_27-CR-21-12947_Demand or Request for Discovery_2021-07-28_20251126182551_META.txt")</f>
        <v>MCRO_27-CR-21-12947_Demand or Request for Discovery_2021-07-28_20251126182551_META.txt</v>
      </c>
      <c r="K170" s="7" t="str">
        <f aca="false">HYPERLINK("https://mncourtfraud.com/file/MCRO_27-CR-21-12947_Demand or Request for Discovery_2021-07-28_20251126182551_PDFSIGS.txt","MCRO_27-CR-21-12947_Demand or Request for Discovery_2021-07-28_20251126182551_PDFSIGS.txt")</f>
        <v>MCRO_27-CR-21-12947_Demand or Request for Discovery_2021-07-28_20251126182551_PDFSIGS.txt</v>
      </c>
      <c r="L170" s="7" t="str">
        <f aca="false">HYPERLINK("https://mncourtfraud.com/file/MCRO_27-CR-21-12947_Demand_or_Request_for_Discovery_2021-07-28_20251126182551.zip","MCRO_27-CR-21-12947_Demand_or_Request_for_Discovery_2021-07-28_20251126182551.zip")</f>
        <v>MCRO_27-CR-21-12947_Demand_or_Request_for_Discovery_2021-07-28_20251126182551.zip</v>
      </c>
    </row>
    <row r="171" customFormat="false" ht="18.7" hidden="false" customHeight="true" outlineLevel="0" collapsed="false">
      <c r="A171" s="1" t="n">
        <v>170</v>
      </c>
      <c r="B171" s="7" t="str">
        <f aca="false">HYPERLINK("https://mncourtfraud.com/file/27-CR-21-12947.pdf","27-CR-21-12947")</f>
        <v>27-CR-21-12947</v>
      </c>
      <c r="C171" s="1" t="n">
        <v>1</v>
      </c>
      <c r="D171" s="2" t="s">
        <v>12</v>
      </c>
      <c r="E171" s="8" t="n">
        <v>44439</v>
      </c>
      <c r="F171" s="2" t="s">
        <v>19</v>
      </c>
      <c r="G171" s="7" t="str">
        <f aca="false">HYPERLINK("https://mncourtfraud.com/file/MCRO_27-CR-21-12947_Findings and Order_2021-08-31_20251126182625.pdf","MCRO_27-CR-21-12947_Findings and Order_2021-08-31_20251126182625.pdf")</f>
        <v>MCRO_27-CR-21-12947_Findings and Order_2021-08-31_20251126182625.pdf</v>
      </c>
      <c r="H171" s="2" t="s">
        <v>191</v>
      </c>
      <c r="I171" s="7" t="str">
        <f aca="false">HYPERLINK("https://mncourtfraud.com/file/MCRO_27-CR-21-12947_Findings and Order_2021-08-31_20251126182625.pdf.ots","MCRO_27-CR-21-12947_Findings and Order_2021-08-31_20251126182625.pdf.ots")</f>
        <v>MCRO_27-CR-21-12947_Findings and Order_2021-08-31_20251126182625.pdf.ots</v>
      </c>
      <c r="J171" s="7" t="str">
        <f aca="false">HYPERLINK("https://mncourtfraud.com/file/MCRO_27-CR-21-12947_Findings and Order_2021-08-31_20251126182625_META.txt","MCRO_27-CR-21-12947_Findings and Order_2021-08-31_20251126182625_META.txt")</f>
        <v>MCRO_27-CR-21-12947_Findings and Order_2021-08-31_20251126182625_META.txt</v>
      </c>
      <c r="K171" s="7" t="str">
        <f aca="false">HYPERLINK("https://mncourtfraud.com/file/MCRO_27-CR-21-12947_Findings and Order_2021-08-31_20251126182625_PDFSIGS.txt","MCRO_27-CR-21-12947_Findings and Order_2021-08-31_20251126182625_PDFSIGS.txt")</f>
        <v>MCRO_27-CR-21-12947_Findings and Order_2021-08-31_20251126182625_PDFSIGS.txt</v>
      </c>
      <c r="L171" s="7" t="str">
        <f aca="false">HYPERLINK("https://mncourtfraud.com/file/MCRO_27-CR-21-12947_Findings_and_Order_2021-08-31_20251126182625.zip","MCRO_27-CR-21-12947_Findings_and_Order_2021-08-31_20251126182625.zip")</f>
        <v>MCRO_27-CR-21-12947_Findings_and_Order_2021-08-31_20251126182625.zip</v>
      </c>
    </row>
    <row r="172" customFormat="false" ht="18.7" hidden="false" customHeight="true" outlineLevel="0" collapsed="false">
      <c r="A172" s="1" t="n">
        <v>171</v>
      </c>
      <c r="B172" s="7" t="str">
        <f aca="false">HYPERLINK("https://mncourtfraud.com/file/27-CR-21-12947.pdf","27-CR-21-12947")</f>
        <v>27-CR-21-12947</v>
      </c>
      <c r="C172" s="1" t="n">
        <v>1</v>
      </c>
      <c r="D172" s="2" t="s">
        <v>12</v>
      </c>
      <c r="E172" s="8" t="n">
        <v>44460</v>
      </c>
      <c r="F172" s="2" t="s">
        <v>24</v>
      </c>
      <c r="G172" s="7" t="str">
        <f aca="false">HYPERLINK("https://mncourtfraud.com/file/MCRO_27-CR-21-12947_Order for Conditional Release_2021-09-21_20251126182704.pdf","MCRO_27-CR-21-12947_Order for Conditional Release_2021-09-21_20251126182704.pdf")</f>
        <v>MCRO_27-CR-21-12947_Order for Conditional Release_2021-09-21_20251126182704.pdf</v>
      </c>
      <c r="H172" s="2" t="s">
        <v>192</v>
      </c>
      <c r="I172" s="7" t="str">
        <f aca="false">HYPERLINK("https://mncourtfraud.com/file/MCRO_27-CR-21-12947_Order for Conditional Release_2021-09-21_20251126182704.pdf.ots","MCRO_27-CR-21-12947_Order for Conditional Release_2021-09-21_20251126182704.pdf.ots")</f>
        <v>MCRO_27-CR-21-12947_Order for Conditional Release_2021-09-21_20251126182704.pdf.ots</v>
      </c>
      <c r="J172" s="7" t="str">
        <f aca="false">HYPERLINK("https://mncourtfraud.com/file/MCRO_27-CR-21-12947_Order for Conditional Release_2021-09-21_20251126182704_META.txt","MCRO_27-CR-21-12947_Order for Conditional Release_2021-09-21_20251126182704_META.txt")</f>
        <v>MCRO_27-CR-21-12947_Order for Conditional Release_2021-09-21_20251126182704_META.txt</v>
      </c>
      <c r="K172" s="7" t="str">
        <f aca="false">HYPERLINK("https://mncourtfraud.com/file/MCRO_27-CR-21-12947_Order for Conditional Release_2021-09-21_20251126182704_PDFSIGS.txt","MCRO_27-CR-21-12947_Order for Conditional Release_2021-09-21_20251126182704_PDFSIGS.txt")</f>
        <v>MCRO_27-CR-21-12947_Order for Conditional Release_2021-09-21_20251126182704_PDFSIGS.txt</v>
      </c>
      <c r="L172" s="7" t="str">
        <f aca="false">HYPERLINK("https://mncourtfraud.com/file/MCRO_27-CR-21-12947_Order_for_Conditional_Release_2021-09-21_20251126182704.zip","MCRO_27-CR-21-12947_Order_for_Conditional_Release_2021-09-21_20251126182704.zip")</f>
        <v>MCRO_27-CR-21-12947_Order_for_Conditional_Release_2021-09-21_20251126182704.zip</v>
      </c>
    </row>
    <row r="173" customFormat="false" ht="18.7" hidden="false" customHeight="true" outlineLevel="0" collapsed="false">
      <c r="A173" s="1" t="n">
        <v>172</v>
      </c>
      <c r="B173" s="7" t="str">
        <f aca="false">HYPERLINK("https://mncourtfraud.com/file/27-CR-21-12947.pdf","27-CR-21-12947")</f>
        <v>27-CR-21-12947</v>
      </c>
      <c r="C173" s="1" t="n">
        <v>1</v>
      </c>
      <c r="D173" s="2" t="s">
        <v>12</v>
      </c>
      <c r="E173" s="8" t="n">
        <v>44468</v>
      </c>
      <c r="F173" s="2" t="s">
        <v>24</v>
      </c>
      <c r="G173" s="7" t="str">
        <f aca="false">HYPERLINK("https://mncourtfraud.com/file/MCRO_27-CR-21-12947_Order for Conditional Release_2021-09-29_20251126182710.pdf","MCRO_27-CR-21-12947_Order for Conditional Release_2021-09-29_20251126182710.pdf")</f>
        <v>MCRO_27-CR-21-12947_Order for Conditional Release_2021-09-29_20251126182710.pdf</v>
      </c>
      <c r="H173" s="2" t="s">
        <v>193</v>
      </c>
      <c r="I173" s="7" t="str">
        <f aca="false">HYPERLINK("https://mncourtfraud.com/file/MCRO_27-CR-21-12947_Order for Conditional Release_2021-09-29_20251126182710.pdf.ots","MCRO_27-CR-21-12947_Order for Conditional Release_2021-09-29_20251126182710.pdf.ots")</f>
        <v>MCRO_27-CR-21-12947_Order for Conditional Release_2021-09-29_20251126182710.pdf.ots</v>
      </c>
      <c r="J173" s="7" t="str">
        <f aca="false">HYPERLINK("https://mncourtfraud.com/file/MCRO_27-CR-21-12947_Order for Conditional Release_2021-09-29_20251126182710_META.txt","MCRO_27-CR-21-12947_Order for Conditional Release_2021-09-29_20251126182710_META.txt")</f>
        <v>MCRO_27-CR-21-12947_Order for Conditional Release_2021-09-29_20251126182710_META.txt</v>
      </c>
      <c r="K173" s="7" t="str">
        <f aca="false">HYPERLINK("https://mncourtfraud.com/file/MCRO_27-CR-21-12947_Order for Conditional Release_2021-09-29_20251126182710_PDFSIGS.txt","MCRO_27-CR-21-12947_Order for Conditional Release_2021-09-29_20251126182710_PDFSIGS.txt")</f>
        <v>MCRO_27-CR-21-12947_Order for Conditional Release_2021-09-29_20251126182710_PDFSIGS.txt</v>
      </c>
      <c r="L173" s="7" t="str">
        <f aca="false">HYPERLINK("https://mncourtfraud.com/file/MCRO_27-CR-21-12947_Order_for_Conditional_Release_2021-09-29_20251126182710.zip","MCRO_27-CR-21-12947_Order_for_Conditional_Release_2021-09-29_20251126182710.zip")</f>
        <v>MCRO_27-CR-21-12947_Order_for_Conditional_Release_2021-09-29_20251126182710.zip</v>
      </c>
    </row>
    <row r="174" customFormat="false" ht="18.7" hidden="false" customHeight="true" outlineLevel="0" collapsed="false">
      <c r="A174" s="1" t="n">
        <v>173</v>
      </c>
      <c r="B174" s="7" t="str">
        <f aca="false">HYPERLINK("https://mncourtfraud.com/file/27-CR-21-12947.pdf","27-CR-21-12947")</f>
        <v>27-CR-21-12947</v>
      </c>
      <c r="C174" s="1" t="n">
        <v>1</v>
      </c>
      <c r="D174" s="2" t="s">
        <v>12</v>
      </c>
      <c r="E174" s="8" t="n">
        <v>44543</v>
      </c>
      <c r="F174" s="2" t="s">
        <v>15</v>
      </c>
      <c r="G174" s="7" t="str">
        <f aca="false">HYPERLINK("https://mncourtfraud.com/file/MCRO_27-CR-21-12947_Order-Evaluation for Competency to Proceed (Rule 20.01)_2021-12-13_20251126182732.pdf","MCRO_27-CR-21-12947_Order-Evaluation for Competency to Proceed (Rule 20.01)_2021-12-13_20251126182732.pdf")</f>
        <v>MCRO_27-CR-21-12947_Order-Evaluation for Competency to Proceed (Rule 20.01)_2021-12-13_20251126182732.pdf</v>
      </c>
      <c r="H174" s="2" t="s">
        <v>194</v>
      </c>
      <c r="I174" s="7" t="str">
        <f aca="false">HYPERLINK("https://mncourtfraud.com/file/MCRO_27-CR-21-12947_Order-Evaluation for Competency to Proceed (Rule 20.01)_2021-12-13_20251126182732.pdf.ots","MCRO_27-CR-21-12947_Order-Evaluation for Competency to Proceed (Rule 20.01)_2021-12-13_20251126182732.pdf.ots")</f>
        <v>MCRO_27-CR-21-12947_Order-Evaluation for Competency to Proceed (Rule 20.01)_2021-12-13_20251126182732.pdf.ots</v>
      </c>
      <c r="J174" s="7" t="str">
        <f aca="false">HYPERLINK("https://mncourtfraud.com/file/MCRO_27-CR-21-12947_Order-Evaluation for Competency to Proceed (Rule 20.01)_2021-12-13_20251126182732_META.txt","MCRO_27-CR-21-12947_Order-Evaluation for Competency to Proceed (Rule 20.01)_2021-12-13_20251126182732_META.txt")</f>
        <v>MCRO_27-CR-21-12947_Order-Evaluation for Competency to Proceed (Rule 20.01)_2021-12-13_20251126182732_META.txt</v>
      </c>
      <c r="K174" s="7" t="str">
        <f aca="false">HYPERLINK("https://mncourtfraud.com/file/MCRO_27-CR-21-12947_Order-Evaluation for Competency to Proceed (Rule 20.01)_2021-12-13_20251126182732_PDFSIGS.txt","MCRO_27-CR-21-12947_Order-Evaluation for Competency to Proceed (Rule 20.01)_2021-12-13_20251126182732_PDFSIGS.txt")</f>
        <v>MCRO_27-CR-21-12947_Order-Evaluation for Competency to Proceed (Rule 20.01)_2021-12-13_20251126182732_PDFSIGS.txt</v>
      </c>
      <c r="L174" s="7" t="str">
        <f aca="false">HYPERLINK("https://mncourtfraud.com/file/MCRO_27-CR-21-12947_Order-Evaluation_for_Competency_to_Proceed_(Rule_20.01)_2021-12-13_20251126182732.zip","MCRO_27-CR-21-12947_Order-Evaluation_for_Competency_to_Proceed_(Rule_20.01)_2021-12-13_20251126182732.zip")</f>
        <v>MCRO_27-CR-21-12947_Order-Evaluation_for_Competency_to_Proceed_(Rule_20.01)_2021-12-13_20251126182732.zip</v>
      </c>
    </row>
    <row r="175" customFormat="false" ht="18.7" hidden="false" customHeight="true" outlineLevel="0" collapsed="false">
      <c r="A175" s="1" t="n">
        <v>174</v>
      </c>
      <c r="B175" s="7" t="str">
        <f aca="false">HYPERLINK("https://mncourtfraud.com/file/27-CR-21-12947.pdf","27-CR-21-12947")</f>
        <v>27-CR-21-12947</v>
      </c>
      <c r="C175" s="1" t="n">
        <v>1</v>
      </c>
      <c r="D175" s="2" t="s">
        <v>12</v>
      </c>
      <c r="E175" s="8" t="n">
        <v>44558</v>
      </c>
      <c r="F175" s="2" t="s">
        <v>15</v>
      </c>
      <c r="G175" s="7" t="str">
        <f aca="false">HYPERLINK("https://mncourtfraud.com/file/MCRO_27-CR-21-12947_Order-Evaluation for Competency to Proceed (Rule 20.01)_2021-12-28_20251126182740.pdf","MCRO_27-CR-21-12947_Order-Evaluation for Competency to Proceed (Rule 20.01)_2021-12-28_20251126182740.pdf")</f>
        <v>MCRO_27-CR-21-12947_Order-Evaluation for Competency to Proceed (Rule 20.01)_2021-12-28_20251126182740.pdf</v>
      </c>
      <c r="H175" s="2" t="s">
        <v>195</v>
      </c>
      <c r="I175" s="7" t="str">
        <f aca="false">HYPERLINK("https://mncourtfraud.com/file/MCRO_27-CR-21-12947_Order-Evaluation for Competency to Proceed (Rule 20.01)_2021-12-28_20251126182740.pdf.ots","MCRO_27-CR-21-12947_Order-Evaluation for Competency to Proceed (Rule 20.01)_2021-12-28_20251126182740.pdf.ots")</f>
        <v>MCRO_27-CR-21-12947_Order-Evaluation for Competency to Proceed (Rule 20.01)_2021-12-28_20251126182740.pdf.ots</v>
      </c>
      <c r="J175" s="7" t="str">
        <f aca="false">HYPERLINK("https://mncourtfraud.com/file/MCRO_27-CR-21-12947_Order-Evaluation for Competency to Proceed (Rule 20.01)_2021-12-28_20251126182740_META.txt","MCRO_27-CR-21-12947_Order-Evaluation for Competency to Proceed (Rule 20.01)_2021-12-28_20251126182740_META.txt")</f>
        <v>MCRO_27-CR-21-12947_Order-Evaluation for Competency to Proceed (Rule 20.01)_2021-12-28_20251126182740_META.txt</v>
      </c>
      <c r="K175" s="7" t="str">
        <f aca="false">HYPERLINK("https://mncourtfraud.com/file/MCRO_27-CR-21-12947_Order-Evaluation for Competency to Proceed (Rule 20.01)_2021-12-28_20251126182740_PDFSIGS.txt","MCRO_27-CR-21-12947_Order-Evaluation for Competency to Proceed (Rule 20.01)_2021-12-28_20251126182740_PDFSIGS.txt")</f>
        <v>MCRO_27-CR-21-12947_Order-Evaluation for Competency to Proceed (Rule 20.01)_2021-12-28_20251126182740_PDFSIGS.txt</v>
      </c>
      <c r="L175" s="7" t="str">
        <f aca="false">HYPERLINK("https://mncourtfraud.com/file/MCRO_27-CR-21-12947_Order-Evaluation_for_Competency_to_Proceed_(Rule_20.01)_2021-12-28_20251126182740.zip","MCRO_27-CR-21-12947_Order-Evaluation_for_Competency_to_Proceed_(Rule_20.01)_2021-12-28_20251126182740.zip")</f>
        <v>MCRO_27-CR-21-12947_Order-Evaluation_for_Competency_to_Proceed_(Rule_20.01)_2021-12-28_20251126182740.zip</v>
      </c>
    </row>
    <row r="176" customFormat="false" ht="18.7" hidden="false" customHeight="true" outlineLevel="0" collapsed="false">
      <c r="A176" s="1" t="n">
        <v>175</v>
      </c>
      <c r="B176" s="7" t="str">
        <f aca="false">HYPERLINK("https://mncourtfraud.com/file/27-CR-21-12947.pdf","27-CR-21-12947")</f>
        <v>27-CR-21-12947</v>
      </c>
      <c r="C176" s="1" t="n">
        <v>1</v>
      </c>
      <c r="D176" s="2" t="s">
        <v>12</v>
      </c>
      <c r="E176" s="8" t="n">
        <v>44593</v>
      </c>
      <c r="F176" s="2" t="s">
        <v>19</v>
      </c>
      <c r="G176" s="7" t="str">
        <f aca="false">HYPERLINK("https://mncourtfraud.com/file/MCRO_27-CR-21-12947_Findings and Order_2022-02-01_20251126182615.pdf","MCRO_27-CR-21-12947_Findings and Order_2022-02-01_20251126182615.pdf")</f>
        <v>MCRO_27-CR-21-12947_Findings and Order_2022-02-01_20251126182615.pdf</v>
      </c>
      <c r="H176" s="2" t="s">
        <v>196</v>
      </c>
      <c r="I176" s="7" t="str">
        <f aca="false">HYPERLINK("https://mncourtfraud.com/file/MCRO_27-CR-21-12947_Findings and Order_2022-02-01_20251126182615.pdf.ots","MCRO_27-CR-21-12947_Findings and Order_2022-02-01_20251126182615.pdf.ots")</f>
        <v>MCRO_27-CR-21-12947_Findings and Order_2022-02-01_20251126182615.pdf.ots</v>
      </c>
      <c r="J176" s="7" t="str">
        <f aca="false">HYPERLINK("https://mncourtfraud.com/file/MCRO_27-CR-21-12947_Findings and Order_2022-02-01_20251126182615_META.txt","MCRO_27-CR-21-12947_Findings and Order_2022-02-01_20251126182615_META.txt")</f>
        <v>MCRO_27-CR-21-12947_Findings and Order_2022-02-01_20251126182615_META.txt</v>
      </c>
      <c r="K176" s="7" t="str">
        <f aca="false">HYPERLINK("https://mncourtfraud.com/file/MCRO_27-CR-21-12947_Findings and Order_2022-02-01_20251126182615_PDFSIGS.txt","MCRO_27-CR-21-12947_Findings and Order_2022-02-01_20251126182615_PDFSIGS.txt")</f>
        <v>MCRO_27-CR-21-12947_Findings and Order_2022-02-01_20251126182615_PDFSIGS.txt</v>
      </c>
      <c r="L176" s="7" t="str">
        <f aca="false">HYPERLINK("https://mncourtfraud.com/file/MCRO_27-CR-21-12947_Findings_and_Order_2022-02-01_20251126182615.zip","MCRO_27-CR-21-12947_Findings_and_Order_2022-02-01_20251126182615.zip")</f>
        <v>MCRO_27-CR-21-12947_Findings_and_Order_2022-02-01_20251126182615.zip</v>
      </c>
    </row>
    <row r="177" customFormat="false" ht="18.7" hidden="false" customHeight="true" outlineLevel="0" collapsed="false">
      <c r="A177" s="1" t="n">
        <v>176</v>
      </c>
      <c r="B177" s="7" t="str">
        <f aca="false">HYPERLINK("https://mncourtfraud.com/file/27-CR-21-12947.pdf","27-CR-21-12947")</f>
        <v>27-CR-21-12947</v>
      </c>
      <c r="C177" s="1" t="n">
        <v>1</v>
      </c>
      <c r="D177" s="2" t="s">
        <v>12</v>
      </c>
      <c r="E177" s="8" t="n">
        <v>44692</v>
      </c>
      <c r="F177" s="2" t="s">
        <v>15</v>
      </c>
      <c r="G177" s="7" t="str">
        <f aca="false">HYPERLINK("https://mncourtfraud.com/file/MCRO_27-CR-21-12947_Order-Evaluation for Competency to Proceed (Rule 20.01)_2022-05-11_20251126182749.pdf","MCRO_27-CR-21-12947_Order-Evaluation for Competency to Proceed (Rule 20.01)_2022-05-11_20251126182749.pdf")</f>
        <v>MCRO_27-CR-21-12947_Order-Evaluation for Competency to Proceed (Rule 20.01)_2022-05-11_20251126182749.pdf</v>
      </c>
      <c r="H177" s="2" t="s">
        <v>197</v>
      </c>
      <c r="I177" s="7" t="str">
        <f aca="false">HYPERLINK("https://mncourtfraud.com/file/MCRO_27-CR-21-12947_Order-Evaluation for Competency to Proceed (Rule 20.01)_2022-05-11_20251126182749.pdf.ots","MCRO_27-CR-21-12947_Order-Evaluation for Competency to Proceed (Rule 20.01)_2022-05-11_20251126182749.pdf.ots")</f>
        <v>MCRO_27-CR-21-12947_Order-Evaluation for Competency to Proceed (Rule 20.01)_2022-05-11_20251126182749.pdf.ots</v>
      </c>
      <c r="J177" s="7" t="str">
        <f aca="false">HYPERLINK("https://mncourtfraud.com/file/MCRO_27-CR-21-12947_Order-Evaluation for Competency to Proceed (Rule 20.01)_2022-05-11_20251126182749_META.txt","MCRO_27-CR-21-12947_Order-Evaluation for Competency to Proceed (Rule 20.01)_2022-05-11_20251126182749_META.txt")</f>
        <v>MCRO_27-CR-21-12947_Order-Evaluation for Competency to Proceed (Rule 20.01)_2022-05-11_20251126182749_META.txt</v>
      </c>
      <c r="K177" s="7" t="str">
        <f aca="false">HYPERLINK("https://mncourtfraud.com/file/MCRO_27-CR-21-12947_Order-Evaluation for Competency to Proceed (Rule 20.01)_2022-05-11_20251126182749_PDFSIGS.txt","MCRO_27-CR-21-12947_Order-Evaluation for Competency to Proceed (Rule 20.01)_2022-05-11_20251126182749_PDFSIGS.txt")</f>
        <v>MCRO_27-CR-21-12947_Order-Evaluation for Competency to Proceed (Rule 20.01)_2022-05-11_20251126182749_PDFSIGS.txt</v>
      </c>
      <c r="L177" s="7" t="str">
        <f aca="false">HYPERLINK("https://mncourtfraud.com/file/MCRO_27-CR-21-12947_Order-Evaluation_for_Competency_to_Proceed_(Rule_20.01)_2022-05-11_20251126182749.zip","MCRO_27-CR-21-12947_Order-Evaluation_for_Competency_to_Proceed_(Rule_20.01)_2022-05-11_20251126182749.zip")</f>
        <v>MCRO_27-CR-21-12947_Order-Evaluation_for_Competency_to_Proceed_(Rule_20.01)_2022-05-11_20251126182749.zip</v>
      </c>
    </row>
    <row r="178" customFormat="false" ht="18.7" hidden="false" customHeight="true" outlineLevel="0" collapsed="false">
      <c r="A178" s="1" t="n">
        <v>177</v>
      </c>
      <c r="B178" s="7" t="str">
        <f aca="false">HYPERLINK("https://mncourtfraud.com/file/27-CR-21-12947.pdf","27-CR-21-12947")</f>
        <v>27-CR-21-12947</v>
      </c>
      <c r="C178" s="1" t="n">
        <v>1</v>
      </c>
      <c r="D178" s="2" t="s">
        <v>12</v>
      </c>
      <c r="E178" s="8" t="n">
        <v>44895</v>
      </c>
      <c r="F178" s="2" t="s">
        <v>15</v>
      </c>
      <c r="G178" s="7" t="str">
        <f aca="false">HYPERLINK("https://mncourtfraud.com/file/MCRO_27-CR-21-12947_Order-Evaluation for Competency to Proceed (Rule 20.01)_2022-11-30_20251126182757.pdf","MCRO_27-CR-21-12947_Order-Evaluation for Competency to Proceed (Rule 20.01)_2022-11-30_20251126182757.pdf")</f>
        <v>MCRO_27-CR-21-12947_Order-Evaluation for Competency to Proceed (Rule 20.01)_2022-11-30_20251126182757.pdf</v>
      </c>
      <c r="H178" s="2" t="s">
        <v>198</v>
      </c>
      <c r="I178" s="7" t="str">
        <f aca="false">HYPERLINK("https://mncourtfraud.com/file/MCRO_27-CR-21-12947_Order-Evaluation for Competency to Proceed (Rule 20.01)_2022-11-30_20251126182757.pdf.ots","MCRO_27-CR-21-12947_Order-Evaluation for Competency to Proceed (Rule 20.01)_2022-11-30_20251126182757.pdf.ots")</f>
        <v>MCRO_27-CR-21-12947_Order-Evaluation for Competency to Proceed (Rule 20.01)_2022-11-30_20251126182757.pdf.ots</v>
      </c>
      <c r="J178" s="7" t="str">
        <f aca="false">HYPERLINK("https://mncourtfraud.com/file/MCRO_27-CR-21-12947_Order-Evaluation for Competency to Proceed (Rule 20.01)_2022-11-30_20251126182757_META.txt","MCRO_27-CR-21-12947_Order-Evaluation for Competency to Proceed (Rule 20.01)_2022-11-30_20251126182757_META.txt")</f>
        <v>MCRO_27-CR-21-12947_Order-Evaluation for Competency to Proceed (Rule 20.01)_2022-11-30_20251126182757_META.txt</v>
      </c>
      <c r="K178" s="7" t="str">
        <f aca="false">HYPERLINK("https://mncourtfraud.com/file/MCRO_27-CR-21-12947_Order-Evaluation for Competency to Proceed (Rule 20.01)_2022-11-30_20251126182757_PDFSIGS.txt","MCRO_27-CR-21-12947_Order-Evaluation for Competency to Proceed (Rule 20.01)_2022-11-30_20251126182757_PDFSIGS.txt")</f>
        <v>MCRO_27-CR-21-12947_Order-Evaluation for Competency to Proceed (Rule 20.01)_2022-11-30_20251126182757_PDFSIGS.txt</v>
      </c>
      <c r="L178" s="7" t="str">
        <f aca="false">HYPERLINK("https://mncourtfraud.com/file/MCRO_27-CR-21-12947_Order-Evaluation_for_Competency_to_Proceed_(Rule_20.01)_2022-11-30_20251126182757.zip","MCRO_27-CR-21-12947_Order-Evaluation_for_Competency_to_Proceed_(Rule_20.01)_2022-11-30_20251126182757.zip")</f>
        <v>MCRO_27-CR-21-12947_Order-Evaluation_for_Competency_to_Proceed_(Rule_20.01)_2022-11-30_20251126182757.zip</v>
      </c>
    </row>
    <row r="179" customFormat="false" ht="18.7" hidden="false" customHeight="true" outlineLevel="0" collapsed="false">
      <c r="A179" s="1" t="n">
        <v>178</v>
      </c>
      <c r="B179" s="7" t="str">
        <f aca="false">HYPERLINK("https://mncourtfraud.com/file/27-CR-21-12947.pdf","27-CR-21-12947")</f>
        <v>27-CR-21-12947</v>
      </c>
      <c r="C179" s="1" t="n">
        <v>1</v>
      </c>
      <c r="D179" s="2" t="s">
        <v>12</v>
      </c>
      <c r="E179" s="8" t="n">
        <v>45048</v>
      </c>
      <c r="F179" s="2" t="s">
        <v>80</v>
      </c>
      <c r="G179" s="7" t="str">
        <f aca="false">HYPERLINK("https://mncourtfraud.com/file/MCRO_27-CR-21-12947_Finding of Incompetency and Order_2023-05-02_20251126182603.pdf","MCRO_27-CR-21-12947_Finding of Incompetency and Order_2023-05-02_20251126182603.pdf")</f>
        <v>MCRO_27-CR-21-12947_Finding of Incompetency and Order_2023-05-02_20251126182603.pdf</v>
      </c>
      <c r="H179" s="2" t="s">
        <v>199</v>
      </c>
      <c r="I179" s="7" t="str">
        <f aca="false">HYPERLINK("https://mncourtfraud.com/file/MCRO_27-CR-21-12947_Finding of Incompetency and Order_2023-05-02_20251126182603.pdf.ots","MCRO_27-CR-21-12947_Finding of Incompetency and Order_2023-05-02_20251126182603.pdf.ots")</f>
        <v>MCRO_27-CR-21-12947_Finding of Incompetency and Order_2023-05-02_20251126182603.pdf.ots</v>
      </c>
      <c r="J179" s="7" t="str">
        <f aca="false">HYPERLINK("https://mncourtfraud.com/file/MCRO_27-CR-21-12947_Finding of Incompetency and Order_2023-05-02_20251126182603_META.txt","MCRO_27-CR-21-12947_Finding of Incompetency and Order_2023-05-02_20251126182603_META.txt")</f>
        <v>MCRO_27-CR-21-12947_Finding of Incompetency and Order_2023-05-02_20251126182603_META.txt</v>
      </c>
      <c r="K179" s="7" t="str">
        <f aca="false">HYPERLINK("https://mncourtfraud.com/file/MCRO_27-CR-21-12947_Finding of Incompetency and Order_2023-05-02_20251126182603_PDFSIGS.txt","MCRO_27-CR-21-12947_Finding of Incompetency and Order_2023-05-02_20251126182603_PDFSIGS.txt")</f>
        <v>MCRO_27-CR-21-12947_Finding of Incompetency and Order_2023-05-02_20251126182603_PDFSIGS.txt</v>
      </c>
      <c r="L179" s="7" t="str">
        <f aca="false">HYPERLINK("https://mncourtfraud.com/file/MCRO_27-CR-21-12947_Finding_of_Incompetency_and_Order_2023-05-02_20251126182603.zip","MCRO_27-CR-21-12947_Finding_of_Incompetency_and_Order_2023-05-02_20251126182603.zip")</f>
        <v>MCRO_27-CR-21-12947_Finding_of_Incompetency_and_Order_2023-05-02_20251126182603.zip</v>
      </c>
    </row>
    <row r="180" customFormat="false" ht="18.7" hidden="false" customHeight="true" outlineLevel="0" collapsed="false">
      <c r="A180" s="1" t="n">
        <v>179</v>
      </c>
      <c r="B180" s="7" t="str">
        <f aca="false">HYPERLINK("https://mncourtfraud.com/file/27-CR-21-12947.pdf","27-CR-21-12947")</f>
        <v>27-CR-21-12947</v>
      </c>
      <c r="C180" s="1" t="n">
        <v>1</v>
      </c>
      <c r="D180" s="2" t="s">
        <v>12</v>
      </c>
      <c r="E180" s="8" t="n">
        <v>45093</v>
      </c>
      <c r="F180" s="2" t="s">
        <v>82</v>
      </c>
      <c r="G180" s="7" t="str">
        <f aca="false">HYPERLINK("https://mncourtfraud.com/file/MCRO_27-CR-21-12947_Notice of Case Reassignment_2023-06-16_20251126182639.pdf","MCRO_27-CR-21-12947_Notice of Case Reassignment_2023-06-16_20251126182639.pdf")</f>
        <v>MCRO_27-CR-21-12947_Notice of Case Reassignment_2023-06-16_20251126182639.pdf</v>
      </c>
      <c r="H180" s="2" t="s">
        <v>200</v>
      </c>
      <c r="I180" s="7" t="str">
        <f aca="false">HYPERLINK("https://mncourtfraud.com/file/MCRO_27-CR-21-12947_Notice of Case Reassignment_2023-06-16_20251126182639.pdf.ots","MCRO_27-CR-21-12947_Notice of Case Reassignment_2023-06-16_20251126182639.pdf.ots")</f>
        <v>MCRO_27-CR-21-12947_Notice of Case Reassignment_2023-06-16_20251126182639.pdf.ots</v>
      </c>
      <c r="J180" s="7" t="str">
        <f aca="false">HYPERLINK("https://mncourtfraud.com/file/MCRO_27-CR-21-12947_Notice of Case Reassignment_2023-06-16_20251126182639_META.txt","MCRO_27-CR-21-12947_Notice of Case Reassignment_2023-06-16_20251126182639_META.txt")</f>
        <v>MCRO_27-CR-21-12947_Notice of Case Reassignment_2023-06-16_20251126182639_META.txt</v>
      </c>
      <c r="K180" s="7" t="str">
        <f aca="false">HYPERLINK("https://mncourtfraud.com/file/MCRO_27-CR-21-12947_Notice of Case Reassignment_2023-06-16_20251126182639_PDFSIGS.txt","MCRO_27-CR-21-12947_Notice of Case Reassignment_2023-06-16_20251126182639_PDFSIGS.txt")</f>
        <v>MCRO_27-CR-21-12947_Notice of Case Reassignment_2023-06-16_20251126182639_PDFSIGS.txt</v>
      </c>
      <c r="L180" s="7" t="str">
        <f aca="false">HYPERLINK("https://mncourtfraud.com/file/MCRO_27-CR-21-12947_Notice_of_Case_Reassignment_2023-06-16_20251126182639.zip","MCRO_27-CR-21-12947_Notice_of_Case_Reassignment_2023-06-16_20251126182639.zip")</f>
        <v>MCRO_27-CR-21-12947_Notice_of_Case_Reassignment_2023-06-16_20251126182639.zip</v>
      </c>
    </row>
    <row r="181" customFormat="false" ht="18.7" hidden="false" customHeight="true" outlineLevel="0" collapsed="false">
      <c r="A181" s="1" t="n">
        <v>180</v>
      </c>
      <c r="B181" s="7" t="str">
        <f aca="false">HYPERLINK("https://mncourtfraud.com/file/27-CR-21-12947.pdf","27-CR-21-12947")</f>
        <v>27-CR-21-12947</v>
      </c>
      <c r="C181" s="1" t="n">
        <v>1</v>
      </c>
      <c r="D181" s="2" t="s">
        <v>12</v>
      </c>
      <c r="E181" s="8" t="n">
        <v>45160</v>
      </c>
      <c r="F181" s="2" t="s">
        <v>15</v>
      </c>
      <c r="G181" s="7" t="str">
        <f aca="false">HYPERLINK("https://mncourtfraud.com/file/MCRO_27-CR-21-12947_Order-Evaluation for Competency to Proceed (Rule 20.01)_2023-08-22_20251126182805.pdf","MCRO_27-CR-21-12947_Order-Evaluation for Competency to Proceed (Rule 20.01)_2023-08-22_20251126182805.pdf")</f>
        <v>MCRO_27-CR-21-12947_Order-Evaluation for Competency to Proceed (Rule 20.01)_2023-08-22_20251126182805.pdf</v>
      </c>
      <c r="H181" s="2" t="s">
        <v>201</v>
      </c>
      <c r="I181" s="7" t="str">
        <f aca="false">HYPERLINK("https://mncourtfraud.com/file/MCRO_27-CR-21-12947_Order-Evaluation for Competency to Proceed (Rule 20.01)_2023-08-22_20251126182805.pdf.ots","MCRO_27-CR-21-12947_Order-Evaluation for Competency to Proceed (Rule 20.01)_2023-08-22_20251126182805.pdf.ots")</f>
        <v>MCRO_27-CR-21-12947_Order-Evaluation for Competency to Proceed (Rule 20.01)_2023-08-22_20251126182805.pdf.ots</v>
      </c>
      <c r="J181" s="7" t="str">
        <f aca="false">HYPERLINK("https://mncourtfraud.com/file/MCRO_27-CR-21-12947_Order-Evaluation for Competency to Proceed (Rule 20.01)_2023-08-22_20251126182805_META.txt","MCRO_27-CR-21-12947_Order-Evaluation for Competency to Proceed (Rule 20.01)_2023-08-22_20251126182805_META.txt")</f>
        <v>MCRO_27-CR-21-12947_Order-Evaluation for Competency to Proceed (Rule 20.01)_2023-08-22_20251126182805_META.txt</v>
      </c>
      <c r="K181" s="7" t="str">
        <f aca="false">HYPERLINK("https://mncourtfraud.com/file/MCRO_27-CR-21-12947_Order-Evaluation for Competency to Proceed (Rule 20.01)_2023-08-22_20251126182805_PDFSIGS.txt","MCRO_27-CR-21-12947_Order-Evaluation for Competency to Proceed (Rule 20.01)_2023-08-22_20251126182805_PDFSIGS.txt")</f>
        <v>MCRO_27-CR-21-12947_Order-Evaluation for Competency to Proceed (Rule 20.01)_2023-08-22_20251126182805_PDFSIGS.txt</v>
      </c>
      <c r="L181" s="7" t="str">
        <f aca="false">HYPERLINK("https://mncourtfraud.com/file/MCRO_27-CR-21-12947_Order-Evaluation_for_Competency_to_Proceed_(Rule_20.01)_2023-08-22_20251126182805.zip","MCRO_27-CR-21-12947_Order-Evaluation_for_Competency_to_Proceed_(Rule_20.01)_2023-08-22_20251126182805.zip")</f>
        <v>MCRO_27-CR-21-12947_Order-Evaluation_for_Competency_to_Proceed_(Rule_20.01)_2023-08-22_20251126182805.zip</v>
      </c>
    </row>
    <row r="182" customFormat="false" ht="18.7" hidden="false" customHeight="true" outlineLevel="0" collapsed="false">
      <c r="A182" s="1" t="n">
        <v>181</v>
      </c>
      <c r="B182" s="7" t="str">
        <f aca="false">HYPERLINK("https://mncourtfraud.com/file/27-CR-21-12947.pdf","27-CR-21-12947")</f>
        <v>27-CR-21-12947</v>
      </c>
      <c r="C182" s="1" t="n">
        <v>1</v>
      </c>
      <c r="D182" s="2" t="s">
        <v>12</v>
      </c>
      <c r="E182" s="8" t="n">
        <v>45412</v>
      </c>
      <c r="F182" s="2" t="s">
        <v>24</v>
      </c>
      <c r="G182" s="7" t="str">
        <f aca="false">HYPERLINK("https://mncourtfraud.com/file/MCRO_27-CR-21-12947_Order for Conditional Release_2024-04-30_20251126182656.pdf","MCRO_27-CR-21-12947_Order for Conditional Release_2024-04-30_20251126182656.pdf")</f>
        <v>MCRO_27-CR-21-12947_Order for Conditional Release_2024-04-30_20251126182656.pdf</v>
      </c>
      <c r="H182" s="2" t="s">
        <v>202</v>
      </c>
      <c r="I182" s="7" t="str">
        <f aca="false">HYPERLINK("https://mncourtfraud.com/file/MCRO_27-CR-21-12947_Order for Conditional Release_2024-04-30_20251126182656.pdf.ots","MCRO_27-CR-21-12947_Order for Conditional Release_2024-04-30_20251126182656.pdf.ots")</f>
        <v>MCRO_27-CR-21-12947_Order for Conditional Release_2024-04-30_20251126182656.pdf.ots</v>
      </c>
      <c r="J182" s="7" t="str">
        <f aca="false">HYPERLINK("https://mncourtfraud.com/file/MCRO_27-CR-21-12947_Order for Conditional Release_2024-04-30_20251126182656_META.txt","MCRO_27-CR-21-12947_Order for Conditional Release_2024-04-30_20251126182656_META.txt")</f>
        <v>MCRO_27-CR-21-12947_Order for Conditional Release_2024-04-30_20251126182656_META.txt</v>
      </c>
      <c r="K182" s="7" t="str">
        <f aca="false">HYPERLINK("https://mncourtfraud.com/file/MCRO_27-CR-21-12947_Order for Conditional Release_2024-04-30_20251126182656_PDFSIGS.txt","MCRO_27-CR-21-12947_Order for Conditional Release_2024-04-30_20251126182656_PDFSIGS.txt")</f>
        <v>MCRO_27-CR-21-12947_Order for Conditional Release_2024-04-30_20251126182656_PDFSIGS.txt</v>
      </c>
      <c r="L182" s="7" t="str">
        <f aca="false">HYPERLINK("https://mncourtfraud.com/file/MCRO_27-CR-21-12947_Order_for_Conditional_Release_2024-04-30_20251126182656.zip","MCRO_27-CR-21-12947_Order_for_Conditional_Release_2024-04-30_20251126182656.zip")</f>
        <v>MCRO_27-CR-21-12947_Order_for_Conditional_Release_2024-04-30_20251126182656.zip</v>
      </c>
    </row>
    <row r="183" customFormat="false" ht="18.7" hidden="false" customHeight="true" outlineLevel="0" collapsed="false">
      <c r="A183" s="1" t="n">
        <v>182</v>
      </c>
      <c r="B183" s="7" t="str">
        <f aca="false">HYPERLINK("https://mncourtfraud.com/file/27-CR-21-12947.pdf","27-CR-21-12947")</f>
        <v>27-CR-21-12947</v>
      </c>
      <c r="C183" s="1" t="n">
        <v>1</v>
      </c>
      <c r="D183" s="2" t="s">
        <v>12</v>
      </c>
      <c r="E183" s="8" t="n">
        <v>45412</v>
      </c>
      <c r="F183" s="2" t="s">
        <v>15</v>
      </c>
      <c r="G183" s="7" t="str">
        <f aca="false">HYPERLINK("https://mncourtfraud.com/file/MCRO_27-CR-21-12947_Order-Evaluation for Competency to Proceed (Rule 20.01)_2024-04-30_20251126182816.pdf","MCRO_27-CR-21-12947_Order-Evaluation for Competency to Proceed (Rule 20.01)_2024-04-30_20251126182816.pdf")</f>
        <v>MCRO_27-CR-21-12947_Order-Evaluation for Competency to Proceed (Rule 20.01)_2024-04-30_20251126182816.pdf</v>
      </c>
      <c r="H183" s="2" t="s">
        <v>203</v>
      </c>
      <c r="I183" s="7" t="str">
        <f aca="false">HYPERLINK("https://mncourtfraud.com/file/MCRO_27-CR-21-12947_Order-Evaluation for Competency to Proceed (Rule 20.01)_2024-04-30_20251126182816.pdf.ots","MCRO_27-CR-21-12947_Order-Evaluation for Competency to Proceed (Rule 20.01)_2024-04-30_20251126182816.pdf.ots")</f>
        <v>MCRO_27-CR-21-12947_Order-Evaluation for Competency to Proceed (Rule 20.01)_2024-04-30_20251126182816.pdf.ots</v>
      </c>
      <c r="J183" s="7" t="str">
        <f aca="false">HYPERLINK("https://mncourtfraud.com/file/MCRO_27-CR-21-12947_Order-Evaluation for Competency to Proceed (Rule 20.01)_2024-04-30_20251126182816_META.txt","MCRO_27-CR-21-12947_Order-Evaluation for Competency to Proceed (Rule 20.01)_2024-04-30_20251126182816_META.txt")</f>
        <v>MCRO_27-CR-21-12947_Order-Evaluation for Competency to Proceed (Rule 20.01)_2024-04-30_20251126182816_META.txt</v>
      </c>
      <c r="K183" s="7" t="str">
        <f aca="false">HYPERLINK("https://mncourtfraud.com/file/MCRO_27-CR-21-12947_Order-Evaluation for Competency to Proceed (Rule 20.01)_2024-04-30_20251126182816_PDFSIGS.txt","MCRO_27-CR-21-12947_Order-Evaluation for Competency to Proceed (Rule 20.01)_2024-04-30_20251126182816_PDFSIGS.txt")</f>
        <v>MCRO_27-CR-21-12947_Order-Evaluation for Competency to Proceed (Rule 20.01)_2024-04-30_20251126182816_PDFSIGS.txt</v>
      </c>
      <c r="L183" s="7" t="str">
        <f aca="false">HYPERLINK("https://mncourtfraud.com/file/MCRO_27-CR-21-12947_Order-Evaluation_for_Competency_to_Proceed_(Rule_20.01)_2024-04-30_20251126182816.zip","MCRO_27-CR-21-12947_Order-Evaluation_for_Competency_to_Proceed_(Rule_20.01)_2024-04-30_20251126182816.zip")</f>
        <v>MCRO_27-CR-21-12947_Order-Evaluation_for_Competency_to_Proceed_(Rule_20.01)_2024-04-30_20251126182816.zip</v>
      </c>
    </row>
    <row r="184" customFormat="false" ht="18.7" hidden="false" customHeight="true" outlineLevel="0" collapsed="false">
      <c r="A184" s="1" t="n">
        <v>183</v>
      </c>
      <c r="B184" s="7" t="str">
        <f aca="false">HYPERLINK("https://mncourtfraud.com/file/27-CR-21-13144.pdf","27-CR-21-13144")</f>
        <v>27-CR-21-13144</v>
      </c>
      <c r="C184" s="1" t="n">
        <v>1</v>
      </c>
      <c r="D184" s="2" t="s">
        <v>12</v>
      </c>
      <c r="E184" s="8" t="n">
        <v>44396</v>
      </c>
      <c r="F184" s="2" t="s">
        <v>15</v>
      </c>
      <c r="G184" s="7" t="str">
        <f aca="false">HYPERLINK("https://mncourtfraud.com/file/MCRO_27-CR-21-13144_Order-Evaluation for Competency to Proceed (Rule 20.01)_2021-07-19_20251126183017.pdf","MCRO_27-CR-21-13144_Order-Evaluation for Competency to Proceed (Rule 20.01)_2021-07-19_20251126183017.pdf")</f>
        <v>MCRO_27-CR-21-13144_Order-Evaluation for Competency to Proceed (Rule 20.01)_2021-07-19_20251126183017.pdf</v>
      </c>
      <c r="H184" s="2" t="s">
        <v>204</v>
      </c>
      <c r="I184" s="7" t="str">
        <f aca="false">HYPERLINK("https://mncourtfraud.com/file/MCRO_27-CR-21-13144_Order-Evaluation for Competency to Proceed (Rule 20.01)_2021-07-19_20251126183017.pdf.ots","MCRO_27-CR-21-13144_Order-Evaluation for Competency to Proceed (Rule 20.01)_2021-07-19_20251126183017.pdf.ots")</f>
        <v>MCRO_27-CR-21-13144_Order-Evaluation for Competency to Proceed (Rule 20.01)_2021-07-19_20251126183017.pdf.ots</v>
      </c>
      <c r="J184" s="7" t="str">
        <f aca="false">HYPERLINK("https://mncourtfraud.com/file/MCRO_27-CR-21-13144_Order-Evaluation for Competency to Proceed (Rule 20.01)_2021-07-19_20251126183017_META.txt","MCRO_27-CR-21-13144_Order-Evaluation for Competency to Proceed (Rule 20.01)_2021-07-19_20251126183017_META.txt")</f>
        <v>MCRO_27-CR-21-13144_Order-Evaluation for Competency to Proceed (Rule 20.01)_2021-07-19_20251126183017_META.txt</v>
      </c>
      <c r="K184" s="7" t="str">
        <f aca="false">HYPERLINK("https://mncourtfraud.com/file/MCRO_27-CR-21-13144_Order-Evaluation for Competency to Proceed (Rule 20.01)_2021-07-19_20251126183017_PDFSIGS.txt","MCRO_27-CR-21-13144_Order-Evaluation for Competency to Proceed (Rule 20.01)_2021-07-19_20251126183017_PDFSIGS.txt")</f>
        <v>MCRO_27-CR-21-13144_Order-Evaluation for Competency to Proceed (Rule 20.01)_2021-07-19_20251126183017_PDFSIGS.txt</v>
      </c>
      <c r="L184" s="7" t="str">
        <f aca="false">HYPERLINK("https://mncourtfraud.com/file/MCRO_27-CR-21-13144_Order-Evaluation_for_Competency_to_Proceed_(Rule_20.01)_2021-07-19_20251126183017.zip","MCRO_27-CR-21-13144_Order-Evaluation_for_Competency_to_Proceed_(Rule_20.01)_2021-07-19_20251126183017.zip")</f>
        <v>MCRO_27-CR-21-13144_Order-Evaluation_for_Competency_to_Proceed_(Rule_20.01)_2021-07-19_20251126183017.zip</v>
      </c>
    </row>
    <row r="185" customFormat="false" ht="18.7" hidden="false" customHeight="true" outlineLevel="0" collapsed="false">
      <c r="A185" s="1" t="n">
        <v>184</v>
      </c>
      <c r="B185" s="7" t="str">
        <f aca="false">HYPERLINK("https://mncourtfraud.com/file/27-CR-21-13144.pdf","27-CR-21-13144")</f>
        <v>27-CR-21-13144</v>
      </c>
      <c r="C185" s="1" t="n">
        <v>1</v>
      </c>
      <c r="D185" s="2" t="s">
        <v>12</v>
      </c>
      <c r="E185" s="8" t="n">
        <v>44405</v>
      </c>
      <c r="F185" s="2" t="s">
        <v>145</v>
      </c>
      <c r="G185" s="7" t="str">
        <f aca="false">HYPERLINK("https://mncourtfraud.com/file/MCRO_27-CR-21-13144_Demand or Request for Discovery_2021-07-28_20251126182845.pdf","MCRO_27-CR-21-13144_Demand or Request for Discovery_2021-07-28_20251126182845.pdf")</f>
        <v>MCRO_27-CR-21-13144_Demand or Request for Discovery_2021-07-28_20251126182845.pdf</v>
      </c>
      <c r="H185" s="2" t="s">
        <v>205</v>
      </c>
      <c r="I185" s="7" t="str">
        <f aca="false">HYPERLINK("https://mncourtfraud.com/file/MCRO_27-CR-21-13144_Demand or Request for Discovery_2021-07-28_20251126182845.pdf.ots","MCRO_27-CR-21-13144_Demand or Request for Discovery_2021-07-28_20251126182845.pdf.ots")</f>
        <v>MCRO_27-CR-21-13144_Demand or Request for Discovery_2021-07-28_20251126182845.pdf.ots</v>
      </c>
      <c r="J185" s="7" t="str">
        <f aca="false">HYPERLINK("https://mncourtfraud.com/file/MCRO_27-CR-21-13144_Demand or Request for Discovery_2021-07-28_20251126182845_META.txt","MCRO_27-CR-21-13144_Demand or Request for Discovery_2021-07-28_20251126182845_META.txt")</f>
        <v>MCRO_27-CR-21-13144_Demand or Request for Discovery_2021-07-28_20251126182845_META.txt</v>
      </c>
      <c r="K185" s="7" t="str">
        <f aca="false">HYPERLINK("https://mncourtfraud.com/file/MCRO_27-CR-21-13144_Demand or Request for Discovery_2021-07-28_20251126182845_PDFSIGS.txt","MCRO_27-CR-21-13144_Demand or Request for Discovery_2021-07-28_20251126182845_PDFSIGS.txt")</f>
        <v>MCRO_27-CR-21-13144_Demand or Request for Discovery_2021-07-28_20251126182845_PDFSIGS.txt</v>
      </c>
      <c r="L185" s="7" t="str">
        <f aca="false">HYPERLINK("https://mncourtfraud.com/file/MCRO_27-CR-21-13144_Demand_or_Request_for_Discovery_2021-07-28_20251126182845.zip","MCRO_27-CR-21-13144_Demand_or_Request_for_Discovery_2021-07-28_20251126182845.zip")</f>
        <v>MCRO_27-CR-21-13144_Demand_or_Request_for_Discovery_2021-07-28_20251126182845.zip</v>
      </c>
    </row>
    <row r="186" customFormat="false" ht="18.7" hidden="false" customHeight="true" outlineLevel="0" collapsed="false">
      <c r="A186" s="1" t="n">
        <v>185</v>
      </c>
      <c r="B186" s="7" t="str">
        <f aca="false">HYPERLINK("https://mncourtfraud.com/file/27-CR-21-13144.pdf","27-CR-21-13144")</f>
        <v>27-CR-21-13144</v>
      </c>
      <c r="C186" s="1" t="n">
        <v>1</v>
      </c>
      <c r="D186" s="2" t="s">
        <v>12</v>
      </c>
      <c r="E186" s="8" t="n">
        <v>44439</v>
      </c>
      <c r="F186" s="2" t="s">
        <v>19</v>
      </c>
      <c r="G186" s="7" t="str">
        <f aca="false">HYPERLINK("https://mncourtfraud.com/file/MCRO_27-CR-21-13144_Findings and Order_2021-08-31_20251126182917.pdf","MCRO_27-CR-21-13144_Findings and Order_2021-08-31_20251126182917.pdf")</f>
        <v>MCRO_27-CR-21-13144_Findings and Order_2021-08-31_20251126182917.pdf</v>
      </c>
      <c r="H186" s="2" t="s">
        <v>206</v>
      </c>
      <c r="I186" s="7" t="str">
        <f aca="false">HYPERLINK("https://mncourtfraud.com/file/MCRO_27-CR-21-13144_Findings and Order_2021-08-31_20251126182917.pdf.ots","MCRO_27-CR-21-13144_Findings and Order_2021-08-31_20251126182917.pdf.ots")</f>
        <v>MCRO_27-CR-21-13144_Findings and Order_2021-08-31_20251126182917.pdf.ots</v>
      </c>
      <c r="J186" s="7" t="str">
        <f aca="false">HYPERLINK("https://mncourtfraud.com/file/MCRO_27-CR-21-13144_Findings and Order_2021-08-31_20251126182917_META.txt","MCRO_27-CR-21-13144_Findings and Order_2021-08-31_20251126182917_META.txt")</f>
        <v>MCRO_27-CR-21-13144_Findings and Order_2021-08-31_20251126182917_META.txt</v>
      </c>
      <c r="K186" s="7" t="str">
        <f aca="false">HYPERLINK("https://mncourtfraud.com/file/MCRO_27-CR-21-13144_Findings and Order_2021-08-31_20251126182917_PDFSIGS.txt","MCRO_27-CR-21-13144_Findings and Order_2021-08-31_20251126182917_PDFSIGS.txt")</f>
        <v>MCRO_27-CR-21-13144_Findings and Order_2021-08-31_20251126182917_PDFSIGS.txt</v>
      </c>
      <c r="L186" s="7" t="str">
        <f aca="false">HYPERLINK("https://mncourtfraud.com/file/MCRO_27-CR-21-13144_Findings_and_Order_2021-08-31_20251126182917.zip","MCRO_27-CR-21-13144_Findings_and_Order_2021-08-31_20251126182917.zip")</f>
        <v>MCRO_27-CR-21-13144_Findings_and_Order_2021-08-31_20251126182917.zip</v>
      </c>
    </row>
    <row r="187" customFormat="false" ht="18.7" hidden="false" customHeight="true" outlineLevel="0" collapsed="false">
      <c r="A187" s="1" t="n">
        <v>186</v>
      </c>
      <c r="B187" s="7" t="str">
        <f aca="false">HYPERLINK("https://mncourtfraud.com/file/27-CR-21-13144.pdf","27-CR-21-13144")</f>
        <v>27-CR-21-13144</v>
      </c>
      <c r="C187" s="1" t="n">
        <v>1</v>
      </c>
      <c r="D187" s="2" t="s">
        <v>12</v>
      </c>
      <c r="E187" s="8" t="n">
        <v>44460</v>
      </c>
      <c r="F187" s="2" t="s">
        <v>24</v>
      </c>
      <c r="G187" s="7" t="str">
        <f aca="false">HYPERLINK("https://mncourtfraud.com/file/MCRO_27-CR-21-13144_Order for Conditional Release_2021-09-21_20251126182955.pdf","MCRO_27-CR-21-13144_Order for Conditional Release_2021-09-21_20251126182955.pdf")</f>
        <v>MCRO_27-CR-21-13144_Order for Conditional Release_2021-09-21_20251126182955.pdf</v>
      </c>
      <c r="H187" s="2" t="s">
        <v>207</v>
      </c>
      <c r="I187" s="7" t="str">
        <f aca="false">HYPERLINK("https://mncourtfraud.com/file/MCRO_27-CR-21-13144_Order for Conditional Release_2021-09-21_20251126182955.pdf.ots","MCRO_27-CR-21-13144_Order for Conditional Release_2021-09-21_20251126182955.pdf.ots")</f>
        <v>MCRO_27-CR-21-13144_Order for Conditional Release_2021-09-21_20251126182955.pdf.ots</v>
      </c>
      <c r="J187" s="7" t="str">
        <f aca="false">HYPERLINK("https://mncourtfraud.com/file/MCRO_27-CR-21-13144_Order for Conditional Release_2021-09-21_20251126182955_META.txt","MCRO_27-CR-21-13144_Order for Conditional Release_2021-09-21_20251126182955_META.txt")</f>
        <v>MCRO_27-CR-21-13144_Order for Conditional Release_2021-09-21_20251126182955_META.txt</v>
      </c>
      <c r="K187" s="7" t="str">
        <f aca="false">HYPERLINK("https://mncourtfraud.com/file/MCRO_27-CR-21-13144_Order for Conditional Release_2021-09-21_20251126182955_PDFSIGS.txt","MCRO_27-CR-21-13144_Order for Conditional Release_2021-09-21_20251126182955_PDFSIGS.txt")</f>
        <v>MCRO_27-CR-21-13144_Order for Conditional Release_2021-09-21_20251126182955_PDFSIGS.txt</v>
      </c>
      <c r="L187" s="7" t="str">
        <f aca="false">HYPERLINK("https://mncourtfraud.com/file/MCRO_27-CR-21-13144_Order_for_Conditional_Release_2021-09-21_20251126182955.zip","MCRO_27-CR-21-13144_Order_for_Conditional_Release_2021-09-21_20251126182955.zip")</f>
        <v>MCRO_27-CR-21-13144_Order_for_Conditional_Release_2021-09-21_20251126182955.zip</v>
      </c>
    </row>
    <row r="188" customFormat="false" ht="18.7" hidden="false" customHeight="true" outlineLevel="0" collapsed="false">
      <c r="A188" s="1" t="n">
        <v>187</v>
      </c>
      <c r="B188" s="7" t="str">
        <f aca="false">HYPERLINK("https://mncourtfraud.com/file/27-CR-21-13144.pdf","27-CR-21-13144")</f>
        <v>27-CR-21-13144</v>
      </c>
      <c r="C188" s="1" t="n">
        <v>1</v>
      </c>
      <c r="D188" s="2" t="s">
        <v>12</v>
      </c>
      <c r="E188" s="8" t="n">
        <v>44468</v>
      </c>
      <c r="F188" s="2" t="s">
        <v>24</v>
      </c>
      <c r="G188" s="7" t="str">
        <f aca="false">HYPERLINK("https://mncourtfraud.com/file/MCRO_27-CR-21-13144_Order for Conditional Release_2021-09-29_20251126183006.pdf","MCRO_27-CR-21-13144_Order for Conditional Release_2021-09-29_20251126183006.pdf")</f>
        <v>MCRO_27-CR-21-13144_Order for Conditional Release_2021-09-29_20251126183006.pdf</v>
      </c>
      <c r="H188" s="2" t="s">
        <v>208</v>
      </c>
      <c r="I188" s="7" t="str">
        <f aca="false">HYPERLINK("https://mncourtfraud.com/file/MCRO_27-CR-21-13144_Order for Conditional Release_2021-09-29_20251126183006.pdf.ots","MCRO_27-CR-21-13144_Order for Conditional Release_2021-09-29_20251126183006.pdf.ots")</f>
        <v>MCRO_27-CR-21-13144_Order for Conditional Release_2021-09-29_20251126183006.pdf.ots</v>
      </c>
      <c r="J188" s="7" t="str">
        <f aca="false">HYPERLINK("https://mncourtfraud.com/file/MCRO_27-CR-21-13144_Order for Conditional Release_2021-09-29_20251126183006_META.txt","MCRO_27-CR-21-13144_Order for Conditional Release_2021-09-29_20251126183006_META.txt")</f>
        <v>MCRO_27-CR-21-13144_Order for Conditional Release_2021-09-29_20251126183006_META.txt</v>
      </c>
      <c r="K188" s="7" t="str">
        <f aca="false">HYPERLINK("https://mncourtfraud.com/file/MCRO_27-CR-21-13144_Order for Conditional Release_2021-09-29_20251126183006_PDFSIGS.txt","MCRO_27-CR-21-13144_Order for Conditional Release_2021-09-29_20251126183006_PDFSIGS.txt")</f>
        <v>MCRO_27-CR-21-13144_Order for Conditional Release_2021-09-29_20251126183006_PDFSIGS.txt</v>
      </c>
      <c r="L188" s="7" t="str">
        <f aca="false">HYPERLINK("https://mncourtfraud.com/file/MCRO_27-CR-21-13144_Order_for_Conditional_Release_2021-09-29_20251126183006.zip","MCRO_27-CR-21-13144_Order_for_Conditional_Release_2021-09-29_20251126183006.zip")</f>
        <v>MCRO_27-CR-21-13144_Order_for_Conditional_Release_2021-09-29_20251126183006.zip</v>
      </c>
    </row>
    <row r="189" customFormat="false" ht="18.7" hidden="false" customHeight="true" outlineLevel="0" collapsed="false">
      <c r="A189" s="1" t="n">
        <v>188</v>
      </c>
      <c r="B189" s="7" t="str">
        <f aca="false">HYPERLINK("https://mncourtfraud.com/file/27-CR-21-13144.pdf","27-CR-21-13144")</f>
        <v>27-CR-21-13144</v>
      </c>
      <c r="C189" s="1" t="n">
        <v>1</v>
      </c>
      <c r="D189" s="2" t="s">
        <v>12</v>
      </c>
      <c r="E189" s="8" t="n">
        <v>44543</v>
      </c>
      <c r="F189" s="2" t="s">
        <v>15</v>
      </c>
      <c r="G189" s="7" t="str">
        <f aca="false">HYPERLINK("https://mncourtfraud.com/file/MCRO_27-CR-21-13144_Order-Evaluation for Competency to Proceed (Rule 20.01)_2021-12-13_20251126183025.pdf","MCRO_27-CR-21-13144_Order-Evaluation for Competency to Proceed (Rule 20.01)_2021-12-13_20251126183025.pdf")</f>
        <v>MCRO_27-CR-21-13144_Order-Evaluation for Competency to Proceed (Rule 20.01)_2021-12-13_20251126183025.pdf</v>
      </c>
      <c r="H189" s="2" t="s">
        <v>209</v>
      </c>
      <c r="I189" s="7" t="str">
        <f aca="false">HYPERLINK("https://mncourtfraud.com/file/MCRO_27-CR-21-13144_Order-Evaluation for Competency to Proceed (Rule 20.01)_2021-12-13_20251126183025.pdf.ots","MCRO_27-CR-21-13144_Order-Evaluation for Competency to Proceed (Rule 20.01)_2021-12-13_20251126183025.pdf.ots")</f>
        <v>MCRO_27-CR-21-13144_Order-Evaluation for Competency to Proceed (Rule 20.01)_2021-12-13_20251126183025.pdf.ots</v>
      </c>
      <c r="J189" s="7" t="str">
        <f aca="false">HYPERLINK("https://mncourtfraud.com/file/MCRO_27-CR-21-13144_Order-Evaluation for Competency to Proceed (Rule 20.01)_2021-12-13_20251126183025_META.txt","MCRO_27-CR-21-13144_Order-Evaluation for Competency to Proceed (Rule 20.01)_2021-12-13_20251126183025_META.txt")</f>
        <v>MCRO_27-CR-21-13144_Order-Evaluation for Competency to Proceed (Rule 20.01)_2021-12-13_20251126183025_META.txt</v>
      </c>
      <c r="K189" s="7" t="str">
        <f aca="false">HYPERLINK("https://mncourtfraud.com/file/MCRO_27-CR-21-13144_Order-Evaluation for Competency to Proceed (Rule 20.01)_2021-12-13_20251126183025_PDFSIGS.txt","MCRO_27-CR-21-13144_Order-Evaluation for Competency to Proceed (Rule 20.01)_2021-12-13_20251126183025_PDFSIGS.txt")</f>
        <v>MCRO_27-CR-21-13144_Order-Evaluation for Competency to Proceed (Rule 20.01)_2021-12-13_20251126183025_PDFSIGS.txt</v>
      </c>
      <c r="L189" s="7" t="str">
        <f aca="false">HYPERLINK("https://mncourtfraud.com/file/MCRO_27-CR-21-13144_Order-Evaluation_for_Competency_to_Proceed_(Rule_20.01)_2021-12-13_20251126183025.zip","MCRO_27-CR-21-13144_Order-Evaluation_for_Competency_to_Proceed_(Rule_20.01)_2021-12-13_20251126183025.zip")</f>
        <v>MCRO_27-CR-21-13144_Order-Evaluation_for_Competency_to_Proceed_(Rule_20.01)_2021-12-13_20251126183025.zip</v>
      </c>
    </row>
    <row r="190" customFormat="false" ht="18.7" hidden="false" customHeight="true" outlineLevel="0" collapsed="false">
      <c r="A190" s="1" t="n">
        <v>189</v>
      </c>
      <c r="B190" s="7" t="str">
        <f aca="false">HYPERLINK("https://mncourtfraud.com/file/27-CR-21-13144.pdf","27-CR-21-13144")</f>
        <v>27-CR-21-13144</v>
      </c>
      <c r="C190" s="1" t="n">
        <v>1</v>
      </c>
      <c r="D190" s="2" t="s">
        <v>12</v>
      </c>
      <c r="E190" s="8" t="n">
        <v>44558</v>
      </c>
      <c r="F190" s="2" t="s">
        <v>15</v>
      </c>
      <c r="G190" s="7" t="str">
        <f aca="false">HYPERLINK("https://mncourtfraud.com/file/MCRO_27-CR-21-13144_Order-Evaluation for Competency to Proceed (Rule 20.01)_2021-12-28_20251126183033.pdf","MCRO_27-CR-21-13144_Order-Evaluation for Competency to Proceed (Rule 20.01)_2021-12-28_20251126183033.pdf")</f>
        <v>MCRO_27-CR-21-13144_Order-Evaluation for Competency to Proceed (Rule 20.01)_2021-12-28_20251126183033.pdf</v>
      </c>
      <c r="H190" s="2" t="s">
        <v>210</v>
      </c>
      <c r="I190" s="7" t="str">
        <f aca="false">HYPERLINK("https://mncourtfraud.com/file/MCRO_27-CR-21-13144_Order-Evaluation for Competency to Proceed (Rule 20.01)_2021-12-28_20251126183033.pdf.ots","MCRO_27-CR-21-13144_Order-Evaluation for Competency to Proceed (Rule 20.01)_2021-12-28_20251126183033.pdf.ots")</f>
        <v>MCRO_27-CR-21-13144_Order-Evaluation for Competency to Proceed (Rule 20.01)_2021-12-28_20251126183033.pdf.ots</v>
      </c>
      <c r="J190" s="7" t="str">
        <f aca="false">HYPERLINK("https://mncourtfraud.com/file/MCRO_27-CR-21-13144_Order-Evaluation for Competency to Proceed (Rule 20.01)_2021-12-28_20251126183033_META.txt","MCRO_27-CR-21-13144_Order-Evaluation for Competency to Proceed (Rule 20.01)_2021-12-28_20251126183033_META.txt")</f>
        <v>MCRO_27-CR-21-13144_Order-Evaluation for Competency to Proceed (Rule 20.01)_2021-12-28_20251126183033_META.txt</v>
      </c>
      <c r="K190" s="7" t="str">
        <f aca="false">HYPERLINK("https://mncourtfraud.com/file/MCRO_27-CR-21-13144_Order-Evaluation for Competency to Proceed (Rule 20.01)_2021-12-28_20251126183033_PDFSIGS.txt","MCRO_27-CR-21-13144_Order-Evaluation for Competency to Proceed (Rule 20.01)_2021-12-28_20251126183033_PDFSIGS.txt")</f>
        <v>MCRO_27-CR-21-13144_Order-Evaluation for Competency to Proceed (Rule 20.01)_2021-12-28_20251126183033_PDFSIGS.txt</v>
      </c>
      <c r="L190" s="7" t="str">
        <f aca="false">HYPERLINK("https://mncourtfraud.com/file/MCRO_27-CR-21-13144_Order-Evaluation_for_Competency_to_Proceed_(Rule_20.01)_2021-12-28_20251126183033.zip","MCRO_27-CR-21-13144_Order-Evaluation_for_Competency_to_Proceed_(Rule_20.01)_2021-12-28_20251126183033.zip")</f>
        <v>MCRO_27-CR-21-13144_Order-Evaluation_for_Competency_to_Proceed_(Rule_20.01)_2021-12-28_20251126183033.zip</v>
      </c>
    </row>
    <row r="191" customFormat="false" ht="18.7" hidden="false" customHeight="true" outlineLevel="0" collapsed="false">
      <c r="A191" s="1" t="n">
        <v>190</v>
      </c>
      <c r="B191" s="7" t="str">
        <f aca="false">HYPERLINK("https://mncourtfraud.com/file/27-CR-21-13144.pdf","27-CR-21-13144")</f>
        <v>27-CR-21-13144</v>
      </c>
      <c r="C191" s="1" t="n">
        <v>1</v>
      </c>
      <c r="D191" s="2" t="s">
        <v>12</v>
      </c>
      <c r="E191" s="8" t="n">
        <v>44593</v>
      </c>
      <c r="F191" s="2" t="s">
        <v>19</v>
      </c>
      <c r="G191" s="7" t="str">
        <f aca="false">HYPERLINK("https://mncourtfraud.com/file/MCRO_27-CR-21-13144_Findings and Order_2022-02-01_20251126182907.pdf","MCRO_27-CR-21-13144_Findings and Order_2022-02-01_20251126182907.pdf")</f>
        <v>MCRO_27-CR-21-13144_Findings and Order_2022-02-01_20251126182907.pdf</v>
      </c>
      <c r="H191" s="2" t="s">
        <v>211</v>
      </c>
      <c r="I191" s="7" t="str">
        <f aca="false">HYPERLINK("https://mncourtfraud.com/file/MCRO_27-CR-21-13144_Findings and Order_2022-02-01_20251126182907.pdf.ots","MCRO_27-CR-21-13144_Findings and Order_2022-02-01_20251126182907.pdf.ots")</f>
        <v>MCRO_27-CR-21-13144_Findings and Order_2022-02-01_20251126182907.pdf.ots</v>
      </c>
      <c r="J191" s="7" t="str">
        <f aca="false">HYPERLINK("https://mncourtfraud.com/file/MCRO_27-CR-21-13144_Findings and Order_2022-02-01_20251126182907_META.txt","MCRO_27-CR-21-13144_Findings and Order_2022-02-01_20251126182907_META.txt")</f>
        <v>MCRO_27-CR-21-13144_Findings and Order_2022-02-01_20251126182907_META.txt</v>
      </c>
      <c r="K191" s="7" t="str">
        <f aca="false">HYPERLINK("https://mncourtfraud.com/file/MCRO_27-CR-21-13144_Findings and Order_2022-02-01_20251126182907_PDFSIGS.txt","MCRO_27-CR-21-13144_Findings and Order_2022-02-01_20251126182907_PDFSIGS.txt")</f>
        <v>MCRO_27-CR-21-13144_Findings and Order_2022-02-01_20251126182907_PDFSIGS.txt</v>
      </c>
      <c r="L191" s="7" t="str">
        <f aca="false">HYPERLINK("https://mncourtfraud.com/file/MCRO_27-CR-21-13144_Findings_and_Order_2022-02-01_20251126182907.zip","MCRO_27-CR-21-13144_Findings_and_Order_2022-02-01_20251126182907.zip")</f>
        <v>MCRO_27-CR-21-13144_Findings_and_Order_2022-02-01_20251126182907.zip</v>
      </c>
    </row>
    <row r="192" customFormat="false" ht="18.7" hidden="false" customHeight="true" outlineLevel="0" collapsed="false">
      <c r="A192" s="1" t="n">
        <v>191</v>
      </c>
      <c r="B192" s="7" t="str">
        <f aca="false">HYPERLINK("https://mncourtfraud.com/file/27-CR-21-13144.pdf","27-CR-21-13144")</f>
        <v>27-CR-21-13144</v>
      </c>
      <c r="C192" s="1" t="n">
        <v>1</v>
      </c>
      <c r="D192" s="2" t="s">
        <v>12</v>
      </c>
      <c r="E192" s="8" t="n">
        <v>44692</v>
      </c>
      <c r="F192" s="2" t="s">
        <v>15</v>
      </c>
      <c r="G192" s="7" t="str">
        <f aca="false">HYPERLINK("https://mncourtfraud.com/file/MCRO_27-CR-21-13144_Order-Evaluation for Competency to Proceed (Rule 20.01)_2022-05-11_20251126183041.pdf","MCRO_27-CR-21-13144_Order-Evaluation for Competency to Proceed (Rule 20.01)_2022-05-11_20251126183041.pdf")</f>
        <v>MCRO_27-CR-21-13144_Order-Evaluation for Competency to Proceed (Rule 20.01)_2022-05-11_20251126183041.pdf</v>
      </c>
      <c r="H192" s="2" t="s">
        <v>212</v>
      </c>
      <c r="I192" s="7" t="str">
        <f aca="false">HYPERLINK("https://mncourtfraud.com/file/MCRO_27-CR-21-13144_Order-Evaluation for Competency to Proceed (Rule 20.01)_2022-05-11_20251126183041.pdf.ots","MCRO_27-CR-21-13144_Order-Evaluation for Competency to Proceed (Rule 20.01)_2022-05-11_20251126183041.pdf.ots")</f>
        <v>MCRO_27-CR-21-13144_Order-Evaluation for Competency to Proceed (Rule 20.01)_2022-05-11_20251126183041.pdf.ots</v>
      </c>
      <c r="J192" s="7" t="str">
        <f aca="false">HYPERLINK("https://mncourtfraud.com/file/MCRO_27-CR-21-13144_Order-Evaluation for Competency to Proceed (Rule 20.01)_2022-05-11_20251126183041_META.txt","MCRO_27-CR-21-13144_Order-Evaluation for Competency to Proceed (Rule 20.01)_2022-05-11_20251126183041_META.txt")</f>
        <v>MCRO_27-CR-21-13144_Order-Evaluation for Competency to Proceed (Rule 20.01)_2022-05-11_20251126183041_META.txt</v>
      </c>
      <c r="K192" s="7" t="str">
        <f aca="false">HYPERLINK("https://mncourtfraud.com/file/MCRO_27-CR-21-13144_Order-Evaluation for Competency to Proceed (Rule 20.01)_2022-05-11_20251126183041_PDFSIGS.txt","MCRO_27-CR-21-13144_Order-Evaluation for Competency to Proceed (Rule 20.01)_2022-05-11_20251126183041_PDFSIGS.txt")</f>
        <v>MCRO_27-CR-21-13144_Order-Evaluation for Competency to Proceed (Rule 20.01)_2022-05-11_20251126183041_PDFSIGS.txt</v>
      </c>
      <c r="L192" s="7" t="str">
        <f aca="false">HYPERLINK("https://mncourtfraud.com/file/MCRO_27-CR-21-13144_Order-Evaluation_for_Competency_to_Proceed_(Rule_20.01)_2022-05-11_20251126183041.zip","MCRO_27-CR-21-13144_Order-Evaluation_for_Competency_to_Proceed_(Rule_20.01)_2022-05-11_20251126183041.zip")</f>
        <v>MCRO_27-CR-21-13144_Order-Evaluation_for_Competency_to_Proceed_(Rule_20.01)_2022-05-11_20251126183041.zip</v>
      </c>
    </row>
    <row r="193" customFormat="false" ht="18.7" hidden="false" customHeight="true" outlineLevel="0" collapsed="false">
      <c r="A193" s="1" t="n">
        <v>192</v>
      </c>
      <c r="B193" s="7" t="str">
        <f aca="false">HYPERLINK("https://mncourtfraud.com/file/27-CR-21-13144.pdf","27-CR-21-13144")</f>
        <v>27-CR-21-13144</v>
      </c>
      <c r="C193" s="1" t="n">
        <v>1</v>
      </c>
      <c r="D193" s="2" t="s">
        <v>12</v>
      </c>
      <c r="E193" s="8" t="n">
        <v>44895</v>
      </c>
      <c r="F193" s="2" t="s">
        <v>15</v>
      </c>
      <c r="G193" s="7" t="str">
        <f aca="false">HYPERLINK("https://mncourtfraud.com/file/MCRO_27-CR-21-13144_Order-Evaluation for Competency to Proceed (Rule 20.01)_2022-11-30_20251126183049.pdf","MCRO_27-CR-21-13144_Order-Evaluation for Competency to Proceed (Rule 20.01)_2022-11-30_20251126183049.pdf")</f>
        <v>MCRO_27-CR-21-13144_Order-Evaluation for Competency to Proceed (Rule 20.01)_2022-11-30_20251126183049.pdf</v>
      </c>
      <c r="H193" s="2" t="s">
        <v>213</v>
      </c>
      <c r="I193" s="7" t="str">
        <f aca="false">HYPERLINK("https://mncourtfraud.com/file/MCRO_27-CR-21-13144_Order-Evaluation for Competency to Proceed (Rule 20.01)_2022-11-30_20251126183049.pdf.ots","MCRO_27-CR-21-13144_Order-Evaluation for Competency to Proceed (Rule 20.01)_2022-11-30_20251126183049.pdf.ots")</f>
        <v>MCRO_27-CR-21-13144_Order-Evaluation for Competency to Proceed (Rule 20.01)_2022-11-30_20251126183049.pdf.ots</v>
      </c>
      <c r="J193" s="7" t="str">
        <f aca="false">HYPERLINK("https://mncourtfraud.com/file/MCRO_27-CR-21-13144_Order-Evaluation for Competency to Proceed (Rule 20.01)_2022-11-30_20251126183049_META.txt","MCRO_27-CR-21-13144_Order-Evaluation for Competency to Proceed (Rule 20.01)_2022-11-30_20251126183049_META.txt")</f>
        <v>MCRO_27-CR-21-13144_Order-Evaluation for Competency to Proceed (Rule 20.01)_2022-11-30_20251126183049_META.txt</v>
      </c>
      <c r="K193" s="7" t="str">
        <f aca="false">HYPERLINK("https://mncourtfraud.com/file/MCRO_27-CR-21-13144_Order-Evaluation for Competency to Proceed (Rule 20.01)_2022-11-30_20251126183049_PDFSIGS.txt","MCRO_27-CR-21-13144_Order-Evaluation for Competency to Proceed (Rule 20.01)_2022-11-30_20251126183049_PDFSIGS.txt")</f>
        <v>MCRO_27-CR-21-13144_Order-Evaluation for Competency to Proceed (Rule 20.01)_2022-11-30_20251126183049_PDFSIGS.txt</v>
      </c>
      <c r="L193" s="7" t="str">
        <f aca="false">HYPERLINK("https://mncourtfraud.com/file/MCRO_27-CR-21-13144_Order-Evaluation_for_Competency_to_Proceed_(Rule_20.01)_2022-11-30_20251126183049.zip","MCRO_27-CR-21-13144_Order-Evaluation_for_Competency_to_Proceed_(Rule_20.01)_2022-11-30_20251126183049.zip")</f>
        <v>MCRO_27-CR-21-13144_Order-Evaluation_for_Competency_to_Proceed_(Rule_20.01)_2022-11-30_20251126183049.zip</v>
      </c>
    </row>
    <row r="194" customFormat="false" ht="18.7" hidden="false" customHeight="true" outlineLevel="0" collapsed="false">
      <c r="A194" s="1" t="n">
        <v>193</v>
      </c>
      <c r="B194" s="7" t="str">
        <f aca="false">HYPERLINK("https://mncourtfraud.com/file/27-CR-21-13144.pdf","27-CR-21-13144")</f>
        <v>27-CR-21-13144</v>
      </c>
      <c r="C194" s="1" t="n">
        <v>1</v>
      </c>
      <c r="D194" s="2" t="s">
        <v>12</v>
      </c>
      <c r="E194" s="8" t="n">
        <v>44999</v>
      </c>
      <c r="F194" s="2" t="s">
        <v>17</v>
      </c>
      <c r="G194" s="7" t="str">
        <f aca="false">HYPERLINK("https://mncourtfraud.com/file/MCRO_27-CR-21-13144_Returned Mail_2023-03-14_20251126183118.pdf","MCRO_27-CR-21-13144_Returned Mail_2023-03-14_20251126183118.pdf")</f>
        <v>MCRO_27-CR-21-13144_Returned Mail_2023-03-14_20251126183118.pdf</v>
      </c>
      <c r="H194" s="2" t="s">
        <v>214</v>
      </c>
      <c r="I194" s="7" t="str">
        <f aca="false">HYPERLINK("https://mncourtfraud.com/file/MCRO_27-CR-21-13144_Returned Mail_2023-03-14_20251126183118.pdf.ots","MCRO_27-CR-21-13144_Returned Mail_2023-03-14_20251126183118.pdf.ots")</f>
        <v>MCRO_27-CR-21-13144_Returned Mail_2023-03-14_20251126183118.pdf.ots</v>
      </c>
      <c r="J194" s="7" t="str">
        <f aca="false">HYPERLINK("https://mncourtfraud.com/file/MCRO_27-CR-21-13144_Returned Mail_2023-03-14_20251126183118_META.txt","MCRO_27-CR-21-13144_Returned Mail_2023-03-14_20251126183118_META.txt")</f>
        <v>MCRO_27-CR-21-13144_Returned Mail_2023-03-14_20251126183118_META.txt</v>
      </c>
      <c r="K194" s="7" t="str">
        <f aca="false">HYPERLINK("https://mncourtfraud.com/file/MCRO_27-CR-21-13144_Returned Mail_2023-03-14_20251126183118_PDFSIGS.txt","MCRO_27-CR-21-13144_Returned Mail_2023-03-14_20251126183118_PDFSIGS.txt")</f>
        <v>MCRO_27-CR-21-13144_Returned Mail_2023-03-14_20251126183118_PDFSIGS.txt</v>
      </c>
      <c r="L194" s="7" t="str">
        <f aca="false">HYPERLINK("https://mncourtfraud.com/file/MCRO_27-CR-21-13144_Returned_Mail_2023-03-14_20251126183118.zip","MCRO_27-CR-21-13144_Returned_Mail_2023-03-14_20251126183118.zip")</f>
        <v>MCRO_27-CR-21-13144_Returned_Mail_2023-03-14_20251126183118.zip</v>
      </c>
    </row>
    <row r="195" customFormat="false" ht="18.7" hidden="false" customHeight="true" outlineLevel="0" collapsed="false">
      <c r="A195" s="1" t="n">
        <v>194</v>
      </c>
      <c r="B195" s="7" t="str">
        <f aca="false">HYPERLINK("https://mncourtfraud.com/file/27-CR-21-13144.pdf","27-CR-21-13144")</f>
        <v>27-CR-21-13144</v>
      </c>
      <c r="C195" s="1" t="n">
        <v>1</v>
      </c>
      <c r="D195" s="2" t="s">
        <v>12</v>
      </c>
      <c r="E195" s="8" t="n">
        <v>45048</v>
      </c>
      <c r="F195" s="2" t="s">
        <v>80</v>
      </c>
      <c r="G195" s="7" t="str">
        <f aca="false">HYPERLINK("https://mncourtfraud.com/file/MCRO_27-CR-21-13144_Finding of Incompetency and Order_2023-05-02_20251126182855.pdf","MCRO_27-CR-21-13144_Finding of Incompetency and Order_2023-05-02_20251126182855.pdf")</f>
        <v>MCRO_27-CR-21-13144_Finding of Incompetency and Order_2023-05-02_20251126182855.pdf</v>
      </c>
      <c r="H195" s="2" t="s">
        <v>215</v>
      </c>
      <c r="I195" s="7" t="str">
        <f aca="false">HYPERLINK("https://mncourtfraud.com/file/MCRO_27-CR-21-13144_Finding of Incompetency and Order_2023-05-02_20251126182855.pdf.ots","MCRO_27-CR-21-13144_Finding of Incompetency and Order_2023-05-02_20251126182855.pdf.ots")</f>
        <v>MCRO_27-CR-21-13144_Finding of Incompetency and Order_2023-05-02_20251126182855.pdf.ots</v>
      </c>
      <c r="J195" s="7" t="str">
        <f aca="false">HYPERLINK("https://mncourtfraud.com/file/MCRO_27-CR-21-13144_Finding of Incompetency and Order_2023-05-02_20251126182855_META.txt","MCRO_27-CR-21-13144_Finding of Incompetency and Order_2023-05-02_20251126182855_META.txt")</f>
        <v>MCRO_27-CR-21-13144_Finding of Incompetency and Order_2023-05-02_20251126182855_META.txt</v>
      </c>
      <c r="K195" s="7" t="str">
        <f aca="false">HYPERLINK("https://mncourtfraud.com/file/MCRO_27-CR-21-13144_Finding of Incompetency and Order_2023-05-02_20251126182855_PDFSIGS.txt","MCRO_27-CR-21-13144_Finding of Incompetency and Order_2023-05-02_20251126182855_PDFSIGS.txt")</f>
        <v>MCRO_27-CR-21-13144_Finding of Incompetency and Order_2023-05-02_20251126182855_PDFSIGS.txt</v>
      </c>
      <c r="L195" s="7" t="str">
        <f aca="false">HYPERLINK("https://mncourtfraud.com/file/MCRO_27-CR-21-13144_Finding_of_Incompetency_and_Order_2023-05-02_20251126182855.zip","MCRO_27-CR-21-13144_Finding_of_Incompetency_and_Order_2023-05-02_20251126182855.zip")</f>
        <v>MCRO_27-CR-21-13144_Finding_of_Incompetency_and_Order_2023-05-02_20251126182855.zip</v>
      </c>
    </row>
    <row r="196" customFormat="false" ht="18.7" hidden="false" customHeight="true" outlineLevel="0" collapsed="false">
      <c r="A196" s="1" t="n">
        <v>195</v>
      </c>
      <c r="B196" s="7" t="str">
        <f aca="false">HYPERLINK("https://mncourtfraud.com/file/27-CR-21-13144.pdf","27-CR-21-13144")</f>
        <v>27-CR-21-13144</v>
      </c>
      <c r="C196" s="1" t="n">
        <v>1</v>
      </c>
      <c r="D196" s="2" t="s">
        <v>12</v>
      </c>
      <c r="E196" s="8" t="n">
        <v>45093</v>
      </c>
      <c r="F196" s="2" t="s">
        <v>82</v>
      </c>
      <c r="G196" s="7" t="str">
        <f aca="false">HYPERLINK("https://mncourtfraud.com/file/MCRO_27-CR-21-13144_Notice of Case Reassignment_2023-06-16_20251126182929.pdf","MCRO_27-CR-21-13144_Notice of Case Reassignment_2023-06-16_20251126182929.pdf")</f>
        <v>MCRO_27-CR-21-13144_Notice of Case Reassignment_2023-06-16_20251126182929.pdf</v>
      </c>
      <c r="H196" s="2" t="s">
        <v>216</v>
      </c>
      <c r="I196" s="7" t="str">
        <f aca="false">HYPERLINK("https://mncourtfraud.com/file/MCRO_27-CR-21-13144_Notice of Case Reassignment_2023-06-16_20251126182929.pdf.ots","MCRO_27-CR-21-13144_Notice of Case Reassignment_2023-06-16_20251126182929.pdf.ots")</f>
        <v>MCRO_27-CR-21-13144_Notice of Case Reassignment_2023-06-16_20251126182929.pdf.ots</v>
      </c>
      <c r="J196" s="7" t="str">
        <f aca="false">HYPERLINK("https://mncourtfraud.com/file/MCRO_27-CR-21-13144_Notice of Case Reassignment_2023-06-16_20251126182929_META.txt","MCRO_27-CR-21-13144_Notice of Case Reassignment_2023-06-16_20251126182929_META.txt")</f>
        <v>MCRO_27-CR-21-13144_Notice of Case Reassignment_2023-06-16_20251126182929_META.txt</v>
      </c>
      <c r="K196" s="7" t="str">
        <f aca="false">HYPERLINK("https://mncourtfraud.com/file/MCRO_27-CR-21-13144_Notice of Case Reassignment_2023-06-16_20251126182929_PDFSIGS.txt","MCRO_27-CR-21-13144_Notice of Case Reassignment_2023-06-16_20251126182929_PDFSIGS.txt")</f>
        <v>MCRO_27-CR-21-13144_Notice of Case Reassignment_2023-06-16_20251126182929_PDFSIGS.txt</v>
      </c>
      <c r="L196" s="7" t="str">
        <f aca="false">HYPERLINK("https://mncourtfraud.com/file/MCRO_27-CR-21-13144_Notice_of_Case_Reassignment_2023-06-16_20251126182929.zip","MCRO_27-CR-21-13144_Notice_of_Case_Reassignment_2023-06-16_20251126182929.zip")</f>
        <v>MCRO_27-CR-21-13144_Notice_of_Case_Reassignment_2023-06-16_20251126182929.zip</v>
      </c>
    </row>
    <row r="197" customFormat="false" ht="18.7" hidden="false" customHeight="true" outlineLevel="0" collapsed="false">
      <c r="A197" s="1" t="n">
        <v>196</v>
      </c>
      <c r="B197" s="7" t="str">
        <f aca="false">HYPERLINK("https://mncourtfraud.com/file/27-CR-21-13144.pdf","27-CR-21-13144")</f>
        <v>27-CR-21-13144</v>
      </c>
      <c r="C197" s="1" t="n">
        <v>1</v>
      </c>
      <c r="D197" s="2" t="s">
        <v>12</v>
      </c>
      <c r="E197" s="8" t="n">
        <v>45160</v>
      </c>
      <c r="F197" s="2" t="s">
        <v>15</v>
      </c>
      <c r="G197" s="7" t="str">
        <f aca="false">HYPERLINK("https://mncourtfraud.com/file/MCRO_27-CR-21-13144_Order-Evaluation for Competency to Proceed (Rule 20.01)_2023-08-22_20251126183057.pdf","MCRO_27-CR-21-13144_Order-Evaluation for Competency to Proceed (Rule 20.01)_2023-08-22_20251126183057.pdf")</f>
        <v>MCRO_27-CR-21-13144_Order-Evaluation for Competency to Proceed (Rule 20.01)_2023-08-22_20251126183057.pdf</v>
      </c>
      <c r="H197" s="2" t="s">
        <v>217</v>
      </c>
      <c r="I197" s="7" t="str">
        <f aca="false">HYPERLINK("https://mncourtfraud.com/file/MCRO_27-CR-21-13144_Order-Evaluation for Competency to Proceed (Rule 20.01)_2023-08-22_20251126183057.pdf.ots","MCRO_27-CR-21-13144_Order-Evaluation for Competency to Proceed (Rule 20.01)_2023-08-22_20251126183057.pdf.ots")</f>
        <v>MCRO_27-CR-21-13144_Order-Evaluation for Competency to Proceed (Rule 20.01)_2023-08-22_20251126183057.pdf.ots</v>
      </c>
      <c r="J197" s="7" t="str">
        <f aca="false">HYPERLINK("https://mncourtfraud.com/file/MCRO_27-CR-21-13144_Order-Evaluation for Competency to Proceed (Rule 20.01)_2023-08-22_20251126183057_META.txt","MCRO_27-CR-21-13144_Order-Evaluation for Competency to Proceed (Rule 20.01)_2023-08-22_20251126183057_META.txt")</f>
        <v>MCRO_27-CR-21-13144_Order-Evaluation for Competency to Proceed (Rule 20.01)_2023-08-22_20251126183057_META.txt</v>
      </c>
      <c r="K197" s="7" t="str">
        <f aca="false">HYPERLINK("https://mncourtfraud.com/file/MCRO_27-CR-21-13144_Order-Evaluation for Competency to Proceed (Rule 20.01)_2023-08-22_20251126183057_PDFSIGS.txt","MCRO_27-CR-21-13144_Order-Evaluation for Competency to Proceed (Rule 20.01)_2023-08-22_20251126183057_PDFSIGS.txt")</f>
        <v>MCRO_27-CR-21-13144_Order-Evaluation for Competency to Proceed (Rule 20.01)_2023-08-22_20251126183057_PDFSIGS.txt</v>
      </c>
      <c r="L197" s="7" t="str">
        <f aca="false">HYPERLINK("https://mncourtfraud.com/file/MCRO_27-CR-21-13144_Order-Evaluation_for_Competency_to_Proceed_(Rule_20.01)_2023-08-22_20251126183057.zip","MCRO_27-CR-21-13144_Order-Evaluation_for_Competency_to_Proceed_(Rule_20.01)_2023-08-22_20251126183057.zip")</f>
        <v>MCRO_27-CR-21-13144_Order-Evaluation_for_Competency_to_Proceed_(Rule_20.01)_2023-08-22_20251126183057.zip</v>
      </c>
    </row>
    <row r="198" customFormat="false" ht="18.7" hidden="false" customHeight="true" outlineLevel="0" collapsed="false">
      <c r="A198" s="1" t="n">
        <v>197</v>
      </c>
      <c r="B198" s="7" t="str">
        <f aca="false">HYPERLINK("https://mncourtfraud.com/file/27-CR-21-13144.pdf","27-CR-21-13144")</f>
        <v>27-CR-21-13144</v>
      </c>
      <c r="C198" s="1" t="n">
        <v>1</v>
      </c>
      <c r="D198" s="2" t="s">
        <v>12</v>
      </c>
      <c r="E198" s="8" t="n">
        <v>45412</v>
      </c>
      <c r="F198" s="2" t="s">
        <v>24</v>
      </c>
      <c r="G198" s="7" t="str">
        <f aca="false">HYPERLINK("https://mncourtfraud.com/file/MCRO_27-CR-21-13144_Order for Conditional Release_2024-04-30_20251126182947.pdf","MCRO_27-CR-21-13144_Order for Conditional Release_2024-04-30_20251126182947.pdf")</f>
        <v>MCRO_27-CR-21-13144_Order for Conditional Release_2024-04-30_20251126182947.pdf</v>
      </c>
      <c r="H198" s="2" t="s">
        <v>218</v>
      </c>
      <c r="I198" s="7" t="str">
        <f aca="false">HYPERLINK("https://mncourtfraud.com/file/MCRO_27-CR-21-13144_Order for Conditional Release_2024-04-30_20251126182947.pdf.ots","MCRO_27-CR-21-13144_Order for Conditional Release_2024-04-30_20251126182947.pdf.ots")</f>
        <v>MCRO_27-CR-21-13144_Order for Conditional Release_2024-04-30_20251126182947.pdf.ots</v>
      </c>
      <c r="J198" s="7" t="str">
        <f aca="false">HYPERLINK("https://mncourtfraud.com/file/MCRO_27-CR-21-13144_Order for Conditional Release_2024-04-30_20251126182947_META.txt","MCRO_27-CR-21-13144_Order for Conditional Release_2024-04-30_20251126182947_META.txt")</f>
        <v>MCRO_27-CR-21-13144_Order for Conditional Release_2024-04-30_20251126182947_META.txt</v>
      </c>
      <c r="K198" s="7" t="str">
        <f aca="false">HYPERLINK("https://mncourtfraud.com/file/MCRO_27-CR-21-13144_Order for Conditional Release_2024-04-30_20251126182947_PDFSIGS.txt","MCRO_27-CR-21-13144_Order for Conditional Release_2024-04-30_20251126182947_PDFSIGS.txt")</f>
        <v>MCRO_27-CR-21-13144_Order for Conditional Release_2024-04-30_20251126182947_PDFSIGS.txt</v>
      </c>
      <c r="L198" s="7" t="str">
        <f aca="false">HYPERLINK("https://mncourtfraud.com/file/MCRO_27-CR-21-13144_Order_for_Conditional_Release_2024-04-30_20251126182947.zip","MCRO_27-CR-21-13144_Order_for_Conditional_Release_2024-04-30_20251126182947.zip")</f>
        <v>MCRO_27-CR-21-13144_Order_for_Conditional_Release_2024-04-30_20251126182947.zip</v>
      </c>
    </row>
    <row r="199" customFormat="false" ht="18.7" hidden="false" customHeight="true" outlineLevel="0" collapsed="false">
      <c r="A199" s="1" t="n">
        <v>198</v>
      </c>
      <c r="B199" s="7" t="str">
        <f aca="false">HYPERLINK("https://mncourtfraud.com/file/27-CR-21-13144.pdf","27-CR-21-13144")</f>
        <v>27-CR-21-13144</v>
      </c>
      <c r="C199" s="1" t="n">
        <v>1</v>
      </c>
      <c r="D199" s="2" t="s">
        <v>12</v>
      </c>
      <c r="E199" s="8" t="n">
        <v>45412</v>
      </c>
      <c r="F199" s="2" t="s">
        <v>15</v>
      </c>
      <c r="G199" s="7" t="str">
        <f aca="false">HYPERLINK("https://mncourtfraud.com/file/MCRO_27-CR-21-13144_Order-Evaluation for Competency to Proceed (Rule 20.01)_2024-04-30_20251126183105.pdf","MCRO_27-CR-21-13144_Order-Evaluation for Competency to Proceed (Rule 20.01)_2024-04-30_20251126183105.pdf")</f>
        <v>MCRO_27-CR-21-13144_Order-Evaluation for Competency to Proceed (Rule 20.01)_2024-04-30_20251126183105.pdf</v>
      </c>
      <c r="H199" s="2" t="s">
        <v>219</v>
      </c>
      <c r="I199" s="7" t="str">
        <f aca="false">HYPERLINK("https://mncourtfraud.com/file/MCRO_27-CR-21-13144_Order-Evaluation for Competency to Proceed (Rule 20.01)_2024-04-30_20251126183105.pdf.ots","MCRO_27-CR-21-13144_Order-Evaluation for Competency to Proceed (Rule 20.01)_2024-04-30_20251126183105.pdf.ots")</f>
        <v>MCRO_27-CR-21-13144_Order-Evaluation for Competency to Proceed (Rule 20.01)_2024-04-30_20251126183105.pdf.ots</v>
      </c>
      <c r="J199" s="7" t="str">
        <f aca="false">HYPERLINK("https://mncourtfraud.com/file/MCRO_27-CR-21-13144_Order-Evaluation for Competency to Proceed (Rule 20.01)_2024-04-30_20251126183105_META.txt","MCRO_27-CR-21-13144_Order-Evaluation for Competency to Proceed (Rule 20.01)_2024-04-30_20251126183105_META.txt")</f>
        <v>MCRO_27-CR-21-13144_Order-Evaluation for Competency to Proceed (Rule 20.01)_2024-04-30_20251126183105_META.txt</v>
      </c>
      <c r="K199" s="7" t="str">
        <f aca="false">HYPERLINK("https://mncourtfraud.com/file/MCRO_27-CR-21-13144_Order-Evaluation for Competency to Proceed (Rule 20.01)_2024-04-30_20251126183105_PDFSIGS.txt","MCRO_27-CR-21-13144_Order-Evaluation for Competency to Proceed (Rule 20.01)_2024-04-30_20251126183105_PDFSIGS.txt")</f>
        <v>MCRO_27-CR-21-13144_Order-Evaluation for Competency to Proceed (Rule 20.01)_2024-04-30_20251126183105_PDFSIGS.txt</v>
      </c>
      <c r="L199" s="7" t="str">
        <f aca="false">HYPERLINK("https://mncourtfraud.com/file/MCRO_27-CR-21-13144_Order-Evaluation_for_Competency_to_Proceed_(Rule_20.01)_2024-04-30_20251126183105.zip","MCRO_27-CR-21-13144_Order-Evaluation_for_Competency_to_Proceed_(Rule_20.01)_2024-04-30_20251126183105.zip")</f>
        <v>MCRO_27-CR-21-13144_Order-Evaluation_for_Competency_to_Proceed_(Rule_20.01)_2024-04-30_20251126183105.zip</v>
      </c>
    </row>
    <row r="200" customFormat="false" ht="18.7" hidden="false" customHeight="true" outlineLevel="0" collapsed="false">
      <c r="A200" s="1" t="n">
        <v>199</v>
      </c>
      <c r="B200" s="7" t="str">
        <f aca="false">HYPERLINK("https://mncourtfraud.com/file/27-CR-21-13146.pdf","27-CR-21-13146")</f>
        <v>27-CR-21-13146</v>
      </c>
      <c r="C200" s="1" t="n">
        <v>1</v>
      </c>
      <c r="D200" s="2" t="s">
        <v>12</v>
      </c>
      <c r="E200" s="8" t="n">
        <v>44396</v>
      </c>
      <c r="F200" s="2" t="s">
        <v>15</v>
      </c>
      <c r="G200" s="7" t="str">
        <f aca="false">HYPERLINK("https://mncourtfraud.com/file/MCRO_27-CR-21-13146_Order-Evaluation for Competency to Proceed (Rule 20.01)_2021-07-19_20251126183316.pdf","MCRO_27-CR-21-13146_Order-Evaluation for Competency to Proceed (Rule 20.01)_2021-07-19_20251126183316.pdf")</f>
        <v>MCRO_27-CR-21-13146_Order-Evaluation for Competency to Proceed (Rule 20.01)_2021-07-19_20251126183316.pdf</v>
      </c>
      <c r="H200" s="2" t="s">
        <v>220</v>
      </c>
      <c r="I200" s="7" t="str">
        <f aca="false">HYPERLINK("https://mncourtfraud.com/file/MCRO_27-CR-21-13146_Order-Evaluation for Competency to Proceed (Rule 20.01)_2021-07-19_20251126183316.pdf.ots","MCRO_27-CR-21-13146_Order-Evaluation for Competency to Proceed (Rule 20.01)_2021-07-19_20251126183316.pdf.ots")</f>
        <v>MCRO_27-CR-21-13146_Order-Evaluation for Competency to Proceed (Rule 20.01)_2021-07-19_20251126183316.pdf.ots</v>
      </c>
      <c r="J200" s="7" t="str">
        <f aca="false">HYPERLINK("https://mncourtfraud.com/file/MCRO_27-CR-21-13146_Order-Evaluation for Competency to Proceed (Rule 20.01)_2021-07-19_20251126183316_META.txt","MCRO_27-CR-21-13146_Order-Evaluation for Competency to Proceed (Rule 20.01)_2021-07-19_20251126183316_META.txt")</f>
        <v>MCRO_27-CR-21-13146_Order-Evaluation for Competency to Proceed (Rule 20.01)_2021-07-19_20251126183316_META.txt</v>
      </c>
      <c r="K200" s="7" t="str">
        <f aca="false">HYPERLINK("https://mncourtfraud.com/file/MCRO_27-CR-21-13146_Order-Evaluation for Competency to Proceed (Rule 20.01)_2021-07-19_20251126183316_PDFSIGS.txt","MCRO_27-CR-21-13146_Order-Evaluation for Competency to Proceed (Rule 20.01)_2021-07-19_20251126183316_PDFSIGS.txt")</f>
        <v>MCRO_27-CR-21-13146_Order-Evaluation for Competency to Proceed (Rule 20.01)_2021-07-19_20251126183316_PDFSIGS.txt</v>
      </c>
      <c r="L200" s="7" t="str">
        <f aca="false">HYPERLINK("https://mncourtfraud.com/file/MCRO_27-CR-21-13146_Order-Evaluation_for_Competency_to_Proceed_(Rule_20.01)_2021-07-19_20251126183316.zip","MCRO_27-CR-21-13146_Order-Evaluation_for_Competency_to_Proceed_(Rule_20.01)_2021-07-19_20251126183316.zip")</f>
        <v>MCRO_27-CR-21-13146_Order-Evaluation_for_Competency_to_Proceed_(Rule_20.01)_2021-07-19_20251126183316.zip</v>
      </c>
    </row>
    <row r="201" customFormat="false" ht="18.7" hidden="false" customHeight="true" outlineLevel="0" collapsed="false">
      <c r="A201" s="1" t="n">
        <v>200</v>
      </c>
      <c r="B201" s="7" t="str">
        <f aca="false">HYPERLINK("https://mncourtfraud.com/file/27-CR-21-13146.pdf","27-CR-21-13146")</f>
        <v>27-CR-21-13146</v>
      </c>
      <c r="C201" s="1" t="n">
        <v>1</v>
      </c>
      <c r="D201" s="2" t="s">
        <v>12</v>
      </c>
      <c r="E201" s="8" t="n">
        <v>44405</v>
      </c>
      <c r="F201" s="2" t="s">
        <v>145</v>
      </c>
      <c r="G201" s="7" t="str">
        <f aca="false">HYPERLINK("https://mncourtfraud.com/file/MCRO_27-CR-21-13146_Demand or Request for Discovery_2021-07-28_20251126183146.pdf","MCRO_27-CR-21-13146_Demand or Request for Discovery_2021-07-28_20251126183146.pdf")</f>
        <v>MCRO_27-CR-21-13146_Demand or Request for Discovery_2021-07-28_20251126183146.pdf</v>
      </c>
      <c r="H201" s="2" t="s">
        <v>221</v>
      </c>
      <c r="I201" s="7" t="str">
        <f aca="false">HYPERLINK("https://mncourtfraud.com/file/MCRO_27-CR-21-13146_Demand or Request for Discovery_2021-07-28_20251126183146.pdf.ots","MCRO_27-CR-21-13146_Demand or Request for Discovery_2021-07-28_20251126183146.pdf.ots")</f>
        <v>MCRO_27-CR-21-13146_Demand or Request for Discovery_2021-07-28_20251126183146.pdf.ots</v>
      </c>
      <c r="J201" s="7" t="str">
        <f aca="false">HYPERLINK("https://mncourtfraud.com/file/MCRO_27-CR-21-13146_Demand or Request for Discovery_2021-07-28_20251126183146_META.txt","MCRO_27-CR-21-13146_Demand or Request for Discovery_2021-07-28_20251126183146_META.txt")</f>
        <v>MCRO_27-CR-21-13146_Demand or Request for Discovery_2021-07-28_20251126183146_META.txt</v>
      </c>
      <c r="K201" s="7" t="str">
        <f aca="false">HYPERLINK("https://mncourtfraud.com/file/MCRO_27-CR-21-13146_Demand or Request for Discovery_2021-07-28_20251126183146_PDFSIGS.txt","MCRO_27-CR-21-13146_Demand or Request for Discovery_2021-07-28_20251126183146_PDFSIGS.txt")</f>
        <v>MCRO_27-CR-21-13146_Demand or Request for Discovery_2021-07-28_20251126183146_PDFSIGS.txt</v>
      </c>
      <c r="L201" s="7" t="str">
        <f aca="false">HYPERLINK("https://mncourtfraud.com/file/MCRO_27-CR-21-13146_Demand_or_Request_for_Discovery_2021-07-28_20251126183146.zip","MCRO_27-CR-21-13146_Demand_or_Request_for_Discovery_2021-07-28_20251126183146.zip")</f>
        <v>MCRO_27-CR-21-13146_Demand_or_Request_for_Discovery_2021-07-28_20251126183146.zip</v>
      </c>
    </row>
    <row r="202" customFormat="false" ht="18.7" hidden="false" customHeight="true" outlineLevel="0" collapsed="false">
      <c r="A202" s="1" t="n">
        <v>201</v>
      </c>
      <c r="B202" s="7" t="str">
        <f aca="false">HYPERLINK("https://mncourtfraud.com/file/27-CR-21-13146.pdf","27-CR-21-13146")</f>
        <v>27-CR-21-13146</v>
      </c>
      <c r="C202" s="1" t="n">
        <v>1</v>
      </c>
      <c r="D202" s="2" t="s">
        <v>12</v>
      </c>
      <c r="E202" s="8" t="n">
        <v>44439</v>
      </c>
      <c r="F202" s="2" t="s">
        <v>19</v>
      </c>
      <c r="G202" s="7" t="str">
        <f aca="false">HYPERLINK("https://mncourtfraud.com/file/MCRO_27-CR-21-13146_Findings and Order_2021-08-31_20251126183219.pdf","MCRO_27-CR-21-13146_Findings and Order_2021-08-31_20251126183219.pdf")</f>
        <v>MCRO_27-CR-21-13146_Findings and Order_2021-08-31_20251126183219.pdf</v>
      </c>
      <c r="H202" s="2" t="s">
        <v>222</v>
      </c>
      <c r="I202" s="7" t="str">
        <f aca="false">HYPERLINK("https://mncourtfraud.com/file/MCRO_27-CR-21-13146_Findings and Order_2021-08-31_20251126183219.pdf.ots","MCRO_27-CR-21-13146_Findings and Order_2021-08-31_20251126183219.pdf.ots")</f>
        <v>MCRO_27-CR-21-13146_Findings and Order_2021-08-31_20251126183219.pdf.ots</v>
      </c>
      <c r="J202" s="7" t="str">
        <f aca="false">HYPERLINK("https://mncourtfraud.com/file/MCRO_27-CR-21-13146_Findings and Order_2021-08-31_20251126183219_META.txt","MCRO_27-CR-21-13146_Findings and Order_2021-08-31_20251126183219_META.txt")</f>
        <v>MCRO_27-CR-21-13146_Findings and Order_2021-08-31_20251126183219_META.txt</v>
      </c>
      <c r="K202" s="7" t="str">
        <f aca="false">HYPERLINK("https://mncourtfraud.com/file/MCRO_27-CR-21-13146_Findings and Order_2021-08-31_20251126183219_PDFSIGS.txt","MCRO_27-CR-21-13146_Findings and Order_2021-08-31_20251126183219_PDFSIGS.txt")</f>
        <v>MCRO_27-CR-21-13146_Findings and Order_2021-08-31_20251126183219_PDFSIGS.txt</v>
      </c>
      <c r="L202" s="7" t="str">
        <f aca="false">HYPERLINK("https://mncourtfraud.com/file/MCRO_27-CR-21-13146_Findings_and_Order_2021-08-31_20251126183219.zip","MCRO_27-CR-21-13146_Findings_and_Order_2021-08-31_20251126183219.zip")</f>
        <v>MCRO_27-CR-21-13146_Findings_and_Order_2021-08-31_20251126183219.zip</v>
      </c>
    </row>
    <row r="203" customFormat="false" ht="18.7" hidden="false" customHeight="true" outlineLevel="0" collapsed="false">
      <c r="A203" s="1" t="n">
        <v>202</v>
      </c>
      <c r="B203" s="7" t="str">
        <f aca="false">HYPERLINK("https://mncourtfraud.com/file/27-CR-21-13146.pdf","27-CR-21-13146")</f>
        <v>27-CR-21-13146</v>
      </c>
      <c r="C203" s="1" t="n">
        <v>1</v>
      </c>
      <c r="D203" s="2" t="s">
        <v>12</v>
      </c>
      <c r="E203" s="8" t="n">
        <v>44460</v>
      </c>
      <c r="F203" s="2" t="s">
        <v>24</v>
      </c>
      <c r="G203" s="7" t="str">
        <f aca="false">HYPERLINK("https://mncourtfraud.com/file/MCRO_27-CR-21-13146_Order for Conditional Release_2021-09-21_20251126183258.pdf","MCRO_27-CR-21-13146_Order for Conditional Release_2021-09-21_20251126183258.pdf")</f>
        <v>MCRO_27-CR-21-13146_Order for Conditional Release_2021-09-21_20251126183258.pdf</v>
      </c>
      <c r="H203" s="2" t="s">
        <v>223</v>
      </c>
      <c r="I203" s="7" t="str">
        <f aca="false">HYPERLINK("https://mncourtfraud.com/file/MCRO_27-CR-21-13146_Order for Conditional Release_2021-09-21_20251126183258.pdf.ots","MCRO_27-CR-21-13146_Order for Conditional Release_2021-09-21_20251126183258.pdf.ots")</f>
        <v>MCRO_27-CR-21-13146_Order for Conditional Release_2021-09-21_20251126183258.pdf.ots</v>
      </c>
      <c r="J203" s="7" t="str">
        <f aca="false">HYPERLINK("https://mncourtfraud.com/file/MCRO_27-CR-21-13146_Order for Conditional Release_2021-09-21_20251126183258_META.txt","MCRO_27-CR-21-13146_Order for Conditional Release_2021-09-21_20251126183258_META.txt")</f>
        <v>MCRO_27-CR-21-13146_Order for Conditional Release_2021-09-21_20251126183258_META.txt</v>
      </c>
      <c r="K203" s="7" t="str">
        <f aca="false">HYPERLINK("https://mncourtfraud.com/file/MCRO_27-CR-21-13146_Order for Conditional Release_2021-09-21_20251126183258_PDFSIGS.txt","MCRO_27-CR-21-13146_Order for Conditional Release_2021-09-21_20251126183258_PDFSIGS.txt")</f>
        <v>MCRO_27-CR-21-13146_Order for Conditional Release_2021-09-21_20251126183258_PDFSIGS.txt</v>
      </c>
      <c r="L203" s="7" t="str">
        <f aca="false">HYPERLINK("https://mncourtfraud.com/file/MCRO_27-CR-21-13146_Order_for_Conditional_Release_2021-09-21_20251126183258.zip","MCRO_27-CR-21-13146_Order_for_Conditional_Release_2021-09-21_20251126183258.zip")</f>
        <v>MCRO_27-CR-21-13146_Order_for_Conditional_Release_2021-09-21_20251126183258.zip</v>
      </c>
    </row>
    <row r="204" customFormat="false" ht="18.7" hidden="false" customHeight="true" outlineLevel="0" collapsed="false">
      <c r="A204" s="1" t="n">
        <v>203</v>
      </c>
      <c r="B204" s="7" t="str">
        <f aca="false">HYPERLINK("https://mncourtfraud.com/file/27-CR-21-13146.pdf","27-CR-21-13146")</f>
        <v>27-CR-21-13146</v>
      </c>
      <c r="C204" s="1" t="n">
        <v>1</v>
      </c>
      <c r="D204" s="2" t="s">
        <v>12</v>
      </c>
      <c r="E204" s="8" t="n">
        <v>44468</v>
      </c>
      <c r="F204" s="2" t="s">
        <v>24</v>
      </c>
      <c r="G204" s="7" t="str">
        <f aca="false">HYPERLINK("https://mncourtfraud.com/file/MCRO_27-CR-21-13146_Order for Conditional Release_2021-09-29_20251126183304.pdf","MCRO_27-CR-21-13146_Order for Conditional Release_2021-09-29_20251126183304.pdf")</f>
        <v>MCRO_27-CR-21-13146_Order for Conditional Release_2021-09-29_20251126183304.pdf</v>
      </c>
      <c r="H204" s="2" t="s">
        <v>224</v>
      </c>
      <c r="I204" s="7" t="str">
        <f aca="false">HYPERLINK("https://mncourtfraud.com/file/MCRO_27-CR-21-13146_Order for Conditional Release_2021-09-29_20251126183304.pdf.ots","MCRO_27-CR-21-13146_Order for Conditional Release_2021-09-29_20251126183304.pdf.ots")</f>
        <v>MCRO_27-CR-21-13146_Order for Conditional Release_2021-09-29_20251126183304.pdf.ots</v>
      </c>
      <c r="J204" s="7" t="str">
        <f aca="false">HYPERLINK("https://mncourtfraud.com/file/MCRO_27-CR-21-13146_Order for Conditional Release_2021-09-29_20251126183304_META.txt","MCRO_27-CR-21-13146_Order for Conditional Release_2021-09-29_20251126183304_META.txt")</f>
        <v>MCRO_27-CR-21-13146_Order for Conditional Release_2021-09-29_20251126183304_META.txt</v>
      </c>
      <c r="K204" s="7" t="str">
        <f aca="false">HYPERLINK("https://mncourtfraud.com/file/MCRO_27-CR-21-13146_Order for Conditional Release_2021-09-29_20251126183304_PDFSIGS.txt","MCRO_27-CR-21-13146_Order for Conditional Release_2021-09-29_20251126183304_PDFSIGS.txt")</f>
        <v>MCRO_27-CR-21-13146_Order for Conditional Release_2021-09-29_20251126183304_PDFSIGS.txt</v>
      </c>
      <c r="L204" s="7" t="str">
        <f aca="false">HYPERLINK("https://mncourtfraud.com/file/MCRO_27-CR-21-13146_Order_for_Conditional_Release_2021-09-29_20251126183304.zip","MCRO_27-CR-21-13146_Order_for_Conditional_Release_2021-09-29_20251126183304.zip")</f>
        <v>MCRO_27-CR-21-13146_Order_for_Conditional_Release_2021-09-29_20251126183304.zip</v>
      </c>
    </row>
    <row r="205" customFormat="false" ht="18.7" hidden="false" customHeight="true" outlineLevel="0" collapsed="false">
      <c r="A205" s="1" t="n">
        <v>204</v>
      </c>
      <c r="B205" s="7" t="str">
        <f aca="false">HYPERLINK("https://mncourtfraud.com/file/27-CR-21-13146.pdf","27-CR-21-13146")</f>
        <v>27-CR-21-13146</v>
      </c>
      <c r="C205" s="1" t="n">
        <v>1</v>
      </c>
      <c r="D205" s="2" t="s">
        <v>12</v>
      </c>
      <c r="E205" s="8" t="n">
        <v>44543</v>
      </c>
      <c r="F205" s="2" t="s">
        <v>15</v>
      </c>
      <c r="G205" s="7" t="str">
        <f aca="false">HYPERLINK("https://mncourtfraud.com/file/MCRO_27-CR-21-13146_Order-Evaluation for Competency to Proceed (Rule 20.01)_2021-12-13_20251126183322.pdf","MCRO_27-CR-21-13146_Order-Evaluation for Competency to Proceed (Rule 20.01)_2021-12-13_20251126183322.pdf")</f>
        <v>MCRO_27-CR-21-13146_Order-Evaluation for Competency to Proceed (Rule 20.01)_2021-12-13_20251126183322.pdf</v>
      </c>
      <c r="H205" s="2" t="s">
        <v>225</v>
      </c>
      <c r="I205" s="7" t="str">
        <f aca="false">HYPERLINK("https://mncourtfraud.com/file/MCRO_27-CR-21-13146_Order-Evaluation for Competency to Proceed (Rule 20.01)_2021-12-13_20251126183322.pdf.ots","MCRO_27-CR-21-13146_Order-Evaluation for Competency to Proceed (Rule 20.01)_2021-12-13_20251126183322.pdf.ots")</f>
        <v>MCRO_27-CR-21-13146_Order-Evaluation for Competency to Proceed (Rule 20.01)_2021-12-13_20251126183322.pdf.ots</v>
      </c>
      <c r="J205" s="7" t="str">
        <f aca="false">HYPERLINK("https://mncourtfraud.com/file/MCRO_27-CR-21-13146_Order-Evaluation for Competency to Proceed (Rule 20.01)_2021-12-13_20251126183322_META.txt","MCRO_27-CR-21-13146_Order-Evaluation for Competency to Proceed (Rule 20.01)_2021-12-13_20251126183322_META.txt")</f>
        <v>MCRO_27-CR-21-13146_Order-Evaluation for Competency to Proceed (Rule 20.01)_2021-12-13_20251126183322_META.txt</v>
      </c>
      <c r="K205" s="7" t="str">
        <f aca="false">HYPERLINK("https://mncourtfraud.com/file/MCRO_27-CR-21-13146_Order-Evaluation for Competency to Proceed (Rule 20.01)_2021-12-13_20251126183322_PDFSIGS.txt","MCRO_27-CR-21-13146_Order-Evaluation for Competency to Proceed (Rule 20.01)_2021-12-13_20251126183322_PDFSIGS.txt")</f>
        <v>MCRO_27-CR-21-13146_Order-Evaluation for Competency to Proceed (Rule 20.01)_2021-12-13_20251126183322_PDFSIGS.txt</v>
      </c>
      <c r="L205" s="7" t="str">
        <f aca="false">HYPERLINK("https://mncourtfraud.com/file/MCRO_27-CR-21-13146_Order-Evaluation_for_Competency_to_Proceed_(Rule_20.01)_2021-12-13_20251126183322.zip","MCRO_27-CR-21-13146_Order-Evaluation_for_Competency_to_Proceed_(Rule_20.01)_2021-12-13_20251126183322.zip")</f>
        <v>MCRO_27-CR-21-13146_Order-Evaluation_for_Competency_to_Proceed_(Rule_20.01)_2021-12-13_20251126183322.zip</v>
      </c>
    </row>
    <row r="206" customFormat="false" ht="18.7" hidden="false" customHeight="true" outlineLevel="0" collapsed="false">
      <c r="A206" s="1" t="n">
        <v>205</v>
      </c>
      <c r="B206" s="7" t="str">
        <f aca="false">HYPERLINK("https://mncourtfraud.com/file/27-CR-21-13146.pdf","27-CR-21-13146")</f>
        <v>27-CR-21-13146</v>
      </c>
      <c r="C206" s="1" t="n">
        <v>1</v>
      </c>
      <c r="D206" s="2" t="s">
        <v>12</v>
      </c>
      <c r="E206" s="8" t="n">
        <v>44558</v>
      </c>
      <c r="F206" s="2" t="s">
        <v>15</v>
      </c>
      <c r="G206" s="7" t="str">
        <f aca="false">HYPERLINK("https://mncourtfraud.com/file/MCRO_27-CR-21-13146_Order-Evaluation for Competency to Proceed (Rule 20.01)_2021-12-28_20251126183331.pdf","MCRO_27-CR-21-13146_Order-Evaluation for Competency to Proceed (Rule 20.01)_2021-12-28_20251126183331.pdf")</f>
        <v>MCRO_27-CR-21-13146_Order-Evaluation for Competency to Proceed (Rule 20.01)_2021-12-28_20251126183331.pdf</v>
      </c>
      <c r="H206" s="2" t="s">
        <v>226</v>
      </c>
      <c r="I206" s="7" t="str">
        <f aca="false">HYPERLINK("https://mncourtfraud.com/file/MCRO_27-CR-21-13146_Order-Evaluation for Competency to Proceed (Rule 20.01)_2021-12-28_20251126183331.pdf.ots","MCRO_27-CR-21-13146_Order-Evaluation for Competency to Proceed (Rule 20.01)_2021-12-28_20251126183331.pdf.ots")</f>
        <v>MCRO_27-CR-21-13146_Order-Evaluation for Competency to Proceed (Rule 20.01)_2021-12-28_20251126183331.pdf.ots</v>
      </c>
      <c r="J206" s="7" t="str">
        <f aca="false">HYPERLINK("https://mncourtfraud.com/file/MCRO_27-CR-21-13146_Order-Evaluation for Competency to Proceed (Rule 20.01)_2021-12-28_20251126183331_META.txt","MCRO_27-CR-21-13146_Order-Evaluation for Competency to Proceed (Rule 20.01)_2021-12-28_20251126183331_META.txt")</f>
        <v>MCRO_27-CR-21-13146_Order-Evaluation for Competency to Proceed (Rule 20.01)_2021-12-28_20251126183331_META.txt</v>
      </c>
      <c r="K206" s="7" t="str">
        <f aca="false">HYPERLINK("https://mncourtfraud.com/file/MCRO_27-CR-21-13146_Order-Evaluation for Competency to Proceed (Rule 20.01)_2021-12-28_20251126183331_PDFSIGS.txt","MCRO_27-CR-21-13146_Order-Evaluation for Competency to Proceed (Rule 20.01)_2021-12-28_20251126183331_PDFSIGS.txt")</f>
        <v>MCRO_27-CR-21-13146_Order-Evaluation for Competency to Proceed (Rule 20.01)_2021-12-28_20251126183331_PDFSIGS.txt</v>
      </c>
      <c r="L206" s="7" t="str">
        <f aca="false">HYPERLINK("https://mncourtfraud.com/file/MCRO_27-CR-21-13146_Order-Evaluation_for_Competency_to_Proceed_(Rule_20.01)_2021-12-28_20251126183331.zip","MCRO_27-CR-21-13146_Order-Evaluation_for_Competency_to_Proceed_(Rule_20.01)_2021-12-28_20251126183331.zip")</f>
        <v>MCRO_27-CR-21-13146_Order-Evaluation_for_Competency_to_Proceed_(Rule_20.01)_2021-12-28_20251126183331.zip</v>
      </c>
    </row>
    <row r="207" customFormat="false" ht="18.7" hidden="false" customHeight="true" outlineLevel="0" collapsed="false">
      <c r="A207" s="1" t="n">
        <v>206</v>
      </c>
      <c r="B207" s="7" t="str">
        <f aca="false">HYPERLINK("https://mncourtfraud.com/file/27-CR-21-13146.pdf","27-CR-21-13146")</f>
        <v>27-CR-21-13146</v>
      </c>
      <c r="C207" s="1" t="n">
        <v>1</v>
      </c>
      <c r="D207" s="2" t="s">
        <v>12</v>
      </c>
      <c r="E207" s="8" t="n">
        <v>44593</v>
      </c>
      <c r="F207" s="2" t="s">
        <v>19</v>
      </c>
      <c r="G207" s="7" t="str">
        <f aca="false">HYPERLINK("https://mncourtfraud.com/file/MCRO_27-CR-21-13146_Findings and Order_2022-02-01_20251126183209.pdf","MCRO_27-CR-21-13146_Findings and Order_2022-02-01_20251126183209.pdf")</f>
        <v>MCRO_27-CR-21-13146_Findings and Order_2022-02-01_20251126183209.pdf</v>
      </c>
      <c r="H207" s="2" t="s">
        <v>227</v>
      </c>
      <c r="I207" s="7" t="str">
        <f aca="false">HYPERLINK("https://mncourtfraud.com/file/MCRO_27-CR-21-13146_Findings and Order_2022-02-01_20251126183209.pdf.ots","MCRO_27-CR-21-13146_Findings and Order_2022-02-01_20251126183209.pdf.ots")</f>
        <v>MCRO_27-CR-21-13146_Findings and Order_2022-02-01_20251126183209.pdf.ots</v>
      </c>
      <c r="J207" s="7" t="str">
        <f aca="false">HYPERLINK("https://mncourtfraud.com/file/MCRO_27-CR-21-13146_Findings and Order_2022-02-01_20251126183209_META.txt","MCRO_27-CR-21-13146_Findings and Order_2022-02-01_20251126183209_META.txt")</f>
        <v>MCRO_27-CR-21-13146_Findings and Order_2022-02-01_20251126183209_META.txt</v>
      </c>
      <c r="K207" s="7" t="str">
        <f aca="false">HYPERLINK("https://mncourtfraud.com/file/MCRO_27-CR-21-13146_Findings and Order_2022-02-01_20251126183209_PDFSIGS.txt","MCRO_27-CR-21-13146_Findings and Order_2022-02-01_20251126183209_PDFSIGS.txt")</f>
        <v>MCRO_27-CR-21-13146_Findings and Order_2022-02-01_20251126183209_PDFSIGS.txt</v>
      </c>
      <c r="L207" s="7" t="str">
        <f aca="false">HYPERLINK("https://mncourtfraud.com/file/MCRO_27-CR-21-13146_Findings_and_Order_2022-02-01_20251126183209.zip","MCRO_27-CR-21-13146_Findings_and_Order_2022-02-01_20251126183209.zip")</f>
        <v>MCRO_27-CR-21-13146_Findings_and_Order_2022-02-01_20251126183209.zip</v>
      </c>
    </row>
    <row r="208" customFormat="false" ht="18.7" hidden="false" customHeight="true" outlineLevel="0" collapsed="false">
      <c r="A208" s="1" t="n">
        <v>207</v>
      </c>
      <c r="B208" s="7" t="str">
        <f aca="false">HYPERLINK("https://mncourtfraud.com/file/27-CR-21-13146.pdf","27-CR-21-13146")</f>
        <v>27-CR-21-13146</v>
      </c>
      <c r="C208" s="1" t="n">
        <v>1</v>
      </c>
      <c r="D208" s="2" t="s">
        <v>12</v>
      </c>
      <c r="E208" s="8" t="n">
        <v>44692</v>
      </c>
      <c r="F208" s="2" t="s">
        <v>15</v>
      </c>
      <c r="G208" s="7" t="str">
        <f aca="false">HYPERLINK("https://mncourtfraud.com/file/MCRO_27-CR-21-13146_Order-Evaluation for Competency to Proceed (Rule 20.01)_2022-05-11_20251126183340.pdf","MCRO_27-CR-21-13146_Order-Evaluation for Competency to Proceed (Rule 20.01)_2022-05-11_20251126183340.pdf")</f>
        <v>MCRO_27-CR-21-13146_Order-Evaluation for Competency to Proceed (Rule 20.01)_2022-05-11_20251126183340.pdf</v>
      </c>
      <c r="H208" s="2" t="s">
        <v>228</v>
      </c>
      <c r="I208" s="7" t="str">
        <f aca="false">HYPERLINK("https://mncourtfraud.com/file/MCRO_27-CR-21-13146_Order-Evaluation for Competency to Proceed (Rule 20.01)_2022-05-11_20251126183340.pdf.ots","MCRO_27-CR-21-13146_Order-Evaluation for Competency to Proceed (Rule 20.01)_2022-05-11_20251126183340.pdf.ots")</f>
        <v>MCRO_27-CR-21-13146_Order-Evaluation for Competency to Proceed (Rule 20.01)_2022-05-11_20251126183340.pdf.ots</v>
      </c>
      <c r="J208" s="7" t="str">
        <f aca="false">HYPERLINK("https://mncourtfraud.com/file/MCRO_27-CR-21-13146_Order-Evaluation for Competency to Proceed (Rule 20.01)_2022-05-11_20251126183340_META.txt","MCRO_27-CR-21-13146_Order-Evaluation for Competency to Proceed (Rule 20.01)_2022-05-11_20251126183340_META.txt")</f>
        <v>MCRO_27-CR-21-13146_Order-Evaluation for Competency to Proceed (Rule 20.01)_2022-05-11_20251126183340_META.txt</v>
      </c>
      <c r="K208" s="7" t="str">
        <f aca="false">HYPERLINK("https://mncourtfraud.com/file/MCRO_27-CR-21-13146_Order-Evaluation for Competency to Proceed (Rule 20.01)_2022-05-11_20251126183340_PDFSIGS.txt","MCRO_27-CR-21-13146_Order-Evaluation for Competency to Proceed (Rule 20.01)_2022-05-11_20251126183340_PDFSIGS.txt")</f>
        <v>MCRO_27-CR-21-13146_Order-Evaluation for Competency to Proceed (Rule 20.01)_2022-05-11_20251126183340_PDFSIGS.txt</v>
      </c>
      <c r="L208" s="7" t="str">
        <f aca="false">HYPERLINK("https://mncourtfraud.com/file/MCRO_27-CR-21-13146_Order-Evaluation_for_Competency_to_Proceed_(Rule_20.01)_2022-05-11_20251126183340.zip","MCRO_27-CR-21-13146_Order-Evaluation_for_Competency_to_Proceed_(Rule_20.01)_2022-05-11_20251126183340.zip")</f>
        <v>MCRO_27-CR-21-13146_Order-Evaluation_for_Competency_to_Proceed_(Rule_20.01)_2022-05-11_20251126183340.zip</v>
      </c>
    </row>
    <row r="209" customFormat="false" ht="18.7" hidden="false" customHeight="true" outlineLevel="0" collapsed="false">
      <c r="A209" s="1" t="n">
        <v>208</v>
      </c>
      <c r="B209" s="7" t="str">
        <f aca="false">HYPERLINK("https://mncourtfraud.com/file/27-CR-21-13146.pdf","27-CR-21-13146")</f>
        <v>27-CR-21-13146</v>
      </c>
      <c r="C209" s="1" t="n">
        <v>1</v>
      </c>
      <c r="D209" s="2" t="s">
        <v>12</v>
      </c>
      <c r="E209" s="8" t="n">
        <v>44895</v>
      </c>
      <c r="F209" s="2" t="s">
        <v>15</v>
      </c>
      <c r="G209" s="7" t="str">
        <f aca="false">HYPERLINK("https://mncourtfraud.com/file/MCRO_27-CR-21-13146_Order-Evaluation for Competency to Proceed (Rule 20.01)_2022-11-30_20251126183348.pdf","MCRO_27-CR-21-13146_Order-Evaluation for Competency to Proceed (Rule 20.01)_2022-11-30_20251126183348.pdf")</f>
        <v>MCRO_27-CR-21-13146_Order-Evaluation for Competency to Proceed (Rule 20.01)_2022-11-30_20251126183348.pdf</v>
      </c>
      <c r="H209" s="2" t="s">
        <v>229</v>
      </c>
      <c r="I209" s="7" t="str">
        <f aca="false">HYPERLINK("https://mncourtfraud.com/file/MCRO_27-CR-21-13146_Order-Evaluation for Competency to Proceed (Rule 20.01)_2022-11-30_20251126183348.pdf.ots","MCRO_27-CR-21-13146_Order-Evaluation for Competency to Proceed (Rule 20.01)_2022-11-30_20251126183348.pdf.ots")</f>
        <v>MCRO_27-CR-21-13146_Order-Evaluation for Competency to Proceed (Rule 20.01)_2022-11-30_20251126183348.pdf.ots</v>
      </c>
      <c r="J209" s="7" t="str">
        <f aca="false">HYPERLINK("https://mncourtfraud.com/file/MCRO_27-CR-21-13146_Order-Evaluation for Competency to Proceed (Rule 20.01)_2022-11-30_20251126183348_META.txt","MCRO_27-CR-21-13146_Order-Evaluation for Competency to Proceed (Rule 20.01)_2022-11-30_20251126183348_META.txt")</f>
        <v>MCRO_27-CR-21-13146_Order-Evaluation for Competency to Proceed (Rule 20.01)_2022-11-30_20251126183348_META.txt</v>
      </c>
      <c r="K209" s="7" t="str">
        <f aca="false">HYPERLINK("https://mncourtfraud.com/file/MCRO_27-CR-21-13146_Order-Evaluation for Competency to Proceed (Rule 20.01)_2022-11-30_20251126183348_PDFSIGS.txt","MCRO_27-CR-21-13146_Order-Evaluation for Competency to Proceed (Rule 20.01)_2022-11-30_20251126183348_PDFSIGS.txt")</f>
        <v>MCRO_27-CR-21-13146_Order-Evaluation for Competency to Proceed (Rule 20.01)_2022-11-30_20251126183348_PDFSIGS.txt</v>
      </c>
      <c r="L209" s="7" t="str">
        <f aca="false">HYPERLINK("https://mncourtfraud.com/file/MCRO_27-CR-21-13146_Order-Evaluation_for_Competency_to_Proceed_(Rule_20.01)_2022-11-30_20251126183348.zip","MCRO_27-CR-21-13146_Order-Evaluation_for_Competency_to_Proceed_(Rule_20.01)_2022-11-30_20251126183348.zip")</f>
        <v>MCRO_27-CR-21-13146_Order-Evaluation_for_Competency_to_Proceed_(Rule_20.01)_2022-11-30_20251126183348.zip</v>
      </c>
    </row>
    <row r="210" customFormat="false" ht="18.7" hidden="false" customHeight="true" outlineLevel="0" collapsed="false">
      <c r="A210" s="1" t="n">
        <v>209</v>
      </c>
      <c r="B210" s="7" t="str">
        <f aca="false">HYPERLINK("https://mncourtfraud.com/file/27-CR-21-13146.pdf","27-CR-21-13146")</f>
        <v>27-CR-21-13146</v>
      </c>
      <c r="C210" s="1" t="n">
        <v>1</v>
      </c>
      <c r="D210" s="2" t="s">
        <v>12</v>
      </c>
      <c r="E210" s="8" t="n">
        <v>44999</v>
      </c>
      <c r="F210" s="2" t="s">
        <v>17</v>
      </c>
      <c r="G210" s="7" t="str">
        <f aca="false">HYPERLINK("https://mncourtfraud.com/file/MCRO_27-CR-21-13146_Returned Mail_2023-03-14_20251126183418.pdf","MCRO_27-CR-21-13146_Returned Mail_2023-03-14_20251126183418.pdf")</f>
        <v>MCRO_27-CR-21-13146_Returned Mail_2023-03-14_20251126183418.pdf</v>
      </c>
      <c r="H210" s="2" t="s">
        <v>230</v>
      </c>
      <c r="I210" s="7" t="str">
        <f aca="false">HYPERLINK("https://mncourtfraud.com/file/MCRO_27-CR-21-13146_Returned Mail_2023-03-14_20251126183418.pdf.ots","MCRO_27-CR-21-13146_Returned Mail_2023-03-14_20251126183418.pdf.ots")</f>
        <v>MCRO_27-CR-21-13146_Returned Mail_2023-03-14_20251126183418.pdf.ots</v>
      </c>
      <c r="J210" s="7" t="str">
        <f aca="false">HYPERLINK("https://mncourtfraud.com/file/MCRO_27-CR-21-13146_Returned Mail_2023-03-14_20251126183418_META.txt","MCRO_27-CR-21-13146_Returned Mail_2023-03-14_20251126183418_META.txt")</f>
        <v>MCRO_27-CR-21-13146_Returned Mail_2023-03-14_20251126183418_META.txt</v>
      </c>
      <c r="K210" s="7" t="str">
        <f aca="false">HYPERLINK("https://mncourtfraud.com/file/MCRO_27-CR-21-13146_Returned Mail_2023-03-14_20251126183418_PDFSIGS.txt","MCRO_27-CR-21-13146_Returned Mail_2023-03-14_20251126183418_PDFSIGS.txt")</f>
        <v>MCRO_27-CR-21-13146_Returned Mail_2023-03-14_20251126183418_PDFSIGS.txt</v>
      </c>
      <c r="L210" s="7" t="str">
        <f aca="false">HYPERLINK("https://mncourtfraud.com/file/MCRO_27-CR-21-13146_Returned_Mail_2023-03-14_20251126183418.zip","MCRO_27-CR-21-13146_Returned_Mail_2023-03-14_20251126183418.zip")</f>
        <v>MCRO_27-CR-21-13146_Returned_Mail_2023-03-14_20251126183418.zip</v>
      </c>
    </row>
    <row r="211" customFormat="false" ht="18.7" hidden="false" customHeight="true" outlineLevel="0" collapsed="false">
      <c r="A211" s="1" t="n">
        <v>210</v>
      </c>
      <c r="B211" s="7" t="str">
        <f aca="false">HYPERLINK("https://mncourtfraud.com/file/27-CR-21-13146.pdf","27-CR-21-13146")</f>
        <v>27-CR-21-13146</v>
      </c>
      <c r="C211" s="1" t="n">
        <v>1</v>
      </c>
      <c r="D211" s="2" t="s">
        <v>12</v>
      </c>
      <c r="E211" s="8" t="n">
        <v>45048</v>
      </c>
      <c r="F211" s="2" t="s">
        <v>80</v>
      </c>
      <c r="G211" s="7" t="str">
        <f aca="false">HYPERLINK("https://mncourtfraud.com/file/MCRO_27-CR-21-13146_Finding of Incompetency and Order_2023-05-02_20251126183156.pdf","MCRO_27-CR-21-13146_Finding of Incompetency and Order_2023-05-02_20251126183156.pdf")</f>
        <v>MCRO_27-CR-21-13146_Finding of Incompetency and Order_2023-05-02_20251126183156.pdf</v>
      </c>
      <c r="H211" s="2" t="s">
        <v>231</v>
      </c>
      <c r="I211" s="7" t="str">
        <f aca="false">HYPERLINK("https://mncourtfraud.com/file/MCRO_27-CR-21-13146_Finding of Incompetency and Order_2023-05-02_20251126183156.pdf.ots","MCRO_27-CR-21-13146_Finding of Incompetency and Order_2023-05-02_20251126183156.pdf.ots")</f>
        <v>MCRO_27-CR-21-13146_Finding of Incompetency and Order_2023-05-02_20251126183156.pdf.ots</v>
      </c>
      <c r="J211" s="7" t="str">
        <f aca="false">HYPERLINK("https://mncourtfraud.com/file/MCRO_27-CR-21-13146_Finding of Incompetency and Order_2023-05-02_20251126183156_META.txt","MCRO_27-CR-21-13146_Finding of Incompetency and Order_2023-05-02_20251126183156_META.txt")</f>
        <v>MCRO_27-CR-21-13146_Finding of Incompetency and Order_2023-05-02_20251126183156_META.txt</v>
      </c>
      <c r="K211" s="7" t="str">
        <f aca="false">HYPERLINK("https://mncourtfraud.com/file/MCRO_27-CR-21-13146_Finding of Incompetency and Order_2023-05-02_20251126183156_PDFSIGS.txt","MCRO_27-CR-21-13146_Finding of Incompetency and Order_2023-05-02_20251126183156_PDFSIGS.txt")</f>
        <v>MCRO_27-CR-21-13146_Finding of Incompetency and Order_2023-05-02_20251126183156_PDFSIGS.txt</v>
      </c>
      <c r="L211" s="7" t="str">
        <f aca="false">HYPERLINK("https://mncourtfraud.com/file/MCRO_27-CR-21-13146_Finding_of_Incompetency_and_Order_2023-05-02_20251126183156.zip","MCRO_27-CR-21-13146_Finding_of_Incompetency_and_Order_2023-05-02_20251126183156.zip")</f>
        <v>MCRO_27-CR-21-13146_Finding_of_Incompetency_and_Order_2023-05-02_20251126183156.zip</v>
      </c>
    </row>
    <row r="212" customFormat="false" ht="18.7" hidden="false" customHeight="true" outlineLevel="0" collapsed="false">
      <c r="A212" s="1" t="n">
        <v>211</v>
      </c>
      <c r="B212" s="7" t="str">
        <f aca="false">HYPERLINK("https://mncourtfraud.com/file/27-CR-21-13146.pdf","27-CR-21-13146")</f>
        <v>27-CR-21-13146</v>
      </c>
      <c r="C212" s="1" t="n">
        <v>1</v>
      </c>
      <c r="D212" s="2" t="s">
        <v>12</v>
      </c>
      <c r="E212" s="8" t="n">
        <v>45093</v>
      </c>
      <c r="F212" s="2" t="s">
        <v>82</v>
      </c>
      <c r="G212" s="7" t="str">
        <f aca="false">HYPERLINK("https://mncourtfraud.com/file/MCRO_27-CR-21-13146_Notice of Case Reassignment_2023-06-16_20251126183231.pdf","MCRO_27-CR-21-13146_Notice of Case Reassignment_2023-06-16_20251126183231.pdf")</f>
        <v>MCRO_27-CR-21-13146_Notice of Case Reassignment_2023-06-16_20251126183231.pdf</v>
      </c>
      <c r="H212" s="2" t="s">
        <v>232</v>
      </c>
      <c r="I212" s="7" t="str">
        <f aca="false">HYPERLINK("https://mncourtfraud.com/file/MCRO_27-CR-21-13146_Notice of Case Reassignment_2023-06-16_20251126183231.pdf.ots","MCRO_27-CR-21-13146_Notice of Case Reassignment_2023-06-16_20251126183231.pdf.ots")</f>
        <v>MCRO_27-CR-21-13146_Notice of Case Reassignment_2023-06-16_20251126183231.pdf.ots</v>
      </c>
      <c r="J212" s="7" t="str">
        <f aca="false">HYPERLINK("https://mncourtfraud.com/file/MCRO_27-CR-21-13146_Notice of Case Reassignment_2023-06-16_20251126183231_META.txt","MCRO_27-CR-21-13146_Notice of Case Reassignment_2023-06-16_20251126183231_META.txt")</f>
        <v>MCRO_27-CR-21-13146_Notice of Case Reassignment_2023-06-16_20251126183231_META.txt</v>
      </c>
      <c r="K212" s="7" t="str">
        <f aca="false">HYPERLINK("https://mncourtfraud.com/file/MCRO_27-CR-21-13146_Notice of Case Reassignment_2023-06-16_20251126183231_PDFSIGS.txt","MCRO_27-CR-21-13146_Notice of Case Reassignment_2023-06-16_20251126183231_PDFSIGS.txt")</f>
        <v>MCRO_27-CR-21-13146_Notice of Case Reassignment_2023-06-16_20251126183231_PDFSIGS.txt</v>
      </c>
      <c r="L212" s="7" t="str">
        <f aca="false">HYPERLINK("https://mncourtfraud.com/file/MCRO_27-CR-21-13146_Notice_of_Case_Reassignment_2023-06-16_20251126183231.zip","MCRO_27-CR-21-13146_Notice_of_Case_Reassignment_2023-06-16_20251126183231.zip")</f>
        <v>MCRO_27-CR-21-13146_Notice_of_Case_Reassignment_2023-06-16_20251126183231.zip</v>
      </c>
    </row>
    <row r="213" customFormat="false" ht="18.7" hidden="false" customHeight="true" outlineLevel="0" collapsed="false">
      <c r="A213" s="1" t="n">
        <v>212</v>
      </c>
      <c r="B213" s="7" t="str">
        <f aca="false">HYPERLINK("https://mncourtfraud.com/file/27-CR-21-13146.pdf","27-CR-21-13146")</f>
        <v>27-CR-21-13146</v>
      </c>
      <c r="C213" s="1" t="n">
        <v>1</v>
      </c>
      <c r="D213" s="2" t="s">
        <v>12</v>
      </c>
      <c r="E213" s="8" t="n">
        <v>45160</v>
      </c>
      <c r="F213" s="2" t="s">
        <v>15</v>
      </c>
      <c r="G213" s="7" t="str">
        <f aca="false">HYPERLINK("https://mncourtfraud.com/file/MCRO_27-CR-21-13146_Order-Evaluation for Competency to Proceed (Rule 20.01)_2023-08-22_20251126183356.pdf","MCRO_27-CR-21-13146_Order-Evaluation for Competency to Proceed (Rule 20.01)_2023-08-22_20251126183356.pdf")</f>
        <v>MCRO_27-CR-21-13146_Order-Evaluation for Competency to Proceed (Rule 20.01)_2023-08-22_20251126183356.pdf</v>
      </c>
      <c r="H213" s="2" t="s">
        <v>233</v>
      </c>
      <c r="I213" s="7" t="str">
        <f aca="false">HYPERLINK("https://mncourtfraud.com/file/MCRO_27-CR-21-13146_Order-Evaluation for Competency to Proceed (Rule 20.01)_2023-08-22_20251126183356.pdf.ots","MCRO_27-CR-21-13146_Order-Evaluation for Competency to Proceed (Rule 20.01)_2023-08-22_20251126183356.pdf.ots")</f>
        <v>MCRO_27-CR-21-13146_Order-Evaluation for Competency to Proceed (Rule 20.01)_2023-08-22_20251126183356.pdf.ots</v>
      </c>
      <c r="J213" s="7" t="str">
        <f aca="false">HYPERLINK("https://mncourtfraud.com/file/MCRO_27-CR-21-13146_Order-Evaluation for Competency to Proceed (Rule 20.01)_2023-08-22_20251126183356_META.txt","MCRO_27-CR-21-13146_Order-Evaluation for Competency to Proceed (Rule 20.01)_2023-08-22_20251126183356_META.txt")</f>
        <v>MCRO_27-CR-21-13146_Order-Evaluation for Competency to Proceed (Rule 20.01)_2023-08-22_20251126183356_META.txt</v>
      </c>
      <c r="K213" s="7" t="str">
        <f aca="false">HYPERLINK("https://mncourtfraud.com/file/MCRO_27-CR-21-13146_Order-Evaluation for Competency to Proceed (Rule 20.01)_2023-08-22_20251126183356_PDFSIGS.txt","MCRO_27-CR-21-13146_Order-Evaluation for Competency to Proceed (Rule 20.01)_2023-08-22_20251126183356_PDFSIGS.txt")</f>
        <v>MCRO_27-CR-21-13146_Order-Evaluation for Competency to Proceed (Rule 20.01)_2023-08-22_20251126183356_PDFSIGS.txt</v>
      </c>
      <c r="L213" s="7" t="str">
        <f aca="false">HYPERLINK("https://mncourtfraud.com/file/MCRO_27-CR-21-13146_Order-Evaluation_for_Competency_to_Proceed_(Rule_20.01)_2023-08-22_20251126183356.zip","MCRO_27-CR-21-13146_Order-Evaluation_for_Competency_to_Proceed_(Rule_20.01)_2023-08-22_20251126183356.zip")</f>
        <v>MCRO_27-CR-21-13146_Order-Evaluation_for_Competency_to_Proceed_(Rule_20.01)_2023-08-22_20251126183356.zip</v>
      </c>
    </row>
    <row r="214" customFormat="false" ht="18.7" hidden="false" customHeight="true" outlineLevel="0" collapsed="false">
      <c r="A214" s="1" t="n">
        <v>213</v>
      </c>
      <c r="B214" s="7" t="str">
        <f aca="false">HYPERLINK("https://mncourtfraud.com/file/27-CR-21-13146.pdf","27-CR-21-13146")</f>
        <v>27-CR-21-13146</v>
      </c>
      <c r="C214" s="1" t="n">
        <v>1</v>
      </c>
      <c r="D214" s="2" t="s">
        <v>12</v>
      </c>
      <c r="E214" s="8" t="n">
        <v>45412</v>
      </c>
      <c r="F214" s="2" t="s">
        <v>24</v>
      </c>
      <c r="G214" s="7" t="str">
        <f aca="false">HYPERLINK("https://mncourtfraud.com/file/MCRO_27-CR-21-13146_Order for Conditional Release_2024-04-30_20251126183251.pdf","MCRO_27-CR-21-13146_Order for Conditional Release_2024-04-30_20251126183251.pdf")</f>
        <v>MCRO_27-CR-21-13146_Order for Conditional Release_2024-04-30_20251126183251.pdf</v>
      </c>
      <c r="H214" s="2" t="s">
        <v>234</v>
      </c>
      <c r="I214" s="7" t="str">
        <f aca="false">HYPERLINK("https://mncourtfraud.com/file/MCRO_27-CR-21-13146_Order for Conditional Release_2024-04-30_20251126183251.pdf.ots","MCRO_27-CR-21-13146_Order for Conditional Release_2024-04-30_20251126183251.pdf.ots")</f>
        <v>MCRO_27-CR-21-13146_Order for Conditional Release_2024-04-30_20251126183251.pdf.ots</v>
      </c>
      <c r="J214" s="7" t="str">
        <f aca="false">HYPERLINK("https://mncourtfraud.com/file/MCRO_27-CR-21-13146_Order for Conditional Release_2024-04-30_20251126183251_META.txt","MCRO_27-CR-21-13146_Order for Conditional Release_2024-04-30_20251126183251_META.txt")</f>
        <v>MCRO_27-CR-21-13146_Order for Conditional Release_2024-04-30_20251126183251_META.txt</v>
      </c>
      <c r="K214" s="7" t="str">
        <f aca="false">HYPERLINK("https://mncourtfraud.com/file/MCRO_27-CR-21-13146_Order for Conditional Release_2024-04-30_20251126183251_PDFSIGS.txt","MCRO_27-CR-21-13146_Order for Conditional Release_2024-04-30_20251126183251_PDFSIGS.txt")</f>
        <v>MCRO_27-CR-21-13146_Order for Conditional Release_2024-04-30_20251126183251_PDFSIGS.txt</v>
      </c>
      <c r="L214" s="7" t="str">
        <f aca="false">HYPERLINK("https://mncourtfraud.com/file/MCRO_27-CR-21-13146_Order_for_Conditional_Release_2024-04-30_20251126183251.zip","MCRO_27-CR-21-13146_Order_for_Conditional_Release_2024-04-30_20251126183251.zip")</f>
        <v>MCRO_27-CR-21-13146_Order_for_Conditional_Release_2024-04-30_20251126183251.zip</v>
      </c>
    </row>
    <row r="215" customFormat="false" ht="18.7" hidden="false" customHeight="true" outlineLevel="0" collapsed="false">
      <c r="A215" s="1" t="n">
        <v>214</v>
      </c>
      <c r="B215" s="7" t="str">
        <f aca="false">HYPERLINK("https://mncourtfraud.com/file/27-CR-21-13146.pdf","27-CR-21-13146")</f>
        <v>27-CR-21-13146</v>
      </c>
      <c r="C215" s="1" t="n">
        <v>1</v>
      </c>
      <c r="D215" s="2" t="s">
        <v>12</v>
      </c>
      <c r="E215" s="8" t="n">
        <v>45412</v>
      </c>
      <c r="F215" s="2" t="s">
        <v>15</v>
      </c>
      <c r="G215" s="7" t="str">
        <f aca="false">HYPERLINK("https://mncourtfraud.com/file/MCRO_27-CR-21-13146_Order-Evaluation for Competency to Proceed (Rule 20.01)_2024-04-30_20251126183404.pdf","MCRO_27-CR-21-13146_Order-Evaluation for Competency to Proceed (Rule 20.01)_2024-04-30_20251126183404.pdf")</f>
        <v>MCRO_27-CR-21-13146_Order-Evaluation for Competency to Proceed (Rule 20.01)_2024-04-30_20251126183404.pdf</v>
      </c>
      <c r="H215" s="2" t="s">
        <v>235</v>
      </c>
      <c r="I215" s="7" t="str">
        <f aca="false">HYPERLINK("https://mncourtfraud.com/file/MCRO_27-CR-21-13146_Order-Evaluation for Competency to Proceed (Rule 20.01)_2024-04-30_20251126183404.pdf.ots","MCRO_27-CR-21-13146_Order-Evaluation for Competency to Proceed (Rule 20.01)_2024-04-30_20251126183404.pdf.ots")</f>
        <v>MCRO_27-CR-21-13146_Order-Evaluation for Competency to Proceed (Rule 20.01)_2024-04-30_20251126183404.pdf.ots</v>
      </c>
      <c r="J215" s="7" t="str">
        <f aca="false">HYPERLINK("https://mncourtfraud.com/file/MCRO_27-CR-21-13146_Order-Evaluation for Competency to Proceed (Rule 20.01)_2024-04-30_20251126183404_META.txt","MCRO_27-CR-21-13146_Order-Evaluation for Competency to Proceed (Rule 20.01)_2024-04-30_20251126183404_META.txt")</f>
        <v>MCRO_27-CR-21-13146_Order-Evaluation for Competency to Proceed (Rule 20.01)_2024-04-30_20251126183404_META.txt</v>
      </c>
      <c r="K215" s="7" t="str">
        <f aca="false">HYPERLINK("https://mncourtfraud.com/file/MCRO_27-CR-21-13146_Order-Evaluation for Competency to Proceed (Rule 20.01)_2024-04-30_20251126183404_PDFSIGS.txt","MCRO_27-CR-21-13146_Order-Evaluation for Competency to Proceed (Rule 20.01)_2024-04-30_20251126183404_PDFSIGS.txt")</f>
        <v>MCRO_27-CR-21-13146_Order-Evaluation for Competency to Proceed (Rule 20.01)_2024-04-30_20251126183404_PDFSIGS.txt</v>
      </c>
      <c r="L215" s="7" t="str">
        <f aca="false">HYPERLINK("https://mncourtfraud.com/file/MCRO_27-CR-21-13146_Order-Evaluation_for_Competency_to_Proceed_(Rule_20.01)_2024-04-30_20251126183404.zip","MCRO_27-CR-21-13146_Order-Evaluation_for_Competency_to_Proceed_(Rule_20.01)_2024-04-30_20251126183404.zip")</f>
        <v>MCRO_27-CR-21-13146_Order-Evaluation_for_Competency_to_Proceed_(Rule_20.01)_2024-04-30_20251126183404.zip</v>
      </c>
    </row>
    <row r="216" customFormat="false" ht="18.7" hidden="false" customHeight="true" outlineLevel="0" collapsed="false">
      <c r="A216" s="1" t="n">
        <v>215</v>
      </c>
      <c r="B216" s="7" t="str">
        <f aca="false">HYPERLINK("https://mncourtfraud.com/file/27-CR-21-13147.pdf","27-CR-21-13147")</f>
        <v>27-CR-21-13147</v>
      </c>
      <c r="C216" s="1" t="n">
        <v>1</v>
      </c>
      <c r="D216" s="2" t="s">
        <v>12</v>
      </c>
      <c r="E216" s="8" t="n">
        <v>44396</v>
      </c>
      <c r="F216" s="2" t="s">
        <v>15</v>
      </c>
      <c r="G216" s="7" t="str">
        <f aca="false">HYPERLINK("https://mncourtfraud.com/file/MCRO_27-CR-21-13147_Order-Evaluation for Competency to Proceed (Rule 20.01)_2021-07-19_20251126183607.pdf","MCRO_27-CR-21-13147_Order-Evaluation for Competency to Proceed (Rule 20.01)_2021-07-19_20251126183607.pdf")</f>
        <v>MCRO_27-CR-21-13147_Order-Evaluation for Competency to Proceed (Rule 20.01)_2021-07-19_20251126183607.pdf</v>
      </c>
      <c r="H216" s="2" t="s">
        <v>236</v>
      </c>
      <c r="I216" s="7" t="str">
        <f aca="false">HYPERLINK("https://mncourtfraud.com/file/MCRO_27-CR-21-13147_Order-Evaluation for Competency to Proceed (Rule 20.01)_2021-07-19_20251126183607.pdf.ots","MCRO_27-CR-21-13147_Order-Evaluation for Competency to Proceed (Rule 20.01)_2021-07-19_20251126183607.pdf.ots")</f>
        <v>MCRO_27-CR-21-13147_Order-Evaluation for Competency to Proceed (Rule 20.01)_2021-07-19_20251126183607.pdf.ots</v>
      </c>
      <c r="J216" s="7" t="str">
        <f aca="false">HYPERLINK("https://mncourtfraud.com/file/MCRO_27-CR-21-13147_Order-Evaluation for Competency to Proceed (Rule 20.01)_2021-07-19_20251126183607_META.txt","MCRO_27-CR-21-13147_Order-Evaluation for Competency to Proceed (Rule 20.01)_2021-07-19_20251126183607_META.txt")</f>
        <v>MCRO_27-CR-21-13147_Order-Evaluation for Competency to Proceed (Rule 20.01)_2021-07-19_20251126183607_META.txt</v>
      </c>
      <c r="K216" s="7" t="str">
        <f aca="false">HYPERLINK("https://mncourtfraud.com/file/MCRO_27-CR-21-13147_Order-Evaluation for Competency to Proceed (Rule 20.01)_2021-07-19_20251126183607_PDFSIGS.txt","MCRO_27-CR-21-13147_Order-Evaluation for Competency to Proceed (Rule 20.01)_2021-07-19_20251126183607_PDFSIGS.txt")</f>
        <v>MCRO_27-CR-21-13147_Order-Evaluation for Competency to Proceed (Rule 20.01)_2021-07-19_20251126183607_PDFSIGS.txt</v>
      </c>
      <c r="L216" s="7" t="str">
        <f aca="false">HYPERLINK("https://mncourtfraud.com/file/MCRO_27-CR-21-13147_Order-Evaluation_for_Competency_to_Proceed_(Rule_20.01)_2021-07-19_20251126183607.zip","MCRO_27-CR-21-13147_Order-Evaluation_for_Competency_to_Proceed_(Rule_20.01)_2021-07-19_20251126183607.zip")</f>
        <v>MCRO_27-CR-21-13147_Order-Evaluation_for_Competency_to_Proceed_(Rule_20.01)_2021-07-19_20251126183607.zip</v>
      </c>
    </row>
    <row r="217" customFormat="false" ht="18.7" hidden="false" customHeight="true" outlineLevel="0" collapsed="false">
      <c r="A217" s="1" t="n">
        <v>216</v>
      </c>
      <c r="B217" s="7" t="str">
        <f aca="false">HYPERLINK("https://mncourtfraud.com/file/27-CR-21-13147.pdf","27-CR-21-13147")</f>
        <v>27-CR-21-13147</v>
      </c>
      <c r="C217" s="1" t="n">
        <v>1</v>
      </c>
      <c r="D217" s="2" t="s">
        <v>12</v>
      </c>
      <c r="E217" s="8" t="n">
        <v>44405</v>
      </c>
      <c r="F217" s="2" t="s">
        <v>145</v>
      </c>
      <c r="G217" s="7" t="str">
        <f aca="false">HYPERLINK("https://mncourtfraud.com/file/MCRO_27-CR-21-13147_Demand or Request for Discovery_2021-07-28_20251126183447.pdf","MCRO_27-CR-21-13147_Demand or Request for Discovery_2021-07-28_20251126183447.pdf")</f>
        <v>MCRO_27-CR-21-13147_Demand or Request for Discovery_2021-07-28_20251126183447.pdf</v>
      </c>
      <c r="H217" s="2" t="s">
        <v>237</v>
      </c>
      <c r="I217" s="7" t="str">
        <f aca="false">HYPERLINK("https://mncourtfraud.com/file/MCRO_27-CR-21-13147_Demand or Request for Discovery_2021-07-28_20251126183447.pdf.ots","MCRO_27-CR-21-13147_Demand or Request for Discovery_2021-07-28_20251126183447.pdf.ots")</f>
        <v>MCRO_27-CR-21-13147_Demand or Request for Discovery_2021-07-28_20251126183447.pdf.ots</v>
      </c>
      <c r="J217" s="7" t="str">
        <f aca="false">HYPERLINK("https://mncourtfraud.com/file/MCRO_27-CR-21-13147_Demand or Request for Discovery_2021-07-28_20251126183447_META.txt","MCRO_27-CR-21-13147_Demand or Request for Discovery_2021-07-28_20251126183447_META.txt")</f>
        <v>MCRO_27-CR-21-13147_Demand or Request for Discovery_2021-07-28_20251126183447_META.txt</v>
      </c>
      <c r="K217" s="7" t="str">
        <f aca="false">HYPERLINK("https://mncourtfraud.com/file/MCRO_27-CR-21-13147_Demand or Request for Discovery_2021-07-28_20251126183447_PDFSIGS.txt","MCRO_27-CR-21-13147_Demand or Request for Discovery_2021-07-28_20251126183447_PDFSIGS.txt")</f>
        <v>MCRO_27-CR-21-13147_Demand or Request for Discovery_2021-07-28_20251126183447_PDFSIGS.txt</v>
      </c>
      <c r="L217" s="7" t="str">
        <f aca="false">HYPERLINK("https://mncourtfraud.com/file/MCRO_27-CR-21-13147_Demand_or_Request_for_Discovery_2021-07-28_20251126183447.zip","MCRO_27-CR-21-13147_Demand_or_Request_for_Discovery_2021-07-28_20251126183447.zip")</f>
        <v>MCRO_27-CR-21-13147_Demand_or_Request_for_Discovery_2021-07-28_20251126183447.zip</v>
      </c>
    </row>
    <row r="218" customFormat="false" ht="18.7" hidden="false" customHeight="true" outlineLevel="0" collapsed="false">
      <c r="A218" s="1" t="n">
        <v>217</v>
      </c>
      <c r="B218" s="7" t="str">
        <f aca="false">HYPERLINK("https://mncourtfraud.com/file/27-CR-21-13147.pdf","27-CR-21-13147")</f>
        <v>27-CR-21-13147</v>
      </c>
      <c r="C218" s="1" t="n">
        <v>1</v>
      </c>
      <c r="D218" s="2" t="s">
        <v>12</v>
      </c>
      <c r="E218" s="8" t="n">
        <v>44439</v>
      </c>
      <c r="F218" s="2" t="s">
        <v>19</v>
      </c>
      <c r="G218" s="7" t="str">
        <f aca="false">HYPERLINK("https://mncourtfraud.com/file/MCRO_27-CR-21-13147_Findings and Order_2021-08-31_20251126183518.pdf","MCRO_27-CR-21-13147_Findings and Order_2021-08-31_20251126183518.pdf")</f>
        <v>MCRO_27-CR-21-13147_Findings and Order_2021-08-31_20251126183518.pdf</v>
      </c>
      <c r="H218" s="2" t="s">
        <v>238</v>
      </c>
      <c r="I218" s="7" t="str">
        <f aca="false">HYPERLINK("https://mncourtfraud.com/file/MCRO_27-CR-21-13147_Findings and Order_2021-08-31_20251126183518.pdf.ots","MCRO_27-CR-21-13147_Findings and Order_2021-08-31_20251126183518.pdf.ots")</f>
        <v>MCRO_27-CR-21-13147_Findings and Order_2021-08-31_20251126183518.pdf.ots</v>
      </c>
      <c r="J218" s="7" t="str">
        <f aca="false">HYPERLINK("https://mncourtfraud.com/file/MCRO_27-CR-21-13147_Findings and Order_2021-08-31_20251126183518_META.txt","MCRO_27-CR-21-13147_Findings and Order_2021-08-31_20251126183518_META.txt")</f>
        <v>MCRO_27-CR-21-13147_Findings and Order_2021-08-31_20251126183518_META.txt</v>
      </c>
      <c r="K218" s="7" t="str">
        <f aca="false">HYPERLINK("https://mncourtfraud.com/file/MCRO_27-CR-21-13147_Findings and Order_2021-08-31_20251126183518_PDFSIGS.txt","MCRO_27-CR-21-13147_Findings and Order_2021-08-31_20251126183518_PDFSIGS.txt")</f>
        <v>MCRO_27-CR-21-13147_Findings and Order_2021-08-31_20251126183518_PDFSIGS.txt</v>
      </c>
      <c r="L218" s="7" t="str">
        <f aca="false">HYPERLINK("https://mncourtfraud.com/file/MCRO_27-CR-21-13147_Findings_and_Order_2021-08-31_20251126183518.zip","MCRO_27-CR-21-13147_Findings_and_Order_2021-08-31_20251126183518.zip")</f>
        <v>MCRO_27-CR-21-13147_Findings_and_Order_2021-08-31_20251126183518.zip</v>
      </c>
    </row>
    <row r="219" customFormat="false" ht="18.7" hidden="false" customHeight="true" outlineLevel="0" collapsed="false">
      <c r="A219" s="1" t="n">
        <v>218</v>
      </c>
      <c r="B219" s="7" t="str">
        <f aca="false">HYPERLINK("https://mncourtfraud.com/file/27-CR-21-13147.pdf","27-CR-21-13147")</f>
        <v>27-CR-21-13147</v>
      </c>
      <c r="C219" s="1" t="n">
        <v>1</v>
      </c>
      <c r="D219" s="2" t="s">
        <v>12</v>
      </c>
      <c r="E219" s="8" t="n">
        <v>44460</v>
      </c>
      <c r="F219" s="2" t="s">
        <v>24</v>
      </c>
      <c r="G219" s="7" t="str">
        <f aca="false">HYPERLINK("https://mncourtfraud.com/file/MCRO_27-CR-21-13147_Order for Conditional Release_2021-09-21_20251126183551.pdf","MCRO_27-CR-21-13147_Order for Conditional Release_2021-09-21_20251126183551.pdf")</f>
        <v>MCRO_27-CR-21-13147_Order for Conditional Release_2021-09-21_20251126183551.pdf</v>
      </c>
      <c r="H219" s="2" t="s">
        <v>239</v>
      </c>
      <c r="I219" s="7" t="str">
        <f aca="false">HYPERLINK("https://mncourtfraud.com/file/MCRO_27-CR-21-13147_Order for Conditional Release_2021-09-21_20251126183551.pdf.ots","MCRO_27-CR-21-13147_Order for Conditional Release_2021-09-21_20251126183551.pdf.ots")</f>
        <v>MCRO_27-CR-21-13147_Order for Conditional Release_2021-09-21_20251126183551.pdf.ots</v>
      </c>
      <c r="J219" s="7" t="str">
        <f aca="false">HYPERLINK("https://mncourtfraud.com/file/MCRO_27-CR-21-13147_Order for Conditional Release_2021-09-21_20251126183551_META.txt","MCRO_27-CR-21-13147_Order for Conditional Release_2021-09-21_20251126183551_META.txt")</f>
        <v>MCRO_27-CR-21-13147_Order for Conditional Release_2021-09-21_20251126183551_META.txt</v>
      </c>
      <c r="K219" s="7" t="str">
        <f aca="false">HYPERLINK("https://mncourtfraud.com/file/MCRO_27-CR-21-13147_Order for Conditional Release_2021-09-21_20251126183551_PDFSIGS.txt","MCRO_27-CR-21-13147_Order for Conditional Release_2021-09-21_20251126183551_PDFSIGS.txt")</f>
        <v>MCRO_27-CR-21-13147_Order for Conditional Release_2021-09-21_20251126183551_PDFSIGS.txt</v>
      </c>
      <c r="L219" s="7" t="str">
        <f aca="false">HYPERLINK("https://mncourtfraud.com/file/MCRO_27-CR-21-13147_Order_for_Conditional_Release_2021-09-21_20251126183551.zip","MCRO_27-CR-21-13147_Order_for_Conditional_Release_2021-09-21_20251126183551.zip")</f>
        <v>MCRO_27-CR-21-13147_Order_for_Conditional_Release_2021-09-21_20251126183551.zip</v>
      </c>
    </row>
    <row r="220" customFormat="false" ht="18.7" hidden="false" customHeight="true" outlineLevel="0" collapsed="false">
      <c r="A220" s="1" t="n">
        <v>219</v>
      </c>
      <c r="B220" s="7" t="str">
        <f aca="false">HYPERLINK("https://mncourtfraud.com/file/27-CR-21-13147.pdf","27-CR-21-13147")</f>
        <v>27-CR-21-13147</v>
      </c>
      <c r="C220" s="1" t="n">
        <v>1</v>
      </c>
      <c r="D220" s="2" t="s">
        <v>12</v>
      </c>
      <c r="E220" s="8" t="n">
        <v>44468</v>
      </c>
      <c r="F220" s="2" t="s">
        <v>24</v>
      </c>
      <c r="G220" s="7" t="str">
        <f aca="false">HYPERLINK("https://mncourtfraud.com/file/MCRO_27-CR-21-13147_Order for Conditional Release_2021-09-29_20251126183556.pdf","MCRO_27-CR-21-13147_Order for Conditional Release_2021-09-29_20251126183556.pdf")</f>
        <v>MCRO_27-CR-21-13147_Order for Conditional Release_2021-09-29_20251126183556.pdf</v>
      </c>
      <c r="H220" s="2" t="s">
        <v>240</v>
      </c>
      <c r="I220" s="7" t="str">
        <f aca="false">HYPERLINK("https://mncourtfraud.com/file/MCRO_27-CR-21-13147_Order for Conditional Release_2021-09-29_20251126183556.pdf.ots","MCRO_27-CR-21-13147_Order for Conditional Release_2021-09-29_20251126183556.pdf.ots")</f>
        <v>MCRO_27-CR-21-13147_Order for Conditional Release_2021-09-29_20251126183556.pdf.ots</v>
      </c>
      <c r="J220" s="7" t="str">
        <f aca="false">HYPERLINK("https://mncourtfraud.com/file/MCRO_27-CR-21-13147_Order for Conditional Release_2021-09-29_20251126183556_META.txt","MCRO_27-CR-21-13147_Order for Conditional Release_2021-09-29_20251126183556_META.txt")</f>
        <v>MCRO_27-CR-21-13147_Order for Conditional Release_2021-09-29_20251126183556_META.txt</v>
      </c>
      <c r="K220" s="7" t="str">
        <f aca="false">HYPERLINK("https://mncourtfraud.com/file/MCRO_27-CR-21-13147_Order for Conditional Release_2021-09-29_20251126183556_PDFSIGS.txt","MCRO_27-CR-21-13147_Order for Conditional Release_2021-09-29_20251126183556_PDFSIGS.txt")</f>
        <v>MCRO_27-CR-21-13147_Order for Conditional Release_2021-09-29_20251126183556_PDFSIGS.txt</v>
      </c>
      <c r="L220" s="7" t="str">
        <f aca="false">HYPERLINK("https://mncourtfraud.com/file/MCRO_27-CR-21-13147_Order_for_Conditional_Release_2021-09-29_20251126183556.zip","MCRO_27-CR-21-13147_Order_for_Conditional_Release_2021-09-29_20251126183556.zip")</f>
        <v>MCRO_27-CR-21-13147_Order_for_Conditional_Release_2021-09-29_20251126183556.zip</v>
      </c>
    </row>
    <row r="221" customFormat="false" ht="18.7" hidden="false" customHeight="true" outlineLevel="0" collapsed="false">
      <c r="A221" s="1" t="n">
        <v>220</v>
      </c>
      <c r="B221" s="7" t="str">
        <f aca="false">HYPERLINK("https://mncourtfraud.com/file/27-CR-21-13147.pdf","27-CR-21-13147")</f>
        <v>27-CR-21-13147</v>
      </c>
      <c r="C221" s="1" t="n">
        <v>1</v>
      </c>
      <c r="D221" s="2" t="s">
        <v>12</v>
      </c>
      <c r="E221" s="8" t="n">
        <v>44543</v>
      </c>
      <c r="F221" s="2" t="s">
        <v>15</v>
      </c>
      <c r="G221" s="7" t="str">
        <f aca="false">HYPERLINK("https://mncourtfraud.com/file/MCRO_27-CR-21-13147_Order-Evaluation for Competency to Proceed (Rule 20.01)_2021-12-13_20251126183615.pdf","MCRO_27-CR-21-13147_Order-Evaluation for Competency to Proceed (Rule 20.01)_2021-12-13_20251126183615.pdf")</f>
        <v>MCRO_27-CR-21-13147_Order-Evaluation for Competency to Proceed (Rule 20.01)_2021-12-13_20251126183615.pdf</v>
      </c>
      <c r="H221" s="2" t="s">
        <v>241</v>
      </c>
      <c r="I221" s="7" t="str">
        <f aca="false">HYPERLINK("https://mncourtfraud.com/file/MCRO_27-CR-21-13147_Order-Evaluation for Competency to Proceed (Rule 20.01)_2021-12-13_20251126183615.pdf.ots","MCRO_27-CR-21-13147_Order-Evaluation for Competency to Proceed (Rule 20.01)_2021-12-13_20251126183615.pdf.ots")</f>
        <v>MCRO_27-CR-21-13147_Order-Evaluation for Competency to Proceed (Rule 20.01)_2021-12-13_20251126183615.pdf.ots</v>
      </c>
      <c r="J221" s="7" t="str">
        <f aca="false">HYPERLINK("https://mncourtfraud.com/file/MCRO_27-CR-21-13147_Order-Evaluation for Competency to Proceed (Rule 20.01)_2021-12-13_20251126183615_META.txt","MCRO_27-CR-21-13147_Order-Evaluation for Competency to Proceed (Rule 20.01)_2021-12-13_20251126183615_META.txt")</f>
        <v>MCRO_27-CR-21-13147_Order-Evaluation for Competency to Proceed (Rule 20.01)_2021-12-13_20251126183615_META.txt</v>
      </c>
      <c r="K221" s="7" t="str">
        <f aca="false">HYPERLINK("https://mncourtfraud.com/file/MCRO_27-CR-21-13147_Order-Evaluation for Competency to Proceed (Rule 20.01)_2021-12-13_20251126183615_PDFSIGS.txt","MCRO_27-CR-21-13147_Order-Evaluation for Competency to Proceed (Rule 20.01)_2021-12-13_20251126183615_PDFSIGS.txt")</f>
        <v>MCRO_27-CR-21-13147_Order-Evaluation for Competency to Proceed (Rule 20.01)_2021-12-13_20251126183615_PDFSIGS.txt</v>
      </c>
      <c r="L221" s="7" t="str">
        <f aca="false">HYPERLINK("https://mncourtfraud.com/file/MCRO_27-CR-21-13147_Order-Evaluation_for_Competency_to_Proceed_(Rule_20.01)_2021-12-13_20251126183615.zip","MCRO_27-CR-21-13147_Order-Evaluation_for_Competency_to_Proceed_(Rule_20.01)_2021-12-13_20251126183615.zip")</f>
        <v>MCRO_27-CR-21-13147_Order-Evaluation_for_Competency_to_Proceed_(Rule_20.01)_2021-12-13_20251126183615.zip</v>
      </c>
    </row>
    <row r="222" customFormat="false" ht="18.7" hidden="false" customHeight="true" outlineLevel="0" collapsed="false">
      <c r="A222" s="1" t="n">
        <v>221</v>
      </c>
      <c r="B222" s="7" t="str">
        <f aca="false">HYPERLINK("https://mncourtfraud.com/file/27-CR-21-13147.pdf","27-CR-21-13147")</f>
        <v>27-CR-21-13147</v>
      </c>
      <c r="C222" s="1" t="n">
        <v>1</v>
      </c>
      <c r="D222" s="2" t="s">
        <v>12</v>
      </c>
      <c r="E222" s="8" t="n">
        <v>44558</v>
      </c>
      <c r="F222" s="2" t="s">
        <v>15</v>
      </c>
      <c r="G222" s="7" t="str">
        <f aca="false">HYPERLINK("https://mncourtfraud.com/file/MCRO_27-CR-21-13147_Order-Evaluation for Competency to Proceed (Rule 20.01)_2021-12-28_20251126183624.pdf","MCRO_27-CR-21-13147_Order-Evaluation for Competency to Proceed (Rule 20.01)_2021-12-28_20251126183624.pdf")</f>
        <v>MCRO_27-CR-21-13147_Order-Evaluation for Competency to Proceed (Rule 20.01)_2021-12-28_20251126183624.pdf</v>
      </c>
      <c r="H222" s="2" t="s">
        <v>242</v>
      </c>
      <c r="I222" s="7" t="str">
        <f aca="false">HYPERLINK("https://mncourtfraud.com/file/MCRO_27-CR-21-13147_Order-Evaluation for Competency to Proceed (Rule 20.01)_2021-12-28_20251126183624.pdf.ots","MCRO_27-CR-21-13147_Order-Evaluation for Competency to Proceed (Rule 20.01)_2021-12-28_20251126183624.pdf.ots")</f>
        <v>MCRO_27-CR-21-13147_Order-Evaluation for Competency to Proceed (Rule 20.01)_2021-12-28_20251126183624.pdf.ots</v>
      </c>
      <c r="J222" s="7" t="str">
        <f aca="false">HYPERLINK("https://mncourtfraud.com/file/MCRO_27-CR-21-13147_Order-Evaluation for Competency to Proceed (Rule 20.01)_2021-12-28_20251126183624_META.txt","MCRO_27-CR-21-13147_Order-Evaluation for Competency to Proceed (Rule 20.01)_2021-12-28_20251126183624_META.txt")</f>
        <v>MCRO_27-CR-21-13147_Order-Evaluation for Competency to Proceed (Rule 20.01)_2021-12-28_20251126183624_META.txt</v>
      </c>
      <c r="K222" s="7" t="str">
        <f aca="false">HYPERLINK("https://mncourtfraud.com/file/MCRO_27-CR-21-13147_Order-Evaluation for Competency to Proceed (Rule 20.01)_2021-12-28_20251126183624_PDFSIGS.txt","MCRO_27-CR-21-13147_Order-Evaluation for Competency to Proceed (Rule 20.01)_2021-12-28_20251126183624_PDFSIGS.txt")</f>
        <v>MCRO_27-CR-21-13147_Order-Evaluation for Competency to Proceed (Rule 20.01)_2021-12-28_20251126183624_PDFSIGS.txt</v>
      </c>
      <c r="L222" s="7" t="str">
        <f aca="false">HYPERLINK("https://mncourtfraud.com/file/MCRO_27-CR-21-13147_Order-Evaluation_for_Competency_to_Proceed_(Rule_20.01)_2021-12-28_20251126183624.zip","MCRO_27-CR-21-13147_Order-Evaluation_for_Competency_to_Proceed_(Rule_20.01)_2021-12-28_20251126183624.zip")</f>
        <v>MCRO_27-CR-21-13147_Order-Evaluation_for_Competency_to_Proceed_(Rule_20.01)_2021-12-28_20251126183624.zip</v>
      </c>
    </row>
    <row r="223" customFormat="false" ht="18.7" hidden="false" customHeight="true" outlineLevel="0" collapsed="false">
      <c r="A223" s="1" t="n">
        <v>222</v>
      </c>
      <c r="B223" s="7" t="str">
        <f aca="false">HYPERLINK("https://mncourtfraud.com/file/27-CR-21-13147.pdf","27-CR-21-13147")</f>
        <v>27-CR-21-13147</v>
      </c>
      <c r="C223" s="1" t="n">
        <v>1</v>
      </c>
      <c r="D223" s="2" t="s">
        <v>12</v>
      </c>
      <c r="E223" s="8" t="n">
        <v>44593</v>
      </c>
      <c r="F223" s="2" t="s">
        <v>19</v>
      </c>
      <c r="G223" s="7" t="str">
        <f aca="false">HYPERLINK("https://mncourtfraud.com/file/MCRO_27-CR-21-13147_Findings and Order_2022-02-01_20251126183510.pdf","MCRO_27-CR-21-13147_Findings and Order_2022-02-01_20251126183510.pdf")</f>
        <v>MCRO_27-CR-21-13147_Findings and Order_2022-02-01_20251126183510.pdf</v>
      </c>
      <c r="H223" s="2" t="s">
        <v>243</v>
      </c>
      <c r="I223" s="7" t="str">
        <f aca="false">HYPERLINK("https://mncourtfraud.com/file/MCRO_27-CR-21-13147_Findings and Order_2022-02-01_20251126183510.pdf.ots","MCRO_27-CR-21-13147_Findings and Order_2022-02-01_20251126183510.pdf.ots")</f>
        <v>MCRO_27-CR-21-13147_Findings and Order_2022-02-01_20251126183510.pdf.ots</v>
      </c>
      <c r="J223" s="7" t="str">
        <f aca="false">HYPERLINK("https://mncourtfraud.com/file/MCRO_27-CR-21-13147_Findings and Order_2022-02-01_20251126183510_META.txt","MCRO_27-CR-21-13147_Findings and Order_2022-02-01_20251126183510_META.txt")</f>
        <v>MCRO_27-CR-21-13147_Findings and Order_2022-02-01_20251126183510_META.txt</v>
      </c>
      <c r="K223" s="7" t="str">
        <f aca="false">HYPERLINK("https://mncourtfraud.com/file/MCRO_27-CR-21-13147_Findings and Order_2022-02-01_20251126183510_PDFSIGS.txt","MCRO_27-CR-21-13147_Findings and Order_2022-02-01_20251126183510_PDFSIGS.txt")</f>
        <v>MCRO_27-CR-21-13147_Findings and Order_2022-02-01_20251126183510_PDFSIGS.txt</v>
      </c>
      <c r="L223" s="7" t="str">
        <f aca="false">HYPERLINK("https://mncourtfraud.com/file/MCRO_27-CR-21-13147_Findings_and_Order_2022-02-01_20251126183510.zip","MCRO_27-CR-21-13147_Findings_and_Order_2022-02-01_20251126183510.zip")</f>
        <v>MCRO_27-CR-21-13147_Findings_and_Order_2022-02-01_20251126183510.zip</v>
      </c>
    </row>
    <row r="224" customFormat="false" ht="18.7" hidden="false" customHeight="true" outlineLevel="0" collapsed="false">
      <c r="A224" s="1" t="n">
        <v>223</v>
      </c>
      <c r="B224" s="7" t="str">
        <f aca="false">HYPERLINK("https://mncourtfraud.com/file/27-CR-21-13147.pdf","27-CR-21-13147")</f>
        <v>27-CR-21-13147</v>
      </c>
      <c r="C224" s="1" t="n">
        <v>1</v>
      </c>
      <c r="D224" s="2" t="s">
        <v>12</v>
      </c>
      <c r="E224" s="8" t="n">
        <v>44692</v>
      </c>
      <c r="F224" s="2" t="s">
        <v>15</v>
      </c>
      <c r="G224" s="7" t="str">
        <f aca="false">HYPERLINK("https://mncourtfraud.com/file/MCRO_27-CR-21-13147_Order-Evaluation for Competency to Proceed (Rule 20.01)_2022-05-11_20251126183632.pdf","MCRO_27-CR-21-13147_Order-Evaluation for Competency to Proceed (Rule 20.01)_2022-05-11_20251126183632.pdf")</f>
        <v>MCRO_27-CR-21-13147_Order-Evaluation for Competency to Proceed (Rule 20.01)_2022-05-11_20251126183632.pdf</v>
      </c>
      <c r="H224" s="2" t="s">
        <v>244</v>
      </c>
      <c r="I224" s="7" t="str">
        <f aca="false">HYPERLINK("https://mncourtfraud.com/file/MCRO_27-CR-21-13147_Order-Evaluation for Competency to Proceed (Rule 20.01)_2022-05-11_20251126183632.pdf.ots","MCRO_27-CR-21-13147_Order-Evaluation for Competency to Proceed (Rule 20.01)_2022-05-11_20251126183632.pdf.ots")</f>
        <v>MCRO_27-CR-21-13147_Order-Evaluation for Competency to Proceed (Rule 20.01)_2022-05-11_20251126183632.pdf.ots</v>
      </c>
      <c r="J224" s="7" t="str">
        <f aca="false">HYPERLINK("https://mncourtfraud.com/file/MCRO_27-CR-21-13147_Order-Evaluation for Competency to Proceed (Rule 20.01)_2022-05-11_20251126183632_META.txt","MCRO_27-CR-21-13147_Order-Evaluation for Competency to Proceed (Rule 20.01)_2022-05-11_20251126183632_META.txt")</f>
        <v>MCRO_27-CR-21-13147_Order-Evaluation for Competency to Proceed (Rule 20.01)_2022-05-11_20251126183632_META.txt</v>
      </c>
      <c r="K224" s="7" t="str">
        <f aca="false">HYPERLINK("https://mncourtfraud.com/file/MCRO_27-CR-21-13147_Order-Evaluation for Competency to Proceed (Rule 20.01)_2022-05-11_20251126183632_PDFSIGS.txt","MCRO_27-CR-21-13147_Order-Evaluation for Competency to Proceed (Rule 20.01)_2022-05-11_20251126183632_PDFSIGS.txt")</f>
        <v>MCRO_27-CR-21-13147_Order-Evaluation for Competency to Proceed (Rule 20.01)_2022-05-11_20251126183632_PDFSIGS.txt</v>
      </c>
      <c r="L224" s="7" t="str">
        <f aca="false">HYPERLINK("https://mncourtfraud.com/file/MCRO_27-CR-21-13147_Order-Evaluation_for_Competency_to_Proceed_(Rule_20.01)_2022-05-11_20251126183632.zip","MCRO_27-CR-21-13147_Order-Evaluation_for_Competency_to_Proceed_(Rule_20.01)_2022-05-11_20251126183632.zip")</f>
        <v>MCRO_27-CR-21-13147_Order-Evaluation_for_Competency_to_Proceed_(Rule_20.01)_2022-05-11_20251126183632.zip</v>
      </c>
    </row>
    <row r="225" customFormat="false" ht="18.7" hidden="false" customHeight="true" outlineLevel="0" collapsed="false">
      <c r="A225" s="1" t="n">
        <v>224</v>
      </c>
      <c r="B225" s="7" t="str">
        <f aca="false">HYPERLINK("https://mncourtfraud.com/file/27-CR-21-13147.pdf","27-CR-21-13147")</f>
        <v>27-CR-21-13147</v>
      </c>
      <c r="C225" s="1" t="n">
        <v>1</v>
      </c>
      <c r="D225" s="2" t="s">
        <v>12</v>
      </c>
      <c r="E225" s="8" t="n">
        <v>44895</v>
      </c>
      <c r="F225" s="2" t="s">
        <v>15</v>
      </c>
      <c r="G225" s="7" t="str">
        <f aca="false">HYPERLINK("https://mncourtfraud.com/file/MCRO_27-CR-21-13147_Order-Evaluation for Competency to Proceed (Rule 20.01)_2022-11-30_20251126183640.pdf","MCRO_27-CR-21-13147_Order-Evaluation for Competency to Proceed (Rule 20.01)_2022-11-30_20251126183640.pdf")</f>
        <v>MCRO_27-CR-21-13147_Order-Evaluation for Competency to Proceed (Rule 20.01)_2022-11-30_20251126183640.pdf</v>
      </c>
      <c r="H225" s="2" t="s">
        <v>245</v>
      </c>
      <c r="I225" s="7" t="str">
        <f aca="false">HYPERLINK("https://mncourtfraud.com/file/MCRO_27-CR-21-13147_Order-Evaluation for Competency to Proceed (Rule 20.01)_2022-11-30_20251126183640.pdf.ots","MCRO_27-CR-21-13147_Order-Evaluation for Competency to Proceed (Rule 20.01)_2022-11-30_20251126183640.pdf.ots")</f>
        <v>MCRO_27-CR-21-13147_Order-Evaluation for Competency to Proceed (Rule 20.01)_2022-11-30_20251126183640.pdf.ots</v>
      </c>
      <c r="J225" s="7" t="str">
        <f aca="false">HYPERLINK("https://mncourtfraud.com/file/MCRO_27-CR-21-13147_Order-Evaluation for Competency to Proceed (Rule 20.01)_2022-11-30_20251126183640_META.txt","MCRO_27-CR-21-13147_Order-Evaluation for Competency to Proceed (Rule 20.01)_2022-11-30_20251126183640_META.txt")</f>
        <v>MCRO_27-CR-21-13147_Order-Evaluation for Competency to Proceed (Rule 20.01)_2022-11-30_20251126183640_META.txt</v>
      </c>
      <c r="K225" s="7" t="str">
        <f aca="false">HYPERLINK("https://mncourtfraud.com/file/MCRO_27-CR-21-13147_Order-Evaluation for Competency to Proceed (Rule 20.01)_2022-11-30_20251126183640_PDFSIGS.txt","MCRO_27-CR-21-13147_Order-Evaluation for Competency to Proceed (Rule 20.01)_2022-11-30_20251126183640_PDFSIGS.txt")</f>
        <v>MCRO_27-CR-21-13147_Order-Evaluation for Competency to Proceed (Rule 20.01)_2022-11-30_20251126183640_PDFSIGS.txt</v>
      </c>
      <c r="L225" s="7" t="str">
        <f aca="false">HYPERLINK("https://mncourtfraud.com/file/MCRO_27-CR-21-13147_Order-Evaluation_for_Competency_to_Proceed_(Rule_20.01)_2022-11-30_20251126183640.zip","MCRO_27-CR-21-13147_Order-Evaluation_for_Competency_to_Proceed_(Rule_20.01)_2022-11-30_20251126183640.zip")</f>
        <v>MCRO_27-CR-21-13147_Order-Evaluation_for_Competency_to_Proceed_(Rule_20.01)_2022-11-30_20251126183640.zip</v>
      </c>
    </row>
    <row r="226" customFormat="false" ht="18.7" hidden="false" customHeight="true" outlineLevel="0" collapsed="false">
      <c r="A226" s="1" t="n">
        <v>225</v>
      </c>
      <c r="B226" s="7" t="str">
        <f aca="false">HYPERLINK("https://mncourtfraud.com/file/27-CR-21-13147.pdf","27-CR-21-13147")</f>
        <v>27-CR-21-13147</v>
      </c>
      <c r="C226" s="1" t="n">
        <v>1</v>
      </c>
      <c r="D226" s="2" t="s">
        <v>12</v>
      </c>
      <c r="E226" s="8" t="n">
        <v>44999</v>
      </c>
      <c r="F226" s="2" t="s">
        <v>17</v>
      </c>
      <c r="G226" s="7" t="str">
        <f aca="false">HYPERLINK("https://mncourtfraud.com/file/MCRO_27-CR-21-13147_Returned Mail_2023-03-14_20251126183709.pdf","MCRO_27-CR-21-13147_Returned Mail_2023-03-14_20251126183709.pdf")</f>
        <v>MCRO_27-CR-21-13147_Returned Mail_2023-03-14_20251126183709.pdf</v>
      </c>
      <c r="H226" s="2" t="s">
        <v>246</v>
      </c>
      <c r="I226" s="7" t="str">
        <f aca="false">HYPERLINK("https://mncourtfraud.com/file/MCRO_27-CR-21-13147_Returned Mail_2023-03-14_20251126183709.pdf.ots","MCRO_27-CR-21-13147_Returned Mail_2023-03-14_20251126183709.pdf.ots")</f>
        <v>MCRO_27-CR-21-13147_Returned Mail_2023-03-14_20251126183709.pdf.ots</v>
      </c>
      <c r="J226" s="7" t="str">
        <f aca="false">HYPERLINK("https://mncourtfraud.com/file/MCRO_27-CR-21-13147_Returned Mail_2023-03-14_20251126183709_META.txt","MCRO_27-CR-21-13147_Returned Mail_2023-03-14_20251126183709_META.txt")</f>
        <v>MCRO_27-CR-21-13147_Returned Mail_2023-03-14_20251126183709_META.txt</v>
      </c>
      <c r="K226" s="7" t="str">
        <f aca="false">HYPERLINK("https://mncourtfraud.com/file/MCRO_27-CR-21-13147_Returned Mail_2023-03-14_20251126183709_PDFSIGS.txt","MCRO_27-CR-21-13147_Returned Mail_2023-03-14_20251126183709_PDFSIGS.txt")</f>
        <v>MCRO_27-CR-21-13147_Returned Mail_2023-03-14_20251126183709_PDFSIGS.txt</v>
      </c>
      <c r="L226" s="7" t="str">
        <f aca="false">HYPERLINK("https://mncourtfraud.com/file/MCRO_27-CR-21-13147_Returned_Mail_2023-03-14_20251126183709.zip","MCRO_27-CR-21-13147_Returned_Mail_2023-03-14_20251126183709.zip")</f>
        <v>MCRO_27-CR-21-13147_Returned_Mail_2023-03-14_20251126183709.zip</v>
      </c>
    </row>
    <row r="227" customFormat="false" ht="18.7" hidden="false" customHeight="true" outlineLevel="0" collapsed="false">
      <c r="A227" s="1" t="n">
        <v>226</v>
      </c>
      <c r="B227" s="7" t="str">
        <f aca="false">HYPERLINK("https://mncourtfraud.com/file/27-CR-21-13147.pdf","27-CR-21-13147")</f>
        <v>27-CR-21-13147</v>
      </c>
      <c r="C227" s="1" t="n">
        <v>1</v>
      </c>
      <c r="D227" s="2" t="s">
        <v>12</v>
      </c>
      <c r="E227" s="8" t="n">
        <v>45048</v>
      </c>
      <c r="F227" s="2" t="s">
        <v>80</v>
      </c>
      <c r="G227" s="7" t="str">
        <f aca="false">HYPERLINK("https://mncourtfraud.com/file/MCRO_27-CR-21-13147_Finding of Incompetency and Order_2023-05-02_20251126183457.pdf","MCRO_27-CR-21-13147_Finding of Incompetency and Order_2023-05-02_20251126183457.pdf")</f>
        <v>MCRO_27-CR-21-13147_Finding of Incompetency and Order_2023-05-02_20251126183457.pdf</v>
      </c>
      <c r="H227" s="2" t="s">
        <v>247</v>
      </c>
      <c r="I227" s="7" t="str">
        <f aca="false">HYPERLINK("https://mncourtfraud.com/file/MCRO_27-CR-21-13147_Finding of Incompetency and Order_2023-05-02_20251126183457.pdf.ots","MCRO_27-CR-21-13147_Finding of Incompetency and Order_2023-05-02_20251126183457.pdf.ots")</f>
        <v>MCRO_27-CR-21-13147_Finding of Incompetency and Order_2023-05-02_20251126183457.pdf.ots</v>
      </c>
      <c r="J227" s="7" t="str">
        <f aca="false">HYPERLINK("https://mncourtfraud.com/file/MCRO_27-CR-21-13147_Finding of Incompetency and Order_2023-05-02_20251126183457_META.txt","MCRO_27-CR-21-13147_Finding of Incompetency and Order_2023-05-02_20251126183457_META.txt")</f>
        <v>MCRO_27-CR-21-13147_Finding of Incompetency and Order_2023-05-02_20251126183457_META.txt</v>
      </c>
      <c r="K227" s="7" t="str">
        <f aca="false">HYPERLINK("https://mncourtfraud.com/file/MCRO_27-CR-21-13147_Finding of Incompetency and Order_2023-05-02_20251126183457_PDFSIGS.txt","MCRO_27-CR-21-13147_Finding of Incompetency and Order_2023-05-02_20251126183457_PDFSIGS.txt")</f>
        <v>MCRO_27-CR-21-13147_Finding of Incompetency and Order_2023-05-02_20251126183457_PDFSIGS.txt</v>
      </c>
      <c r="L227" s="7" t="str">
        <f aca="false">HYPERLINK("https://mncourtfraud.com/file/MCRO_27-CR-21-13147_Finding_of_Incompetency_and_Order_2023-05-02_20251126183457.zip","MCRO_27-CR-21-13147_Finding_of_Incompetency_and_Order_2023-05-02_20251126183457.zip")</f>
        <v>MCRO_27-CR-21-13147_Finding_of_Incompetency_and_Order_2023-05-02_20251126183457.zip</v>
      </c>
    </row>
    <row r="228" customFormat="false" ht="18.7" hidden="false" customHeight="true" outlineLevel="0" collapsed="false">
      <c r="A228" s="1" t="n">
        <v>227</v>
      </c>
      <c r="B228" s="7" t="str">
        <f aca="false">HYPERLINK("https://mncourtfraud.com/file/27-CR-21-13147.pdf","27-CR-21-13147")</f>
        <v>27-CR-21-13147</v>
      </c>
      <c r="C228" s="1" t="n">
        <v>1</v>
      </c>
      <c r="D228" s="2" t="s">
        <v>12</v>
      </c>
      <c r="E228" s="8" t="n">
        <v>45093</v>
      </c>
      <c r="F228" s="2" t="s">
        <v>82</v>
      </c>
      <c r="G228" s="7" t="str">
        <f aca="false">HYPERLINK("https://mncourtfraud.com/file/MCRO_27-CR-21-13147_Notice of Case Reassignment_2023-06-16_20251126183529.pdf","MCRO_27-CR-21-13147_Notice of Case Reassignment_2023-06-16_20251126183529.pdf")</f>
        <v>MCRO_27-CR-21-13147_Notice of Case Reassignment_2023-06-16_20251126183529.pdf</v>
      </c>
      <c r="H228" s="2" t="s">
        <v>248</v>
      </c>
      <c r="I228" s="7" t="str">
        <f aca="false">HYPERLINK("https://mncourtfraud.com/file/MCRO_27-CR-21-13147_Notice of Case Reassignment_2023-06-16_20251126183529.pdf.ots","MCRO_27-CR-21-13147_Notice of Case Reassignment_2023-06-16_20251126183529.pdf.ots")</f>
        <v>MCRO_27-CR-21-13147_Notice of Case Reassignment_2023-06-16_20251126183529.pdf.ots</v>
      </c>
      <c r="J228" s="7" t="str">
        <f aca="false">HYPERLINK("https://mncourtfraud.com/file/MCRO_27-CR-21-13147_Notice of Case Reassignment_2023-06-16_20251126183529_META.txt","MCRO_27-CR-21-13147_Notice of Case Reassignment_2023-06-16_20251126183529_META.txt")</f>
        <v>MCRO_27-CR-21-13147_Notice of Case Reassignment_2023-06-16_20251126183529_META.txt</v>
      </c>
      <c r="K228" s="7" t="str">
        <f aca="false">HYPERLINK("https://mncourtfraud.com/file/MCRO_27-CR-21-13147_Notice of Case Reassignment_2023-06-16_20251126183529_PDFSIGS.txt","MCRO_27-CR-21-13147_Notice of Case Reassignment_2023-06-16_20251126183529_PDFSIGS.txt")</f>
        <v>MCRO_27-CR-21-13147_Notice of Case Reassignment_2023-06-16_20251126183529_PDFSIGS.txt</v>
      </c>
      <c r="L228" s="7" t="str">
        <f aca="false">HYPERLINK("https://mncourtfraud.com/file/MCRO_27-CR-21-13147_Notice_of_Case_Reassignment_2023-06-16_20251126183529.zip","MCRO_27-CR-21-13147_Notice_of_Case_Reassignment_2023-06-16_20251126183529.zip")</f>
        <v>MCRO_27-CR-21-13147_Notice_of_Case_Reassignment_2023-06-16_20251126183529.zip</v>
      </c>
    </row>
    <row r="229" customFormat="false" ht="18.7" hidden="false" customHeight="true" outlineLevel="0" collapsed="false">
      <c r="A229" s="1" t="n">
        <v>228</v>
      </c>
      <c r="B229" s="7" t="str">
        <f aca="false">HYPERLINK("https://mncourtfraud.com/file/27-CR-21-13147.pdf","27-CR-21-13147")</f>
        <v>27-CR-21-13147</v>
      </c>
      <c r="C229" s="1" t="n">
        <v>1</v>
      </c>
      <c r="D229" s="2" t="s">
        <v>12</v>
      </c>
      <c r="E229" s="8" t="n">
        <v>45160</v>
      </c>
      <c r="F229" s="2" t="s">
        <v>15</v>
      </c>
      <c r="G229" s="7" t="str">
        <f aca="false">HYPERLINK("https://mncourtfraud.com/file/MCRO_27-CR-21-13147_Order-Evaluation for Competency to Proceed (Rule 20.01)_2023-08-22_20251126183648.pdf","MCRO_27-CR-21-13147_Order-Evaluation for Competency to Proceed (Rule 20.01)_2023-08-22_20251126183648.pdf")</f>
        <v>MCRO_27-CR-21-13147_Order-Evaluation for Competency to Proceed (Rule 20.01)_2023-08-22_20251126183648.pdf</v>
      </c>
      <c r="H229" s="2" t="s">
        <v>249</v>
      </c>
      <c r="I229" s="7" t="str">
        <f aca="false">HYPERLINK("https://mncourtfraud.com/file/MCRO_27-CR-21-13147_Order-Evaluation for Competency to Proceed (Rule 20.01)_2023-08-22_20251126183648.pdf.ots","MCRO_27-CR-21-13147_Order-Evaluation for Competency to Proceed (Rule 20.01)_2023-08-22_20251126183648.pdf.ots")</f>
        <v>MCRO_27-CR-21-13147_Order-Evaluation for Competency to Proceed (Rule 20.01)_2023-08-22_20251126183648.pdf.ots</v>
      </c>
      <c r="J229" s="7" t="str">
        <f aca="false">HYPERLINK("https://mncourtfraud.com/file/MCRO_27-CR-21-13147_Order-Evaluation for Competency to Proceed (Rule 20.01)_2023-08-22_20251126183648_META.txt","MCRO_27-CR-21-13147_Order-Evaluation for Competency to Proceed (Rule 20.01)_2023-08-22_20251126183648_META.txt")</f>
        <v>MCRO_27-CR-21-13147_Order-Evaluation for Competency to Proceed (Rule 20.01)_2023-08-22_20251126183648_META.txt</v>
      </c>
      <c r="K229" s="7" t="str">
        <f aca="false">HYPERLINK("https://mncourtfraud.com/file/MCRO_27-CR-21-13147_Order-Evaluation for Competency to Proceed (Rule 20.01)_2023-08-22_20251126183648_PDFSIGS.txt","MCRO_27-CR-21-13147_Order-Evaluation for Competency to Proceed (Rule 20.01)_2023-08-22_20251126183648_PDFSIGS.txt")</f>
        <v>MCRO_27-CR-21-13147_Order-Evaluation for Competency to Proceed (Rule 20.01)_2023-08-22_20251126183648_PDFSIGS.txt</v>
      </c>
      <c r="L229" s="7" t="str">
        <f aca="false">HYPERLINK("https://mncourtfraud.com/file/MCRO_27-CR-21-13147_Order-Evaluation_for_Competency_to_Proceed_(Rule_20.01)_2023-08-22_20251126183648.zip","MCRO_27-CR-21-13147_Order-Evaluation_for_Competency_to_Proceed_(Rule_20.01)_2023-08-22_20251126183648.zip")</f>
        <v>MCRO_27-CR-21-13147_Order-Evaluation_for_Competency_to_Proceed_(Rule_20.01)_2023-08-22_20251126183648.zip</v>
      </c>
    </row>
    <row r="230" customFormat="false" ht="18.7" hidden="false" customHeight="true" outlineLevel="0" collapsed="false">
      <c r="A230" s="1" t="n">
        <v>229</v>
      </c>
      <c r="B230" s="7" t="str">
        <f aca="false">HYPERLINK("https://mncourtfraud.com/file/27-CR-21-13147.pdf","27-CR-21-13147")</f>
        <v>27-CR-21-13147</v>
      </c>
      <c r="C230" s="1" t="n">
        <v>1</v>
      </c>
      <c r="D230" s="2" t="s">
        <v>12</v>
      </c>
      <c r="E230" s="8" t="n">
        <v>45412</v>
      </c>
      <c r="F230" s="2" t="s">
        <v>24</v>
      </c>
      <c r="G230" s="7" t="str">
        <f aca="false">HYPERLINK("https://mncourtfraud.com/file/MCRO_27-CR-21-13147_Order for Conditional Release_2024-04-30_20251126183543.pdf","MCRO_27-CR-21-13147_Order for Conditional Release_2024-04-30_20251126183543.pdf")</f>
        <v>MCRO_27-CR-21-13147_Order for Conditional Release_2024-04-30_20251126183543.pdf</v>
      </c>
      <c r="H230" s="2" t="s">
        <v>250</v>
      </c>
      <c r="I230" s="7" t="str">
        <f aca="false">HYPERLINK("https://mncourtfraud.com/file/MCRO_27-CR-21-13147_Order for Conditional Release_2024-04-30_20251126183543.pdf.ots","MCRO_27-CR-21-13147_Order for Conditional Release_2024-04-30_20251126183543.pdf.ots")</f>
        <v>MCRO_27-CR-21-13147_Order for Conditional Release_2024-04-30_20251126183543.pdf.ots</v>
      </c>
      <c r="J230" s="7" t="str">
        <f aca="false">HYPERLINK("https://mncourtfraud.com/file/MCRO_27-CR-21-13147_Order for Conditional Release_2024-04-30_20251126183543_META.txt","MCRO_27-CR-21-13147_Order for Conditional Release_2024-04-30_20251126183543_META.txt")</f>
        <v>MCRO_27-CR-21-13147_Order for Conditional Release_2024-04-30_20251126183543_META.txt</v>
      </c>
      <c r="K230" s="7" t="str">
        <f aca="false">HYPERLINK("https://mncourtfraud.com/file/MCRO_27-CR-21-13147_Order for Conditional Release_2024-04-30_20251126183543_PDFSIGS.txt","MCRO_27-CR-21-13147_Order for Conditional Release_2024-04-30_20251126183543_PDFSIGS.txt")</f>
        <v>MCRO_27-CR-21-13147_Order for Conditional Release_2024-04-30_20251126183543_PDFSIGS.txt</v>
      </c>
      <c r="L230" s="7" t="str">
        <f aca="false">HYPERLINK("https://mncourtfraud.com/file/MCRO_27-CR-21-13147_Order_for_Conditional_Release_2024-04-30_20251126183543.zip","MCRO_27-CR-21-13147_Order_for_Conditional_Release_2024-04-30_20251126183543.zip")</f>
        <v>MCRO_27-CR-21-13147_Order_for_Conditional_Release_2024-04-30_20251126183543.zip</v>
      </c>
    </row>
    <row r="231" customFormat="false" ht="18.7" hidden="false" customHeight="true" outlineLevel="0" collapsed="false">
      <c r="A231" s="1" t="n">
        <v>230</v>
      </c>
      <c r="B231" s="7" t="str">
        <f aca="false">HYPERLINK("https://mncourtfraud.com/file/27-CR-21-13147.pdf","27-CR-21-13147")</f>
        <v>27-CR-21-13147</v>
      </c>
      <c r="C231" s="1" t="n">
        <v>1</v>
      </c>
      <c r="D231" s="2" t="s">
        <v>12</v>
      </c>
      <c r="E231" s="8" t="n">
        <v>45412</v>
      </c>
      <c r="F231" s="2" t="s">
        <v>15</v>
      </c>
      <c r="G231" s="7" t="str">
        <f aca="false">HYPERLINK("https://mncourtfraud.com/file/MCRO_27-CR-21-13147_Order-Evaluation for Competency to Proceed (Rule 20.01)_2024-04-30_20251126183656.pdf","MCRO_27-CR-21-13147_Order-Evaluation for Competency to Proceed (Rule 20.01)_2024-04-30_20251126183656.pdf")</f>
        <v>MCRO_27-CR-21-13147_Order-Evaluation for Competency to Proceed (Rule 20.01)_2024-04-30_20251126183656.pdf</v>
      </c>
      <c r="H231" s="2" t="s">
        <v>251</v>
      </c>
      <c r="I231" s="7" t="str">
        <f aca="false">HYPERLINK("https://mncourtfraud.com/file/MCRO_27-CR-21-13147_Order-Evaluation for Competency to Proceed (Rule 20.01)_2024-04-30_20251126183656.pdf.ots","MCRO_27-CR-21-13147_Order-Evaluation for Competency to Proceed (Rule 20.01)_2024-04-30_20251126183656.pdf.ots")</f>
        <v>MCRO_27-CR-21-13147_Order-Evaluation for Competency to Proceed (Rule 20.01)_2024-04-30_20251126183656.pdf.ots</v>
      </c>
      <c r="J231" s="7" t="str">
        <f aca="false">HYPERLINK("https://mncourtfraud.com/file/MCRO_27-CR-21-13147_Order-Evaluation for Competency to Proceed (Rule 20.01)_2024-04-30_20251126183656_META.txt","MCRO_27-CR-21-13147_Order-Evaluation for Competency to Proceed (Rule 20.01)_2024-04-30_20251126183656_META.txt")</f>
        <v>MCRO_27-CR-21-13147_Order-Evaluation for Competency to Proceed (Rule 20.01)_2024-04-30_20251126183656_META.txt</v>
      </c>
      <c r="K231" s="7" t="str">
        <f aca="false">HYPERLINK("https://mncourtfraud.com/file/MCRO_27-CR-21-13147_Order-Evaluation for Competency to Proceed (Rule 20.01)_2024-04-30_20251126183656_PDFSIGS.txt","MCRO_27-CR-21-13147_Order-Evaluation for Competency to Proceed (Rule 20.01)_2024-04-30_20251126183656_PDFSIGS.txt")</f>
        <v>MCRO_27-CR-21-13147_Order-Evaluation for Competency to Proceed (Rule 20.01)_2024-04-30_20251126183656_PDFSIGS.txt</v>
      </c>
      <c r="L231" s="7" t="str">
        <f aca="false">HYPERLINK("https://mncourtfraud.com/file/MCRO_27-CR-21-13147_Order-Evaluation_for_Competency_to_Proceed_(Rule_20.01)_2024-04-30_20251126183656.zip","MCRO_27-CR-21-13147_Order-Evaluation_for_Competency_to_Proceed_(Rule_20.01)_2024-04-30_20251126183656.zip")</f>
        <v>MCRO_27-CR-21-13147_Order-Evaluation_for_Competency_to_Proceed_(Rule_20.01)_2024-04-30_20251126183656.zip</v>
      </c>
    </row>
    <row r="232" customFormat="false" ht="18.7" hidden="false" customHeight="true" outlineLevel="0" collapsed="false">
      <c r="A232" s="1" t="n">
        <v>231</v>
      </c>
      <c r="B232" s="7" t="str">
        <f aca="false">HYPERLINK("https://mncourtfraud.com/file/27-CR-21-13150.pdf","27-CR-21-13150")</f>
        <v>27-CR-21-13150</v>
      </c>
      <c r="C232" s="1" t="n">
        <v>1</v>
      </c>
      <c r="D232" s="2" t="s">
        <v>12</v>
      </c>
      <c r="E232" s="8" t="n">
        <v>44396</v>
      </c>
      <c r="F232" s="2" t="s">
        <v>15</v>
      </c>
      <c r="G232" s="7" t="str">
        <f aca="false">HYPERLINK("https://mncourtfraud.com/file/MCRO_27-CR-21-13150_Order-Evaluation for Competency to Proceed (Rule 20.01)_2021-07-19_20251126183857.pdf","MCRO_27-CR-21-13150_Order-Evaluation for Competency to Proceed (Rule 20.01)_2021-07-19_20251126183857.pdf")</f>
        <v>MCRO_27-CR-21-13150_Order-Evaluation for Competency to Proceed (Rule 20.01)_2021-07-19_20251126183857.pdf</v>
      </c>
      <c r="H232" s="2" t="s">
        <v>252</v>
      </c>
      <c r="I232" s="7" t="str">
        <f aca="false">HYPERLINK("https://mncourtfraud.com/file/MCRO_27-CR-21-13150_Order-Evaluation for Competency to Proceed (Rule 20.01)_2021-07-19_20251126183857.pdf.ots","MCRO_27-CR-21-13150_Order-Evaluation for Competency to Proceed (Rule 20.01)_2021-07-19_20251126183857.pdf.ots")</f>
        <v>MCRO_27-CR-21-13150_Order-Evaluation for Competency to Proceed (Rule 20.01)_2021-07-19_20251126183857.pdf.ots</v>
      </c>
      <c r="J232" s="7" t="str">
        <f aca="false">HYPERLINK("https://mncourtfraud.com/file/MCRO_27-CR-21-13150_Order-Evaluation for Competency to Proceed (Rule 20.01)_2021-07-19_20251126183857_META.txt","MCRO_27-CR-21-13150_Order-Evaluation for Competency to Proceed (Rule 20.01)_2021-07-19_20251126183857_META.txt")</f>
        <v>MCRO_27-CR-21-13150_Order-Evaluation for Competency to Proceed (Rule 20.01)_2021-07-19_20251126183857_META.txt</v>
      </c>
      <c r="K232" s="7" t="str">
        <f aca="false">HYPERLINK("https://mncourtfraud.com/file/MCRO_27-CR-21-13150_Order-Evaluation for Competency to Proceed (Rule 20.01)_2021-07-19_20251126183857_PDFSIGS.txt","MCRO_27-CR-21-13150_Order-Evaluation for Competency to Proceed (Rule 20.01)_2021-07-19_20251126183857_PDFSIGS.txt")</f>
        <v>MCRO_27-CR-21-13150_Order-Evaluation for Competency to Proceed (Rule 20.01)_2021-07-19_20251126183857_PDFSIGS.txt</v>
      </c>
      <c r="L232" s="7" t="str">
        <f aca="false">HYPERLINK("https://mncourtfraud.com/file/MCRO_27-CR-21-13150_Order-Evaluation_for_Competency_to_Proceed_(Rule_20.01)_2021-07-19_20251126183857.zip","MCRO_27-CR-21-13150_Order-Evaluation_for_Competency_to_Proceed_(Rule_20.01)_2021-07-19_20251126183857.zip")</f>
        <v>MCRO_27-CR-21-13150_Order-Evaluation_for_Competency_to_Proceed_(Rule_20.01)_2021-07-19_20251126183857.zip</v>
      </c>
    </row>
    <row r="233" customFormat="false" ht="18.7" hidden="false" customHeight="true" outlineLevel="0" collapsed="false">
      <c r="A233" s="1" t="n">
        <v>232</v>
      </c>
      <c r="B233" s="7" t="str">
        <f aca="false">HYPERLINK("https://mncourtfraud.com/file/27-CR-21-13150.pdf","27-CR-21-13150")</f>
        <v>27-CR-21-13150</v>
      </c>
      <c r="C233" s="1" t="n">
        <v>1</v>
      </c>
      <c r="D233" s="2" t="s">
        <v>12</v>
      </c>
      <c r="E233" s="8" t="n">
        <v>44405</v>
      </c>
      <c r="F233" s="2" t="s">
        <v>145</v>
      </c>
      <c r="G233" s="7" t="str">
        <f aca="false">HYPERLINK("https://mncourtfraud.com/file/MCRO_27-CR-21-13150_Demand or Request for Discovery_2021-07-28_20251126183738.pdf","MCRO_27-CR-21-13150_Demand or Request for Discovery_2021-07-28_20251126183738.pdf")</f>
        <v>MCRO_27-CR-21-13150_Demand or Request for Discovery_2021-07-28_20251126183738.pdf</v>
      </c>
      <c r="H233" s="2" t="s">
        <v>253</v>
      </c>
      <c r="I233" s="7" t="str">
        <f aca="false">HYPERLINK("https://mncourtfraud.com/file/MCRO_27-CR-21-13150_Demand or Request for Discovery_2021-07-28_20251126183738.pdf.ots","MCRO_27-CR-21-13150_Demand or Request for Discovery_2021-07-28_20251126183738.pdf.ots")</f>
        <v>MCRO_27-CR-21-13150_Demand or Request for Discovery_2021-07-28_20251126183738.pdf.ots</v>
      </c>
      <c r="J233" s="7" t="str">
        <f aca="false">HYPERLINK("https://mncourtfraud.com/file/MCRO_27-CR-21-13150_Demand or Request for Discovery_2021-07-28_20251126183738_META.txt","MCRO_27-CR-21-13150_Demand or Request for Discovery_2021-07-28_20251126183738_META.txt")</f>
        <v>MCRO_27-CR-21-13150_Demand or Request for Discovery_2021-07-28_20251126183738_META.txt</v>
      </c>
      <c r="K233" s="7" t="str">
        <f aca="false">HYPERLINK("https://mncourtfraud.com/file/MCRO_27-CR-21-13150_Demand or Request for Discovery_2021-07-28_20251126183738_PDFSIGS.txt","MCRO_27-CR-21-13150_Demand or Request for Discovery_2021-07-28_20251126183738_PDFSIGS.txt")</f>
        <v>MCRO_27-CR-21-13150_Demand or Request for Discovery_2021-07-28_20251126183738_PDFSIGS.txt</v>
      </c>
      <c r="L233" s="7" t="str">
        <f aca="false">HYPERLINK("https://mncourtfraud.com/file/MCRO_27-CR-21-13150_Demand_or_Request_for_Discovery_2021-07-28_20251126183738.zip","MCRO_27-CR-21-13150_Demand_or_Request_for_Discovery_2021-07-28_20251126183738.zip")</f>
        <v>MCRO_27-CR-21-13150_Demand_or_Request_for_Discovery_2021-07-28_20251126183738.zip</v>
      </c>
    </row>
    <row r="234" customFormat="false" ht="18.7" hidden="false" customHeight="true" outlineLevel="0" collapsed="false">
      <c r="A234" s="1" t="n">
        <v>233</v>
      </c>
      <c r="B234" s="7" t="str">
        <f aca="false">HYPERLINK("https://mncourtfraud.com/file/27-CR-21-13150.pdf","27-CR-21-13150")</f>
        <v>27-CR-21-13150</v>
      </c>
      <c r="C234" s="1" t="n">
        <v>1</v>
      </c>
      <c r="D234" s="2" t="s">
        <v>12</v>
      </c>
      <c r="E234" s="8" t="n">
        <v>44439</v>
      </c>
      <c r="F234" s="2" t="s">
        <v>19</v>
      </c>
      <c r="G234" s="7" t="str">
        <f aca="false">HYPERLINK("https://mncourtfraud.com/file/MCRO_27-CR-21-13150_Findings and Order_2021-08-31_20251126183809.pdf","MCRO_27-CR-21-13150_Findings and Order_2021-08-31_20251126183809.pdf")</f>
        <v>MCRO_27-CR-21-13150_Findings and Order_2021-08-31_20251126183809.pdf</v>
      </c>
      <c r="H234" s="2" t="s">
        <v>254</v>
      </c>
      <c r="I234" s="7" t="str">
        <f aca="false">HYPERLINK("https://mncourtfraud.com/file/MCRO_27-CR-21-13150_Findings and Order_2021-08-31_20251126183809.pdf.ots","MCRO_27-CR-21-13150_Findings and Order_2021-08-31_20251126183809.pdf.ots")</f>
        <v>MCRO_27-CR-21-13150_Findings and Order_2021-08-31_20251126183809.pdf.ots</v>
      </c>
      <c r="J234" s="7" t="str">
        <f aca="false">HYPERLINK("https://mncourtfraud.com/file/MCRO_27-CR-21-13150_Findings and Order_2021-08-31_20251126183809_META.txt","MCRO_27-CR-21-13150_Findings and Order_2021-08-31_20251126183809_META.txt")</f>
        <v>MCRO_27-CR-21-13150_Findings and Order_2021-08-31_20251126183809_META.txt</v>
      </c>
      <c r="K234" s="7" t="str">
        <f aca="false">HYPERLINK("https://mncourtfraud.com/file/MCRO_27-CR-21-13150_Findings and Order_2021-08-31_20251126183809_PDFSIGS.txt","MCRO_27-CR-21-13150_Findings and Order_2021-08-31_20251126183809_PDFSIGS.txt")</f>
        <v>MCRO_27-CR-21-13150_Findings and Order_2021-08-31_20251126183809_PDFSIGS.txt</v>
      </c>
      <c r="L234" s="7" t="str">
        <f aca="false">HYPERLINK("https://mncourtfraud.com/file/MCRO_27-CR-21-13150_Findings_and_Order_2021-08-31_20251126183809.zip","MCRO_27-CR-21-13150_Findings_and_Order_2021-08-31_20251126183809.zip")</f>
        <v>MCRO_27-CR-21-13150_Findings_and_Order_2021-08-31_20251126183809.zip</v>
      </c>
    </row>
    <row r="235" customFormat="false" ht="18.7" hidden="false" customHeight="true" outlineLevel="0" collapsed="false">
      <c r="A235" s="1" t="n">
        <v>234</v>
      </c>
      <c r="B235" s="7" t="str">
        <f aca="false">HYPERLINK("https://mncourtfraud.com/file/27-CR-21-13150.pdf","27-CR-21-13150")</f>
        <v>27-CR-21-13150</v>
      </c>
      <c r="C235" s="1" t="n">
        <v>1</v>
      </c>
      <c r="D235" s="2" t="s">
        <v>12</v>
      </c>
      <c r="E235" s="8" t="n">
        <v>44460</v>
      </c>
      <c r="F235" s="2" t="s">
        <v>24</v>
      </c>
      <c r="G235" s="7" t="str">
        <f aca="false">HYPERLINK("https://mncourtfraud.com/file/MCRO_27-CR-21-13150_Order for Conditional Release_2021-09-21_20251126183841.pdf","MCRO_27-CR-21-13150_Order for Conditional Release_2021-09-21_20251126183841.pdf")</f>
        <v>MCRO_27-CR-21-13150_Order for Conditional Release_2021-09-21_20251126183841.pdf</v>
      </c>
      <c r="H235" s="2" t="s">
        <v>255</v>
      </c>
      <c r="I235" s="7" t="str">
        <f aca="false">HYPERLINK("https://mncourtfraud.com/file/MCRO_27-CR-21-13150_Order for Conditional Release_2021-09-21_20251126183841.pdf.ots","MCRO_27-CR-21-13150_Order for Conditional Release_2021-09-21_20251126183841.pdf.ots")</f>
        <v>MCRO_27-CR-21-13150_Order for Conditional Release_2021-09-21_20251126183841.pdf.ots</v>
      </c>
      <c r="J235" s="7" t="str">
        <f aca="false">HYPERLINK("https://mncourtfraud.com/file/MCRO_27-CR-21-13150_Order for Conditional Release_2021-09-21_20251126183841_META.txt","MCRO_27-CR-21-13150_Order for Conditional Release_2021-09-21_20251126183841_META.txt")</f>
        <v>MCRO_27-CR-21-13150_Order for Conditional Release_2021-09-21_20251126183841_META.txt</v>
      </c>
      <c r="K235" s="7" t="str">
        <f aca="false">HYPERLINK("https://mncourtfraud.com/file/MCRO_27-CR-21-13150_Order for Conditional Release_2021-09-21_20251126183841_PDFSIGS.txt","MCRO_27-CR-21-13150_Order for Conditional Release_2021-09-21_20251126183841_PDFSIGS.txt")</f>
        <v>MCRO_27-CR-21-13150_Order for Conditional Release_2021-09-21_20251126183841_PDFSIGS.txt</v>
      </c>
      <c r="L235" s="7" t="str">
        <f aca="false">HYPERLINK("https://mncourtfraud.com/file/MCRO_27-CR-21-13150_Order_for_Conditional_Release_2021-09-21_20251126183841.zip","MCRO_27-CR-21-13150_Order_for_Conditional_Release_2021-09-21_20251126183841.zip")</f>
        <v>MCRO_27-CR-21-13150_Order_for_Conditional_Release_2021-09-21_20251126183841.zip</v>
      </c>
    </row>
    <row r="236" customFormat="false" ht="18.7" hidden="false" customHeight="true" outlineLevel="0" collapsed="false">
      <c r="A236" s="1" t="n">
        <v>235</v>
      </c>
      <c r="B236" s="7" t="str">
        <f aca="false">HYPERLINK("https://mncourtfraud.com/file/27-CR-21-13150.pdf","27-CR-21-13150")</f>
        <v>27-CR-21-13150</v>
      </c>
      <c r="C236" s="1" t="n">
        <v>1</v>
      </c>
      <c r="D236" s="2" t="s">
        <v>12</v>
      </c>
      <c r="E236" s="8" t="n">
        <v>44468</v>
      </c>
      <c r="F236" s="2" t="s">
        <v>24</v>
      </c>
      <c r="G236" s="7" t="str">
        <f aca="false">HYPERLINK("https://mncourtfraud.com/file/MCRO_27-CR-21-13150_Order for Conditional Release_2021-09-29_20251126183846.pdf","MCRO_27-CR-21-13150_Order for Conditional Release_2021-09-29_20251126183846.pdf")</f>
        <v>MCRO_27-CR-21-13150_Order for Conditional Release_2021-09-29_20251126183846.pdf</v>
      </c>
      <c r="H236" s="2" t="s">
        <v>256</v>
      </c>
      <c r="I236" s="7" t="str">
        <f aca="false">HYPERLINK("https://mncourtfraud.com/file/MCRO_27-CR-21-13150_Order for Conditional Release_2021-09-29_20251126183846.pdf.ots","MCRO_27-CR-21-13150_Order for Conditional Release_2021-09-29_20251126183846.pdf.ots")</f>
        <v>MCRO_27-CR-21-13150_Order for Conditional Release_2021-09-29_20251126183846.pdf.ots</v>
      </c>
      <c r="J236" s="7" t="str">
        <f aca="false">HYPERLINK("https://mncourtfraud.com/file/MCRO_27-CR-21-13150_Order for Conditional Release_2021-09-29_20251126183846_META.txt","MCRO_27-CR-21-13150_Order for Conditional Release_2021-09-29_20251126183846_META.txt")</f>
        <v>MCRO_27-CR-21-13150_Order for Conditional Release_2021-09-29_20251126183846_META.txt</v>
      </c>
      <c r="K236" s="7" t="str">
        <f aca="false">HYPERLINK("https://mncourtfraud.com/file/MCRO_27-CR-21-13150_Order for Conditional Release_2021-09-29_20251126183846_PDFSIGS.txt","MCRO_27-CR-21-13150_Order for Conditional Release_2021-09-29_20251126183846_PDFSIGS.txt")</f>
        <v>MCRO_27-CR-21-13150_Order for Conditional Release_2021-09-29_20251126183846_PDFSIGS.txt</v>
      </c>
      <c r="L236" s="7" t="str">
        <f aca="false">HYPERLINK("https://mncourtfraud.com/file/MCRO_27-CR-21-13150_Order_for_Conditional_Release_2021-09-29_20251126183846.zip","MCRO_27-CR-21-13150_Order_for_Conditional_Release_2021-09-29_20251126183846.zip")</f>
        <v>MCRO_27-CR-21-13150_Order_for_Conditional_Release_2021-09-29_20251126183846.zip</v>
      </c>
    </row>
    <row r="237" customFormat="false" ht="18.7" hidden="false" customHeight="true" outlineLevel="0" collapsed="false">
      <c r="A237" s="1" t="n">
        <v>236</v>
      </c>
      <c r="B237" s="7" t="str">
        <f aca="false">HYPERLINK("https://mncourtfraud.com/file/27-CR-21-13150.pdf","27-CR-21-13150")</f>
        <v>27-CR-21-13150</v>
      </c>
      <c r="C237" s="1" t="n">
        <v>1</v>
      </c>
      <c r="D237" s="2" t="s">
        <v>12</v>
      </c>
      <c r="E237" s="8" t="n">
        <v>44543</v>
      </c>
      <c r="F237" s="2" t="s">
        <v>15</v>
      </c>
      <c r="G237" s="7" t="str">
        <f aca="false">HYPERLINK("https://mncourtfraud.com/file/MCRO_27-CR-21-13150_Order-Evaluation for Competency to Proceed (Rule 20.01)_2021-12-13_20251126183906.pdf","MCRO_27-CR-21-13150_Order-Evaluation for Competency to Proceed (Rule 20.01)_2021-12-13_20251126183906.pdf")</f>
        <v>MCRO_27-CR-21-13150_Order-Evaluation for Competency to Proceed (Rule 20.01)_2021-12-13_20251126183906.pdf</v>
      </c>
      <c r="H237" s="2" t="s">
        <v>257</v>
      </c>
      <c r="I237" s="7" t="str">
        <f aca="false">HYPERLINK("https://mncourtfraud.com/file/MCRO_27-CR-21-13150_Order-Evaluation for Competency to Proceed (Rule 20.01)_2021-12-13_20251126183906.pdf.ots","MCRO_27-CR-21-13150_Order-Evaluation for Competency to Proceed (Rule 20.01)_2021-12-13_20251126183906.pdf.ots")</f>
        <v>MCRO_27-CR-21-13150_Order-Evaluation for Competency to Proceed (Rule 20.01)_2021-12-13_20251126183906.pdf.ots</v>
      </c>
      <c r="J237" s="7" t="str">
        <f aca="false">HYPERLINK("https://mncourtfraud.com/file/MCRO_27-CR-21-13150_Order-Evaluation for Competency to Proceed (Rule 20.01)_2021-12-13_20251126183906_META.txt","MCRO_27-CR-21-13150_Order-Evaluation for Competency to Proceed (Rule 20.01)_2021-12-13_20251126183906_META.txt")</f>
        <v>MCRO_27-CR-21-13150_Order-Evaluation for Competency to Proceed (Rule 20.01)_2021-12-13_20251126183906_META.txt</v>
      </c>
      <c r="K237" s="7" t="str">
        <f aca="false">HYPERLINK("https://mncourtfraud.com/file/MCRO_27-CR-21-13150_Order-Evaluation for Competency to Proceed (Rule 20.01)_2021-12-13_20251126183906_PDFSIGS.txt","MCRO_27-CR-21-13150_Order-Evaluation for Competency to Proceed (Rule 20.01)_2021-12-13_20251126183906_PDFSIGS.txt")</f>
        <v>MCRO_27-CR-21-13150_Order-Evaluation for Competency to Proceed (Rule 20.01)_2021-12-13_20251126183906_PDFSIGS.txt</v>
      </c>
      <c r="L237" s="7" t="str">
        <f aca="false">HYPERLINK("https://mncourtfraud.com/file/MCRO_27-CR-21-13150_Order-Evaluation_for_Competency_to_Proceed_(Rule_20.01)_2021-12-13_20251126183906.zip","MCRO_27-CR-21-13150_Order-Evaluation_for_Competency_to_Proceed_(Rule_20.01)_2021-12-13_20251126183906.zip")</f>
        <v>MCRO_27-CR-21-13150_Order-Evaluation_for_Competency_to_Proceed_(Rule_20.01)_2021-12-13_20251126183906.zip</v>
      </c>
    </row>
    <row r="238" customFormat="false" ht="18.7" hidden="false" customHeight="true" outlineLevel="0" collapsed="false">
      <c r="A238" s="1" t="n">
        <v>237</v>
      </c>
      <c r="B238" s="7" t="str">
        <f aca="false">HYPERLINK("https://mncourtfraud.com/file/27-CR-21-13150.pdf","27-CR-21-13150")</f>
        <v>27-CR-21-13150</v>
      </c>
      <c r="C238" s="1" t="n">
        <v>1</v>
      </c>
      <c r="D238" s="2" t="s">
        <v>12</v>
      </c>
      <c r="E238" s="8" t="n">
        <v>44558</v>
      </c>
      <c r="F238" s="2" t="s">
        <v>15</v>
      </c>
      <c r="G238" s="7" t="str">
        <f aca="false">HYPERLINK("https://mncourtfraud.com/file/MCRO_27-CR-21-13150_Order-Evaluation for Competency to Proceed (Rule 20.01)_2021-12-28_20251126183913.pdf","MCRO_27-CR-21-13150_Order-Evaluation for Competency to Proceed (Rule 20.01)_2021-12-28_20251126183913.pdf")</f>
        <v>MCRO_27-CR-21-13150_Order-Evaluation for Competency to Proceed (Rule 20.01)_2021-12-28_20251126183913.pdf</v>
      </c>
      <c r="H238" s="2" t="s">
        <v>258</v>
      </c>
      <c r="I238" s="7" t="str">
        <f aca="false">HYPERLINK("https://mncourtfraud.com/file/MCRO_27-CR-21-13150_Order-Evaluation for Competency to Proceed (Rule 20.01)_2021-12-28_20251126183913.pdf.ots","MCRO_27-CR-21-13150_Order-Evaluation for Competency to Proceed (Rule 20.01)_2021-12-28_20251126183913.pdf.ots")</f>
        <v>MCRO_27-CR-21-13150_Order-Evaluation for Competency to Proceed (Rule 20.01)_2021-12-28_20251126183913.pdf.ots</v>
      </c>
      <c r="J238" s="7" t="str">
        <f aca="false">HYPERLINK("https://mncourtfraud.com/file/MCRO_27-CR-21-13150_Order-Evaluation for Competency to Proceed (Rule 20.01)_2021-12-28_20251126183913_META.txt","MCRO_27-CR-21-13150_Order-Evaluation for Competency to Proceed (Rule 20.01)_2021-12-28_20251126183913_META.txt")</f>
        <v>MCRO_27-CR-21-13150_Order-Evaluation for Competency to Proceed (Rule 20.01)_2021-12-28_20251126183913_META.txt</v>
      </c>
      <c r="K238" s="7" t="str">
        <f aca="false">HYPERLINK("https://mncourtfraud.com/file/MCRO_27-CR-21-13150_Order-Evaluation for Competency to Proceed (Rule 20.01)_2021-12-28_20251126183913_PDFSIGS.txt","MCRO_27-CR-21-13150_Order-Evaluation for Competency to Proceed (Rule 20.01)_2021-12-28_20251126183913_PDFSIGS.txt")</f>
        <v>MCRO_27-CR-21-13150_Order-Evaluation for Competency to Proceed (Rule 20.01)_2021-12-28_20251126183913_PDFSIGS.txt</v>
      </c>
      <c r="L238" s="7" t="str">
        <f aca="false">HYPERLINK("https://mncourtfraud.com/file/MCRO_27-CR-21-13150_Order-Evaluation_for_Competency_to_Proceed_(Rule_20.01)_2021-12-28_20251126183913.zip","MCRO_27-CR-21-13150_Order-Evaluation_for_Competency_to_Proceed_(Rule_20.01)_2021-12-28_20251126183913.zip")</f>
        <v>MCRO_27-CR-21-13150_Order-Evaluation_for_Competency_to_Proceed_(Rule_20.01)_2021-12-28_20251126183913.zip</v>
      </c>
    </row>
    <row r="239" customFormat="false" ht="18.7" hidden="false" customHeight="true" outlineLevel="0" collapsed="false">
      <c r="A239" s="1" t="n">
        <v>238</v>
      </c>
      <c r="B239" s="7" t="str">
        <f aca="false">HYPERLINK("https://mncourtfraud.com/file/27-CR-21-13150.pdf","27-CR-21-13150")</f>
        <v>27-CR-21-13150</v>
      </c>
      <c r="C239" s="1" t="n">
        <v>1</v>
      </c>
      <c r="D239" s="2" t="s">
        <v>12</v>
      </c>
      <c r="E239" s="8" t="n">
        <v>44593</v>
      </c>
      <c r="F239" s="2" t="s">
        <v>19</v>
      </c>
      <c r="G239" s="7" t="str">
        <f aca="false">HYPERLINK("https://mncourtfraud.com/file/MCRO_27-CR-21-13150_Findings and Order_2022-02-01_20251126183801.pdf","MCRO_27-CR-21-13150_Findings and Order_2022-02-01_20251126183801.pdf")</f>
        <v>MCRO_27-CR-21-13150_Findings and Order_2022-02-01_20251126183801.pdf</v>
      </c>
      <c r="H239" s="2" t="s">
        <v>259</v>
      </c>
      <c r="I239" s="7" t="str">
        <f aca="false">HYPERLINK("https://mncourtfraud.com/file/MCRO_27-CR-21-13150_Findings and Order_2022-02-01_20251126183801.pdf.ots","MCRO_27-CR-21-13150_Findings and Order_2022-02-01_20251126183801.pdf.ots")</f>
        <v>MCRO_27-CR-21-13150_Findings and Order_2022-02-01_20251126183801.pdf.ots</v>
      </c>
      <c r="J239" s="7" t="str">
        <f aca="false">HYPERLINK("https://mncourtfraud.com/file/MCRO_27-CR-21-13150_Findings and Order_2022-02-01_20251126183801_META.txt","MCRO_27-CR-21-13150_Findings and Order_2022-02-01_20251126183801_META.txt")</f>
        <v>MCRO_27-CR-21-13150_Findings and Order_2022-02-01_20251126183801_META.txt</v>
      </c>
      <c r="K239" s="7" t="str">
        <f aca="false">HYPERLINK("https://mncourtfraud.com/file/MCRO_27-CR-21-13150_Findings and Order_2022-02-01_20251126183801_PDFSIGS.txt","MCRO_27-CR-21-13150_Findings and Order_2022-02-01_20251126183801_PDFSIGS.txt")</f>
        <v>MCRO_27-CR-21-13150_Findings and Order_2022-02-01_20251126183801_PDFSIGS.txt</v>
      </c>
      <c r="L239" s="7" t="str">
        <f aca="false">HYPERLINK("https://mncourtfraud.com/file/MCRO_27-CR-21-13150_Findings_and_Order_2022-02-01_20251126183801.zip","MCRO_27-CR-21-13150_Findings_and_Order_2022-02-01_20251126183801.zip")</f>
        <v>MCRO_27-CR-21-13150_Findings_and_Order_2022-02-01_20251126183801.zip</v>
      </c>
    </row>
    <row r="240" customFormat="false" ht="18.7" hidden="false" customHeight="true" outlineLevel="0" collapsed="false">
      <c r="A240" s="1" t="n">
        <v>239</v>
      </c>
      <c r="B240" s="7" t="str">
        <f aca="false">HYPERLINK("https://mncourtfraud.com/file/27-CR-21-13150.pdf","27-CR-21-13150")</f>
        <v>27-CR-21-13150</v>
      </c>
      <c r="C240" s="1" t="n">
        <v>1</v>
      </c>
      <c r="D240" s="2" t="s">
        <v>12</v>
      </c>
      <c r="E240" s="8" t="n">
        <v>44692</v>
      </c>
      <c r="F240" s="2" t="s">
        <v>15</v>
      </c>
      <c r="G240" s="7" t="str">
        <f aca="false">HYPERLINK("https://mncourtfraud.com/file/MCRO_27-CR-21-13150_Order-Evaluation for Competency to Proceed (Rule 20.01)_2022-05-11_20251126183920.pdf","MCRO_27-CR-21-13150_Order-Evaluation for Competency to Proceed (Rule 20.01)_2022-05-11_20251126183920.pdf")</f>
        <v>MCRO_27-CR-21-13150_Order-Evaluation for Competency to Proceed (Rule 20.01)_2022-05-11_20251126183920.pdf</v>
      </c>
      <c r="H240" s="2" t="s">
        <v>260</v>
      </c>
      <c r="I240" s="7" t="str">
        <f aca="false">HYPERLINK("https://mncourtfraud.com/file/MCRO_27-CR-21-13150_Order-Evaluation for Competency to Proceed (Rule 20.01)_2022-05-11_20251126183920.pdf.ots","MCRO_27-CR-21-13150_Order-Evaluation for Competency to Proceed (Rule 20.01)_2022-05-11_20251126183920.pdf.ots")</f>
        <v>MCRO_27-CR-21-13150_Order-Evaluation for Competency to Proceed (Rule 20.01)_2022-05-11_20251126183920.pdf.ots</v>
      </c>
      <c r="J240" s="7" t="str">
        <f aca="false">HYPERLINK("https://mncourtfraud.com/file/MCRO_27-CR-21-13150_Order-Evaluation for Competency to Proceed (Rule 20.01)_2022-05-11_20251126183920_META.txt","MCRO_27-CR-21-13150_Order-Evaluation for Competency to Proceed (Rule 20.01)_2022-05-11_20251126183920_META.txt")</f>
        <v>MCRO_27-CR-21-13150_Order-Evaluation for Competency to Proceed (Rule 20.01)_2022-05-11_20251126183920_META.txt</v>
      </c>
      <c r="K240" s="7" t="str">
        <f aca="false">HYPERLINK("https://mncourtfraud.com/file/MCRO_27-CR-21-13150_Order-Evaluation for Competency to Proceed (Rule 20.01)_2022-05-11_20251126183920_PDFSIGS.txt","MCRO_27-CR-21-13150_Order-Evaluation for Competency to Proceed (Rule 20.01)_2022-05-11_20251126183920_PDFSIGS.txt")</f>
        <v>MCRO_27-CR-21-13150_Order-Evaluation for Competency to Proceed (Rule 20.01)_2022-05-11_20251126183920_PDFSIGS.txt</v>
      </c>
      <c r="L240" s="7" t="str">
        <f aca="false">HYPERLINK("https://mncourtfraud.com/file/MCRO_27-CR-21-13150_Order-Evaluation_for_Competency_to_Proceed_(Rule_20.01)_2022-05-11_20251126183920.zip","MCRO_27-CR-21-13150_Order-Evaluation_for_Competency_to_Proceed_(Rule_20.01)_2022-05-11_20251126183920.zip")</f>
        <v>MCRO_27-CR-21-13150_Order-Evaluation_for_Competency_to_Proceed_(Rule_20.01)_2022-05-11_20251126183920.zip</v>
      </c>
    </row>
    <row r="241" customFormat="false" ht="18.7" hidden="false" customHeight="true" outlineLevel="0" collapsed="false">
      <c r="A241" s="1" t="n">
        <v>240</v>
      </c>
      <c r="B241" s="7" t="str">
        <f aca="false">HYPERLINK("https://mncourtfraud.com/file/27-CR-21-13150.pdf","27-CR-21-13150")</f>
        <v>27-CR-21-13150</v>
      </c>
      <c r="C241" s="1" t="n">
        <v>1</v>
      </c>
      <c r="D241" s="2" t="s">
        <v>12</v>
      </c>
      <c r="E241" s="8" t="n">
        <v>44895</v>
      </c>
      <c r="F241" s="2" t="s">
        <v>15</v>
      </c>
      <c r="G241" s="7" t="str">
        <f aca="false">HYPERLINK("https://mncourtfraud.com/file/MCRO_27-CR-21-13150_Order-Evaluation for Competency to Proceed (Rule 20.01)_2022-11-30_20251126183927.pdf","MCRO_27-CR-21-13150_Order-Evaluation for Competency to Proceed (Rule 20.01)_2022-11-30_20251126183927.pdf")</f>
        <v>MCRO_27-CR-21-13150_Order-Evaluation for Competency to Proceed (Rule 20.01)_2022-11-30_20251126183927.pdf</v>
      </c>
      <c r="H241" s="2" t="s">
        <v>261</v>
      </c>
      <c r="I241" s="7" t="str">
        <f aca="false">HYPERLINK("https://mncourtfraud.com/file/MCRO_27-CR-21-13150_Order-Evaluation for Competency to Proceed (Rule 20.01)_2022-11-30_20251126183927.pdf.ots","MCRO_27-CR-21-13150_Order-Evaluation for Competency to Proceed (Rule 20.01)_2022-11-30_20251126183927.pdf.ots")</f>
        <v>MCRO_27-CR-21-13150_Order-Evaluation for Competency to Proceed (Rule 20.01)_2022-11-30_20251126183927.pdf.ots</v>
      </c>
      <c r="J241" s="7" t="str">
        <f aca="false">HYPERLINK("https://mncourtfraud.com/file/MCRO_27-CR-21-13150_Order-Evaluation for Competency to Proceed (Rule 20.01)_2022-11-30_20251126183927_META.txt","MCRO_27-CR-21-13150_Order-Evaluation for Competency to Proceed (Rule 20.01)_2022-11-30_20251126183927_META.txt")</f>
        <v>MCRO_27-CR-21-13150_Order-Evaluation for Competency to Proceed (Rule 20.01)_2022-11-30_20251126183927_META.txt</v>
      </c>
      <c r="K241" s="7" t="str">
        <f aca="false">HYPERLINK("https://mncourtfraud.com/file/MCRO_27-CR-21-13150_Order-Evaluation for Competency to Proceed (Rule 20.01)_2022-11-30_20251126183927_PDFSIGS.txt","MCRO_27-CR-21-13150_Order-Evaluation for Competency to Proceed (Rule 20.01)_2022-11-30_20251126183927_PDFSIGS.txt")</f>
        <v>MCRO_27-CR-21-13150_Order-Evaluation for Competency to Proceed (Rule 20.01)_2022-11-30_20251126183927_PDFSIGS.txt</v>
      </c>
      <c r="L241" s="7" t="str">
        <f aca="false">HYPERLINK("https://mncourtfraud.com/file/MCRO_27-CR-21-13150_Order-Evaluation_for_Competency_to_Proceed_(Rule_20.01)_2022-11-30_20251126183927.zip","MCRO_27-CR-21-13150_Order-Evaluation_for_Competency_to_Proceed_(Rule_20.01)_2022-11-30_20251126183927.zip")</f>
        <v>MCRO_27-CR-21-13150_Order-Evaluation_for_Competency_to_Proceed_(Rule_20.01)_2022-11-30_20251126183927.zip</v>
      </c>
    </row>
    <row r="242" customFormat="false" ht="18.7" hidden="false" customHeight="true" outlineLevel="0" collapsed="false">
      <c r="A242" s="1" t="n">
        <v>241</v>
      </c>
      <c r="B242" s="7" t="str">
        <f aca="false">HYPERLINK("https://mncourtfraud.com/file/27-CR-21-13150.pdf","27-CR-21-13150")</f>
        <v>27-CR-21-13150</v>
      </c>
      <c r="C242" s="1" t="n">
        <v>1</v>
      </c>
      <c r="D242" s="2" t="s">
        <v>12</v>
      </c>
      <c r="E242" s="8" t="n">
        <v>45048</v>
      </c>
      <c r="F242" s="2" t="s">
        <v>80</v>
      </c>
      <c r="G242" s="7" t="str">
        <f aca="false">HYPERLINK("https://mncourtfraud.com/file/MCRO_27-CR-21-13150_Finding of Incompetency and Order_2023-05-02_20251126183749.pdf","MCRO_27-CR-21-13150_Finding of Incompetency and Order_2023-05-02_20251126183749.pdf")</f>
        <v>MCRO_27-CR-21-13150_Finding of Incompetency and Order_2023-05-02_20251126183749.pdf</v>
      </c>
      <c r="H242" s="2" t="s">
        <v>262</v>
      </c>
      <c r="I242" s="7" t="str">
        <f aca="false">HYPERLINK("https://mncourtfraud.com/file/MCRO_27-CR-21-13150_Finding of Incompetency and Order_2023-05-02_20251126183749.pdf.ots","MCRO_27-CR-21-13150_Finding of Incompetency and Order_2023-05-02_20251126183749.pdf.ots")</f>
        <v>MCRO_27-CR-21-13150_Finding of Incompetency and Order_2023-05-02_20251126183749.pdf.ots</v>
      </c>
      <c r="J242" s="7" t="str">
        <f aca="false">HYPERLINK("https://mncourtfraud.com/file/MCRO_27-CR-21-13150_Finding of Incompetency and Order_2023-05-02_20251126183749_META.txt","MCRO_27-CR-21-13150_Finding of Incompetency and Order_2023-05-02_20251126183749_META.txt")</f>
        <v>MCRO_27-CR-21-13150_Finding of Incompetency and Order_2023-05-02_20251126183749_META.txt</v>
      </c>
      <c r="K242" s="7" t="str">
        <f aca="false">HYPERLINK("https://mncourtfraud.com/file/MCRO_27-CR-21-13150_Finding of Incompetency and Order_2023-05-02_20251126183749_PDFSIGS.txt","MCRO_27-CR-21-13150_Finding of Incompetency and Order_2023-05-02_20251126183749_PDFSIGS.txt")</f>
        <v>MCRO_27-CR-21-13150_Finding of Incompetency and Order_2023-05-02_20251126183749_PDFSIGS.txt</v>
      </c>
      <c r="L242" s="7" t="str">
        <f aca="false">HYPERLINK("https://mncourtfraud.com/file/MCRO_27-CR-21-13150_Finding_of_Incompetency_and_Order_2023-05-02_20251126183749.zip","MCRO_27-CR-21-13150_Finding_of_Incompetency_and_Order_2023-05-02_20251126183749.zip")</f>
        <v>MCRO_27-CR-21-13150_Finding_of_Incompetency_and_Order_2023-05-02_20251126183749.zip</v>
      </c>
    </row>
    <row r="243" customFormat="false" ht="18.7" hidden="false" customHeight="true" outlineLevel="0" collapsed="false">
      <c r="A243" s="1" t="n">
        <v>242</v>
      </c>
      <c r="B243" s="7" t="str">
        <f aca="false">HYPERLINK("https://mncourtfraud.com/file/27-CR-21-13150.pdf","27-CR-21-13150")</f>
        <v>27-CR-21-13150</v>
      </c>
      <c r="C243" s="1" t="n">
        <v>1</v>
      </c>
      <c r="D243" s="2" t="s">
        <v>12</v>
      </c>
      <c r="E243" s="8" t="n">
        <v>45093</v>
      </c>
      <c r="F243" s="2" t="s">
        <v>82</v>
      </c>
      <c r="G243" s="7" t="str">
        <f aca="false">HYPERLINK("https://mncourtfraud.com/file/MCRO_27-CR-21-13150_Notice of Case Reassignment_2023-06-16_20251126183821.pdf","MCRO_27-CR-21-13150_Notice of Case Reassignment_2023-06-16_20251126183821.pdf")</f>
        <v>MCRO_27-CR-21-13150_Notice of Case Reassignment_2023-06-16_20251126183821.pdf</v>
      </c>
      <c r="H243" s="2" t="s">
        <v>263</v>
      </c>
      <c r="I243" s="7" t="str">
        <f aca="false">HYPERLINK("https://mncourtfraud.com/file/MCRO_27-CR-21-13150_Notice of Case Reassignment_2023-06-16_20251126183821.pdf.ots","MCRO_27-CR-21-13150_Notice of Case Reassignment_2023-06-16_20251126183821.pdf.ots")</f>
        <v>MCRO_27-CR-21-13150_Notice of Case Reassignment_2023-06-16_20251126183821.pdf.ots</v>
      </c>
      <c r="J243" s="7" t="str">
        <f aca="false">HYPERLINK("https://mncourtfraud.com/file/MCRO_27-CR-21-13150_Notice of Case Reassignment_2023-06-16_20251126183821_META.txt","MCRO_27-CR-21-13150_Notice of Case Reassignment_2023-06-16_20251126183821_META.txt")</f>
        <v>MCRO_27-CR-21-13150_Notice of Case Reassignment_2023-06-16_20251126183821_META.txt</v>
      </c>
      <c r="K243" s="7" t="str">
        <f aca="false">HYPERLINK("https://mncourtfraud.com/file/MCRO_27-CR-21-13150_Notice of Case Reassignment_2023-06-16_20251126183821_PDFSIGS.txt","MCRO_27-CR-21-13150_Notice of Case Reassignment_2023-06-16_20251126183821_PDFSIGS.txt")</f>
        <v>MCRO_27-CR-21-13150_Notice of Case Reassignment_2023-06-16_20251126183821_PDFSIGS.txt</v>
      </c>
      <c r="L243" s="7" t="str">
        <f aca="false">HYPERLINK("https://mncourtfraud.com/file/MCRO_27-CR-21-13150_Notice_of_Case_Reassignment_2023-06-16_20251126183821.zip","MCRO_27-CR-21-13150_Notice_of_Case_Reassignment_2023-06-16_20251126183821.zip")</f>
        <v>MCRO_27-CR-21-13150_Notice_of_Case_Reassignment_2023-06-16_20251126183821.zip</v>
      </c>
    </row>
    <row r="244" customFormat="false" ht="18.7" hidden="false" customHeight="true" outlineLevel="0" collapsed="false">
      <c r="A244" s="1" t="n">
        <v>243</v>
      </c>
      <c r="B244" s="7" t="str">
        <f aca="false">HYPERLINK("https://mncourtfraud.com/file/27-CR-21-13150.pdf","27-CR-21-13150")</f>
        <v>27-CR-21-13150</v>
      </c>
      <c r="C244" s="1" t="n">
        <v>1</v>
      </c>
      <c r="D244" s="2" t="s">
        <v>12</v>
      </c>
      <c r="E244" s="8" t="n">
        <v>45160</v>
      </c>
      <c r="F244" s="2" t="s">
        <v>15</v>
      </c>
      <c r="G244" s="7" t="str">
        <f aca="false">HYPERLINK("https://mncourtfraud.com/file/MCRO_27-CR-21-13150_Order-Evaluation for Competency to Proceed (Rule 20.01)_2023-08-22_20251126183934.pdf","MCRO_27-CR-21-13150_Order-Evaluation for Competency to Proceed (Rule 20.01)_2023-08-22_20251126183934.pdf")</f>
        <v>MCRO_27-CR-21-13150_Order-Evaluation for Competency to Proceed (Rule 20.01)_2023-08-22_20251126183934.pdf</v>
      </c>
      <c r="H244" s="2" t="s">
        <v>264</v>
      </c>
      <c r="I244" s="7" t="str">
        <f aca="false">HYPERLINK("https://mncourtfraud.com/file/MCRO_27-CR-21-13150_Order-Evaluation for Competency to Proceed (Rule 20.01)_2023-08-22_20251126183934.pdf.ots","MCRO_27-CR-21-13150_Order-Evaluation for Competency to Proceed (Rule 20.01)_2023-08-22_20251126183934.pdf.ots")</f>
        <v>MCRO_27-CR-21-13150_Order-Evaluation for Competency to Proceed (Rule 20.01)_2023-08-22_20251126183934.pdf.ots</v>
      </c>
      <c r="J244" s="7" t="str">
        <f aca="false">HYPERLINK("https://mncourtfraud.com/file/MCRO_27-CR-21-13150_Order-Evaluation for Competency to Proceed (Rule 20.01)_2023-08-22_20251126183934_META.txt","MCRO_27-CR-21-13150_Order-Evaluation for Competency to Proceed (Rule 20.01)_2023-08-22_20251126183934_META.txt")</f>
        <v>MCRO_27-CR-21-13150_Order-Evaluation for Competency to Proceed (Rule 20.01)_2023-08-22_20251126183934_META.txt</v>
      </c>
      <c r="K244" s="7" t="str">
        <f aca="false">HYPERLINK("https://mncourtfraud.com/file/MCRO_27-CR-21-13150_Order-Evaluation for Competency to Proceed (Rule 20.01)_2023-08-22_20251126183934_PDFSIGS.txt","MCRO_27-CR-21-13150_Order-Evaluation for Competency to Proceed (Rule 20.01)_2023-08-22_20251126183934_PDFSIGS.txt")</f>
        <v>MCRO_27-CR-21-13150_Order-Evaluation for Competency to Proceed (Rule 20.01)_2023-08-22_20251126183934_PDFSIGS.txt</v>
      </c>
      <c r="L244" s="7" t="str">
        <f aca="false">HYPERLINK("https://mncourtfraud.com/file/MCRO_27-CR-21-13150_Order-Evaluation_for_Competency_to_Proceed_(Rule_20.01)_2023-08-22_20251126183934.zip","MCRO_27-CR-21-13150_Order-Evaluation_for_Competency_to_Proceed_(Rule_20.01)_2023-08-22_20251126183934.zip")</f>
        <v>MCRO_27-CR-21-13150_Order-Evaluation_for_Competency_to_Proceed_(Rule_20.01)_2023-08-22_20251126183934.zip</v>
      </c>
    </row>
    <row r="245" customFormat="false" ht="18.7" hidden="false" customHeight="true" outlineLevel="0" collapsed="false">
      <c r="A245" s="1" t="n">
        <v>244</v>
      </c>
      <c r="B245" s="7" t="str">
        <f aca="false">HYPERLINK("https://mncourtfraud.com/file/27-CR-21-13150.pdf","27-CR-21-13150")</f>
        <v>27-CR-21-13150</v>
      </c>
      <c r="C245" s="1" t="n">
        <v>1</v>
      </c>
      <c r="D245" s="2" t="s">
        <v>12</v>
      </c>
      <c r="E245" s="8" t="n">
        <v>45412</v>
      </c>
      <c r="F245" s="2" t="s">
        <v>24</v>
      </c>
      <c r="G245" s="7" t="str">
        <f aca="false">HYPERLINK("https://mncourtfraud.com/file/MCRO_27-CR-21-13150_Order for Conditional Release_2024-04-30_20251126183833.pdf","MCRO_27-CR-21-13150_Order for Conditional Release_2024-04-30_20251126183833.pdf")</f>
        <v>MCRO_27-CR-21-13150_Order for Conditional Release_2024-04-30_20251126183833.pdf</v>
      </c>
      <c r="H245" s="2" t="s">
        <v>265</v>
      </c>
      <c r="I245" s="7" t="str">
        <f aca="false">HYPERLINK("https://mncourtfraud.com/file/MCRO_27-CR-21-13150_Order for Conditional Release_2024-04-30_20251126183833.pdf.ots","MCRO_27-CR-21-13150_Order for Conditional Release_2024-04-30_20251126183833.pdf.ots")</f>
        <v>MCRO_27-CR-21-13150_Order for Conditional Release_2024-04-30_20251126183833.pdf.ots</v>
      </c>
      <c r="J245" s="7" t="str">
        <f aca="false">HYPERLINK("https://mncourtfraud.com/file/MCRO_27-CR-21-13150_Order for Conditional Release_2024-04-30_20251126183833_META.txt","MCRO_27-CR-21-13150_Order for Conditional Release_2024-04-30_20251126183833_META.txt")</f>
        <v>MCRO_27-CR-21-13150_Order for Conditional Release_2024-04-30_20251126183833_META.txt</v>
      </c>
      <c r="K245" s="7" t="str">
        <f aca="false">HYPERLINK("https://mncourtfraud.com/file/MCRO_27-CR-21-13150_Order for Conditional Release_2024-04-30_20251126183833_PDFSIGS.txt","MCRO_27-CR-21-13150_Order for Conditional Release_2024-04-30_20251126183833_PDFSIGS.txt")</f>
        <v>MCRO_27-CR-21-13150_Order for Conditional Release_2024-04-30_20251126183833_PDFSIGS.txt</v>
      </c>
      <c r="L245" s="7" t="str">
        <f aca="false">HYPERLINK("https://mncourtfraud.com/file/MCRO_27-CR-21-13150_Order_for_Conditional_Release_2024-04-30_20251126183833.zip","MCRO_27-CR-21-13150_Order_for_Conditional_Release_2024-04-30_20251126183833.zip")</f>
        <v>MCRO_27-CR-21-13150_Order_for_Conditional_Release_2024-04-30_20251126183833.zip</v>
      </c>
    </row>
    <row r="246" customFormat="false" ht="18.7" hidden="false" customHeight="true" outlineLevel="0" collapsed="false">
      <c r="A246" s="1" t="n">
        <v>245</v>
      </c>
      <c r="B246" s="7" t="str">
        <f aca="false">HYPERLINK("https://mncourtfraud.com/file/27-CR-21-13150.pdf","27-CR-21-13150")</f>
        <v>27-CR-21-13150</v>
      </c>
      <c r="C246" s="1" t="n">
        <v>1</v>
      </c>
      <c r="D246" s="2" t="s">
        <v>12</v>
      </c>
      <c r="E246" s="8" t="n">
        <v>45412</v>
      </c>
      <c r="F246" s="2" t="s">
        <v>15</v>
      </c>
      <c r="G246" s="7" t="str">
        <f aca="false">HYPERLINK("https://mncourtfraud.com/file/MCRO_27-CR-21-13150_Order-Evaluation for Competency to Proceed (Rule 20.01)_2024-04-30_20251126183942.pdf","MCRO_27-CR-21-13150_Order-Evaluation for Competency to Proceed (Rule 20.01)_2024-04-30_20251126183942.pdf")</f>
        <v>MCRO_27-CR-21-13150_Order-Evaluation for Competency to Proceed (Rule 20.01)_2024-04-30_20251126183942.pdf</v>
      </c>
      <c r="H246" s="2" t="s">
        <v>266</v>
      </c>
      <c r="I246" s="7" t="str">
        <f aca="false">HYPERLINK("https://mncourtfraud.com/file/MCRO_27-CR-21-13150_Order-Evaluation for Competency to Proceed (Rule 20.01)_2024-04-30_20251126183942.pdf.ots","MCRO_27-CR-21-13150_Order-Evaluation for Competency to Proceed (Rule 20.01)_2024-04-30_20251126183942.pdf.ots")</f>
        <v>MCRO_27-CR-21-13150_Order-Evaluation for Competency to Proceed (Rule 20.01)_2024-04-30_20251126183942.pdf.ots</v>
      </c>
      <c r="J246" s="7" t="str">
        <f aca="false">HYPERLINK("https://mncourtfraud.com/file/MCRO_27-CR-21-13150_Order-Evaluation for Competency to Proceed (Rule 20.01)_2024-04-30_20251126183942_META.txt","MCRO_27-CR-21-13150_Order-Evaluation for Competency to Proceed (Rule 20.01)_2024-04-30_20251126183942_META.txt")</f>
        <v>MCRO_27-CR-21-13150_Order-Evaluation for Competency to Proceed (Rule 20.01)_2024-04-30_20251126183942_META.txt</v>
      </c>
      <c r="K246" s="7" t="str">
        <f aca="false">HYPERLINK("https://mncourtfraud.com/file/MCRO_27-CR-21-13150_Order-Evaluation for Competency to Proceed (Rule 20.01)_2024-04-30_20251126183942_PDFSIGS.txt","MCRO_27-CR-21-13150_Order-Evaluation for Competency to Proceed (Rule 20.01)_2024-04-30_20251126183942_PDFSIGS.txt")</f>
        <v>MCRO_27-CR-21-13150_Order-Evaluation for Competency to Proceed (Rule 20.01)_2024-04-30_20251126183942_PDFSIGS.txt</v>
      </c>
      <c r="L246" s="7" t="str">
        <f aca="false">HYPERLINK("https://mncourtfraud.com/file/MCRO_27-CR-21-13150_Order-Evaluation_for_Competency_to_Proceed_(Rule_20.01)_2024-04-30_20251126183942.zip","MCRO_27-CR-21-13150_Order-Evaluation_for_Competency_to_Proceed_(Rule_20.01)_2024-04-30_20251126183942.zip")</f>
        <v>MCRO_27-CR-21-13150_Order-Evaluation_for_Competency_to_Proceed_(Rule_20.01)_2024-04-30_20251126183942.zip</v>
      </c>
    </row>
    <row r="247" customFormat="false" ht="18.7" hidden="false" customHeight="true" outlineLevel="0" collapsed="false">
      <c r="A247" s="1" t="n">
        <v>246</v>
      </c>
      <c r="B247" s="7" t="str">
        <f aca="false">HYPERLINK("https://mncourtfraud.com/file/27-CR-21-13526.pdf","27-CR-21-13526")</f>
        <v>27-CR-21-13526</v>
      </c>
      <c r="C247" s="1" t="n">
        <v>5</v>
      </c>
      <c r="D247" s="2" t="s">
        <v>267</v>
      </c>
      <c r="E247" s="8" t="n">
        <v>44733</v>
      </c>
      <c r="F247" s="2" t="s">
        <v>17</v>
      </c>
      <c r="G247" s="7" t="str">
        <f aca="false">HYPERLINK("https://mncourtfraud.com/file/MCRO_27-CR-21-13526_Returned Mail_2022-06-21_20251126164634.pdf","MCRO_27-CR-21-13526_Returned Mail_2022-06-21_20251126164634.pdf")</f>
        <v>MCRO_27-CR-21-13526_Returned Mail_2022-06-21_20251126164634.pdf</v>
      </c>
      <c r="H247" s="2" t="s">
        <v>268</v>
      </c>
      <c r="I247" s="7" t="str">
        <f aca="false">HYPERLINK("https://mncourtfraud.com/file/MCRO_27-CR-21-13526_Returned Mail_2022-06-21_20251126164634.pdf.ots","MCRO_27-CR-21-13526_Returned Mail_2022-06-21_20251126164634.pdf.ots")</f>
        <v>MCRO_27-CR-21-13526_Returned Mail_2022-06-21_20251126164634.pdf.ots</v>
      </c>
      <c r="J247" s="7" t="str">
        <f aca="false">HYPERLINK("https://mncourtfraud.com/file/MCRO_27-CR-21-13526_Returned Mail_2022-06-21_20251126164634_META.txt","MCRO_27-CR-21-13526_Returned Mail_2022-06-21_20251126164634_META.txt")</f>
        <v>MCRO_27-CR-21-13526_Returned Mail_2022-06-21_20251126164634_META.txt</v>
      </c>
      <c r="K247" s="7" t="str">
        <f aca="false">HYPERLINK("https://mncourtfraud.com/file/MCRO_27-CR-21-13526_Returned Mail_2022-06-21_20251126164634_PDFSIGS.txt","MCRO_27-CR-21-13526_Returned Mail_2022-06-21_20251126164634_PDFSIGS.txt")</f>
        <v>MCRO_27-CR-21-13526_Returned Mail_2022-06-21_20251126164634_PDFSIGS.txt</v>
      </c>
      <c r="L247" s="7" t="str">
        <f aca="false">HYPERLINK("https://mncourtfraud.com/file/MCRO_27-CR-21-13526_Returned_Mail_2022-06-21_20251126164634.zip","MCRO_27-CR-21-13526_Returned_Mail_2022-06-21_20251126164634.zip")</f>
        <v>MCRO_27-CR-21-13526_Returned_Mail_2022-06-21_20251126164634.zip</v>
      </c>
    </row>
    <row r="248" customFormat="false" ht="18.7" hidden="false" customHeight="true" outlineLevel="0" collapsed="false">
      <c r="A248" s="1" t="n">
        <v>247</v>
      </c>
      <c r="B248" s="7" t="str">
        <f aca="false">HYPERLINK("https://mncourtfraud.com/file/27-CR-21-13526.pdf","27-CR-21-13526")</f>
        <v>27-CR-21-13526</v>
      </c>
      <c r="C248" s="1" t="n">
        <v>5</v>
      </c>
      <c r="D248" s="2" t="s">
        <v>267</v>
      </c>
      <c r="E248" s="8" t="n">
        <v>44837</v>
      </c>
      <c r="F248" s="2" t="s">
        <v>17</v>
      </c>
      <c r="G248" s="7" t="str">
        <f aca="false">HYPERLINK("https://mncourtfraud.com/file/MCRO_27-CR-21-13526_Returned Mail_2022-10-03_20251126164501.pdf","MCRO_27-CR-21-13526_Returned Mail_2022-10-03_20251126164501.pdf")</f>
        <v>MCRO_27-CR-21-13526_Returned Mail_2022-10-03_20251126164501.pdf</v>
      </c>
      <c r="H248" s="2" t="s">
        <v>269</v>
      </c>
      <c r="I248" s="7" t="str">
        <f aca="false">HYPERLINK("https://mncourtfraud.com/file/MCRO_27-CR-21-13526_Returned Mail_2022-10-03_20251126164501.pdf.ots","MCRO_27-CR-21-13526_Returned Mail_2022-10-03_20251126164501.pdf.ots")</f>
        <v>MCRO_27-CR-21-13526_Returned Mail_2022-10-03_20251126164501.pdf.ots</v>
      </c>
      <c r="J248" s="7" t="str">
        <f aca="false">HYPERLINK("https://mncourtfraud.com/file/MCRO_27-CR-21-13526_Returned Mail_2022-10-03_20251126164501_META.txt","MCRO_27-CR-21-13526_Returned Mail_2022-10-03_20251126164501_META.txt")</f>
        <v>MCRO_27-CR-21-13526_Returned Mail_2022-10-03_20251126164501_META.txt</v>
      </c>
      <c r="K248" s="7" t="str">
        <f aca="false">HYPERLINK("https://mncourtfraud.com/file/MCRO_27-CR-21-13526_Returned Mail_2022-10-03_20251126164501_PDFSIGS.txt","MCRO_27-CR-21-13526_Returned Mail_2022-10-03_20251126164501_PDFSIGS.txt")</f>
        <v>MCRO_27-CR-21-13526_Returned Mail_2022-10-03_20251126164501_PDFSIGS.txt</v>
      </c>
      <c r="L248" s="7" t="str">
        <f aca="false">HYPERLINK("https://mncourtfraud.com/file/MCRO_27-CR-21-13526_Returned_Mail_2022-10-03_20251126164501.zip","MCRO_27-CR-21-13526_Returned_Mail_2022-10-03_20251126164501.zip")</f>
        <v>MCRO_27-CR-21-13526_Returned_Mail_2022-10-03_20251126164501.zip</v>
      </c>
    </row>
    <row r="249" customFormat="false" ht="18.7" hidden="false" customHeight="true" outlineLevel="0" collapsed="false">
      <c r="A249" s="1" t="n">
        <v>248</v>
      </c>
      <c r="B249" s="7" t="str">
        <f aca="false">HYPERLINK("https://mncourtfraud.com/file/27-CR-21-13526.pdf","27-CR-21-13526")</f>
        <v>27-CR-21-13526</v>
      </c>
      <c r="C249" s="1" t="n">
        <v>5</v>
      </c>
      <c r="D249" s="2" t="s">
        <v>267</v>
      </c>
      <c r="E249" s="8" t="n">
        <v>44873</v>
      </c>
      <c r="F249" s="2" t="s">
        <v>15</v>
      </c>
      <c r="G249" s="7" t="str">
        <f aca="false">HYPERLINK("https://mncourtfraud.com/file/MCRO_27-CR-21-13526_Order-Evaluation for Competency to Proceed (Rule 20.01)_2022-11-08_20251126164716.pdf","MCRO_27-CR-21-13526_Order-Evaluation for Competency to Proceed (Rule 20.01)_2022-11-08_20251126164716.pdf")</f>
        <v>MCRO_27-CR-21-13526_Order-Evaluation for Competency to Proceed (Rule 20.01)_2022-11-08_20251126164716.pdf</v>
      </c>
      <c r="H249" s="2" t="s">
        <v>270</v>
      </c>
      <c r="I249" s="7" t="str">
        <f aca="false">HYPERLINK("https://mncourtfraud.com/file/MCRO_27-CR-21-13526_Order-Evaluation for Competency to Proceed (Rule 20.01)_2022-11-08_20251126164716.pdf.ots","MCRO_27-CR-21-13526_Order-Evaluation for Competency to Proceed (Rule 20.01)_2022-11-08_20251126164716.pdf.ots")</f>
        <v>MCRO_27-CR-21-13526_Order-Evaluation for Competency to Proceed (Rule 20.01)_2022-11-08_20251126164716.pdf.ots</v>
      </c>
      <c r="J249" s="7" t="str">
        <f aca="false">HYPERLINK("https://mncourtfraud.com/file/MCRO_27-CR-21-13526_Order-Evaluation for Competency to Proceed (Rule 20.01)_2022-11-08_20251126164716_META.txt","MCRO_27-CR-21-13526_Order-Evaluation for Competency to Proceed (Rule 20.01)_2022-11-08_20251126164716_META.txt")</f>
        <v>MCRO_27-CR-21-13526_Order-Evaluation for Competency to Proceed (Rule 20.01)_2022-11-08_20251126164716_META.txt</v>
      </c>
      <c r="K249" s="7" t="str">
        <f aca="false">HYPERLINK("https://mncourtfraud.com/file/MCRO_27-CR-21-13526_Order-Evaluation for Competency to Proceed (Rule 20.01)_2022-11-08_20251126164716_PDFSIGS.txt","MCRO_27-CR-21-13526_Order-Evaluation for Competency to Proceed (Rule 20.01)_2022-11-08_20251126164716_PDFSIGS.txt")</f>
        <v>MCRO_27-CR-21-13526_Order-Evaluation for Competency to Proceed (Rule 20.01)_2022-11-08_20251126164716_PDFSIGS.txt</v>
      </c>
      <c r="L249" s="7" t="str">
        <f aca="false">HYPERLINK("https://mncourtfraud.com/file/MCRO_27-CR-21-13526_Order-Evaluation_for_Competency_to_Proceed_(Rule_20.01)_2022-11-08_20251126164716.zip","MCRO_27-CR-21-13526_Order-Evaluation_for_Competency_to_Proceed_(Rule_20.01)_2022-11-08_20251126164716.zip")</f>
        <v>MCRO_27-CR-21-13526_Order-Evaluation_for_Competency_to_Proceed_(Rule_20.01)_2022-11-08_20251126164716.zip</v>
      </c>
    </row>
    <row r="250" customFormat="false" ht="18.7" hidden="false" customHeight="true" outlineLevel="0" collapsed="false">
      <c r="A250" s="1" t="n">
        <v>249</v>
      </c>
      <c r="B250" s="7" t="str">
        <f aca="false">HYPERLINK("https://mncourtfraud.com/file/27-CR-21-13526.pdf","27-CR-21-13526")</f>
        <v>27-CR-21-13526</v>
      </c>
      <c r="C250" s="1" t="n">
        <v>5</v>
      </c>
      <c r="D250" s="2" t="s">
        <v>267</v>
      </c>
      <c r="E250" s="8" t="n">
        <v>45023</v>
      </c>
      <c r="F250" s="2" t="s">
        <v>15</v>
      </c>
      <c r="G250" s="7" t="str">
        <f aca="false">HYPERLINK("https://mncourtfraud.com/file/MCRO_27-CR-21-13526_Order-Evaluation for Competency to Proceed (Rule 20.01)_2023-04-07_20251126164730.pdf","MCRO_27-CR-21-13526_Order-Evaluation for Competency to Proceed (Rule 20.01)_2023-04-07_20251126164730.pdf")</f>
        <v>MCRO_27-CR-21-13526_Order-Evaluation for Competency to Proceed (Rule 20.01)_2023-04-07_20251126164730.pdf</v>
      </c>
      <c r="H250" s="2" t="s">
        <v>271</v>
      </c>
      <c r="I250" s="7" t="str">
        <f aca="false">HYPERLINK("https://mncourtfraud.com/file/MCRO_27-CR-21-13526_Order-Evaluation for Competency to Proceed (Rule 20.01)_2023-04-07_20251126164730.pdf.ots","MCRO_27-CR-21-13526_Order-Evaluation for Competency to Proceed (Rule 20.01)_2023-04-07_20251126164730.pdf.ots")</f>
        <v>MCRO_27-CR-21-13526_Order-Evaluation for Competency to Proceed (Rule 20.01)_2023-04-07_20251126164730.pdf.ots</v>
      </c>
      <c r="J250" s="7" t="str">
        <f aca="false">HYPERLINK("https://mncourtfraud.com/file/MCRO_27-CR-21-13526_Order-Evaluation for Competency to Proceed (Rule 20.01)_2023-04-07_20251126164730_META.txt","MCRO_27-CR-21-13526_Order-Evaluation for Competency to Proceed (Rule 20.01)_2023-04-07_20251126164730_META.txt")</f>
        <v>MCRO_27-CR-21-13526_Order-Evaluation for Competency to Proceed (Rule 20.01)_2023-04-07_20251126164730_META.txt</v>
      </c>
      <c r="K250" s="7" t="str">
        <f aca="false">HYPERLINK("https://mncourtfraud.com/file/MCRO_27-CR-21-13526_Order-Evaluation for Competency to Proceed (Rule 20.01)_2023-04-07_20251126164730_PDFSIGS.txt","MCRO_27-CR-21-13526_Order-Evaluation for Competency to Proceed (Rule 20.01)_2023-04-07_20251126164730_PDFSIGS.txt")</f>
        <v>MCRO_27-CR-21-13526_Order-Evaluation for Competency to Proceed (Rule 20.01)_2023-04-07_20251126164730_PDFSIGS.txt</v>
      </c>
      <c r="L250" s="7" t="str">
        <f aca="false">HYPERLINK("https://mncourtfraud.com/file/MCRO_27-CR-21-13526_Order-Evaluation_for_Competency_to_Proceed_(Rule_20.01)_2023-04-07_20251126164730.zip","MCRO_27-CR-21-13526_Order-Evaluation_for_Competency_to_Proceed_(Rule_20.01)_2023-04-07_20251126164730.zip")</f>
        <v>MCRO_27-CR-21-13526_Order-Evaluation_for_Competency_to_Proceed_(Rule_20.01)_2023-04-07_20251126164730.zip</v>
      </c>
    </row>
    <row r="251" customFormat="false" ht="18.7" hidden="false" customHeight="true" outlineLevel="0" collapsed="false">
      <c r="A251" s="1" t="n">
        <v>250</v>
      </c>
      <c r="B251" s="7" t="str">
        <f aca="false">HYPERLINK("https://mncourtfraud.com/file/27-CR-21-13526.pdf","27-CR-21-13526")</f>
        <v>27-CR-21-13526</v>
      </c>
      <c r="C251" s="1" t="n">
        <v>5</v>
      </c>
      <c r="D251" s="2" t="s">
        <v>267</v>
      </c>
      <c r="E251" s="8" t="n">
        <v>45194</v>
      </c>
      <c r="F251" s="2" t="s">
        <v>15</v>
      </c>
      <c r="G251" s="7" t="str">
        <f aca="false">HYPERLINK("https://mncourtfraud.com/file/MCRO_27-CR-21-13526_Order-Evaluation for Competency to Proceed (Rule 20.01)_2023-09-25_20251126164657.pdf","MCRO_27-CR-21-13526_Order-Evaluation for Competency to Proceed (Rule 20.01)_2023-09-25_20251126164657.pdf")</f>
        <v>MCRO_27-CR-21-13526_Order-Evaluation for Competency to Proceed (Rule 20.01)_2023-09-25_20251126164657.pdf</v>
      </c>
      <c r="H251" s="2" t="s">
        <v>272</v>
      </c>
      <c r="I251" s="7" t="str">
        <f aca="false">HYPERLINK("https://mncourtfraud.com/file/MCRO_27-CR-21-13526_Order-Evaluation for Competency to Proceed (Rule 20.01)_2023-09-25_20251126164657.pdf.ots","MCRO_27-CR-21-13526_Order-Evaluation for Competency to Proceed (Rule 20.01)_2023-09-25_20251126164657.pdf.ots")</f>
        <v>MCRO_27-CR-21-13526_Order-Evaluation for Competency to Proceed (Rule 20.01)_2023-09-25_20251126164657.pdf.ots</v>
      </c>
      <c r="J251" s="7" t="str">
        <f aca="false">HYPERLINK("https://mncourtfraud.com/file/MCRO_27-CR-21-13526_Order-Evaluation for Competency to Proceed (Rule 20.01)_2023-09-25_20251126164657_META.txt","MCRO_27-CR-21-13526_Order-Evaluation for Competency to Proceed (Rule 20.01)_2023-09-25_20251126164657_META.txt")</f>
        <v>MCRO_27-CR-21-13526_Order-Evaluation for Competency to Proceed (Rule 20.01)_2023-09-25_20251126164657_META.txt</v>
      </c>
      <c r="K251" s="7" t="str">
        <f aca="false">HYPERLINK("https://mncourtfraud.com/file/MCRO_27-CR-21-13526_Order-Evaluation for Competency to Proceed (Rule 20.01)_2023-09-25_20251126164657_PDFSIGS.txt","MCRO_27-CR-21-13526_Order-Evaluation for Competency to Proceed (Rule 20.01)_2023-09-25_20251126164657_PDFSIGS.txt")</f>
        <v>MCRO_27-CR-21-13526_Order-Evaluation for Competency to Proceed (Rule 20.01)_2023-09-25_20251126164657_PDFSIGS.txt</v>
      </c>
      <c r="L251" s="7" t="str">
        <f aca="false">HYPERLINK("https://mncourtfraud.com/file/MCRO_27-CR-21-13526_Order-Evaluation_for_Competency_to_Proceed_(Rule_20.01)_2023-09-25_20251126164657.zip","MCRO_27-CR-21-13526_Order-Evaluation_for_Competency_to_Proceed_(Rule_20.01)_2023-09-25_20251126164657.zip")</f>
        <v>MCRO_27-CR-21-13526_Order-Evaluation_for_Competency_to_Proceed_(Rule_20.01)_2023-09-25_20251126164657.zip</v>
      </c>
    </row>
    <row r="252" customFormat="false" ht="18.7" hidden="false" customHeight="true" outlineLevel="0" collapsed="false">
      <c r="A252" s="1" t="n">
        <v>251</v>
      </c>
      <c r="B252" s="7" t="str">
        <f aca="false">HYPERLINK("https://mncourtfraud.com/file/27-CR-21-14266.pdf","27-CR-21-14266")</f>
        <v>27-CR-21-14266</v>
      </c>
      <c r="C252" s="1" t="n">
        <v>5</v>
      </c>
      <c r="D252" s="2" t="s">
        <v>267</v>
      </c>
      <c r="E252" s="8" t="n">
        <v>44733</v>
      </c>
      <c r="F252" s="2" t="s">
        <v>17</v>
      </c>
      <c r="G252" s="7" t="str">
        <f aca="false">HYPERLINK("https://mncourtfraud.com/file/MCRO_27-CR-21-14266_Returned Mail_2022-06-21_20251126164918.pdf","MCRO_27-CR-21-14266_Returned Mail_2022-06-21_20251126164918.pdf")</f>
        <v>MCRO_27-CR-21-14266_Returned Mail_2022-06-21_20251126164918.pdf</v>
      </c>
      <c r="H252" s="2" t="s">
        <v>273</v>
      </c>
      <c r="I252" s="7" t="str">
        <f aca="false">HYPERLINK("https://mncourtfraud.com/file/MCRO_27-CR-21-14266_Returned Mail_2022-06-21_20251126164918.pdf.ots","MCRO_27-CR-21-14266_Returned Mail_2022-06-21_20251126164918.pdf.ots")</f>
        <v>MCRO_27-CR-21-14266_Returned Mail_2022-06-21_20251126164918.pdf.ots</v>
      </c>
      <c r="J252" s="7" t="str">
        <f aca="false">HYPERLINK("https://mncourtfraud.com/file/MCRO_27-CR-21-14266_Returned Mail_2022-06-21_20251126164918_META.txt","MCRO_27-CR-21-14266_Returned Mail_2022-06-21_20251126164918_META.txt")</f>
        <v>MCRO_27-CR-21-14266_Returned Mail_2022-06-21_20251126164918_META.txt</v>
      </c>
      <c r="K252" s="7" t="str">
        <f aca="false">HYPERLINK("https://mncourtfraud.com/file/MCRO_27-CR-21-14266_Returned Mail_2022-06-21_20251126164918_PDFSIGS.txt","MCRO_27-CR-21-14266_Returned Mail_2022-06-21_20251126164918_PDFSIGS.txt")</f>
        <v>MCRO_27-CR-21-14266_Returned Mail_2022-06-21_20251126164918_PDFSIGS.txt</v>
      </c>
      <c r="L252" s="7" t="str">
        <f aca="false">HYPERLINK("https://mncourtfraud.com/file/MCRO_27-CR-21-14266_Returned_Mail_2022-06-21_20251126164918.zip","MCRO_27-CR-21-14266_Returned_Mail_2022-06-21_20251126164918.zip")</f>
        <v>MCRO_27-CR-21-14266_Returned_Mail_2022-06-21_20251126164918.zip</v>
      </c>
    </row>
    <row r="253" customFormat="false" ht="18.7" hidden="false" customHeight="true" outlineLevel="0" collapsed="false">
      <c r="A253" s="1" t="n">
        <v>252</v>
      </c>
      <c r="B253" s="7" t="str">
        <f aca="false">HYPERLINK("https://mncourtfraud.com/file/27-CR-21-14266.pdf","27-CR-21-14266")</f>
        <v>27-CR-21-14266</v>
      </c>
      <c r="C253" s="1" t="n">
        <v>5</v>
      </c>
      <c r="D253" s="2" t="s">
        <v>267</v>
      </c>
      <c r="E253" s="8" t="n">
        <v>44837</v>
      </c>
      <c r="F253" s="2" t="s">
        <v>17</v>
      </c>
      <c r="G253" s="7" t="str">
        <f aca="false">HYPERLINK("https://mncourtfraud.com/file/MCRO_27-CR-21-14266_Returned Mail_2022-10-03_20251126164905.pdf","MCRO_27-CR-21-14266_Returned Mail_2022-10-03_20251126164905.pdf")</f>
        <v>MCRO_27-CR-21-14266_Returned Mail_2022-10-03_20251126164905.pdf</v>
      </c>
      <c r="H253" s="2" t="s">
        <v>274</v>
      </c>
      <c r="I253" s="7" t="str">
        <f aca="false">HYPERLINK("https://mncourtfraud.com/file/MCRO_27-CR-21-14266_Returned Mail_2022-10-03_20251126164905.pdf.ots","MCRO_27-CR-21-14266_Returned Mail_2022-10-03_20251126164905.pdf.ots")</f>
        <v>MCRO_27-CR-21-14266_Returned Mail_2022-10-03_20251126164905.pdf.ots</v>
      </c>
      <c r="J253" s="7" t="str">
        <f aca="false">HYPERLINK("https://mncourtfraud.com/file/MCRO_27-CR-21-14266_Returned Mail_2022-10-03_20251126164905_META.txt","MCRO_27-CR-21-14266_Returned Mail_2022-10-03_20251126164905_META.txt")</f>
        <v>MCRO_27-CR-21-14266_Returned Mail_2022-10-03_20251126164905_META.txt</v>
      </c>
      <c r="K253" s="7" t="str">
        <f aca="false">HYPERLINK("https://mncourtfraud.com/file/MCRO_27-CR-21-14266_Returned Mail_2022-10-03_20251126164905_PDFSIGS.txt","MCRO_27-CR-21-14266_Returned Mail_2022-10-03_20251126164905_PDFSIGS.txt")</f>
        <v>MCRO_27-CR-21-14266_Returned Mail_2022-10-03_20251126164905_PDFSIGS.txt</v>
      </c>
      <c r="L253" s="7" t="str">
        <f aca="false">HYPERLINK("https://mncourtfraud.com/file/MCRO_27-CR-21-14266_Returned_Mail_2022-10-03_20251126164905.zip","MCRO_27-CR-21-14266_Returned_Mail_2022-10-03_20251126164905.zip")</f>
        <v>MCRO_27-CR-21-14266_Returned_Mail_2022-10-03_20251126164905.zip</v>
      </c>
    </row>
    <row r="254" customFormat="false" ht="18.7" hidden="false" customHeight="true" outlineLevel="0" collapsed="false">
      <c r="A254" s="1" t="n">
        <v>253</v>
      </c>
      <c r="B254" s="7" t="str">
        <f aca="false">HYPERLINK("https://mncourtfraud.com/file/27-CR-21-14266.pdf","27-CR-21-14266")</f>
        <v>27-CR-21-14266</v>
      </c>
      <c r="C254" s="1" t="n">
        <v>5</v>
      </c>
      <c r="D254" s="2" t="s">
        <v>267</v>
      </c>
      <c r="E254" s="8" t="n">
        <v>44873</v>
      </c>
      <c r="F254" s="2" t="s">
        <v>15</v>
      </c>
      <c r="G254" s="7" t="str">
        <f aca="false">HYPERLINK("https://mncourtfraud.com/file/MCRO_27-CR-21-14266_Order-Evaluation for Competency to Proceed (Rule 20.01)_2022-11-08_20251126164836.pdf","MCRO_27-CR-21-14266_Order-Evaluation for Competency to Proceed (Rule 20.01)_2022-11-08_20251126164836.pdf")</f>
        <v>MCRO_27-CR-21-14266_Order-Evaluation for Competency to Proceed (Rule 20.01)_2022-11-08_20251126164836.pdf</v>
      </c>
      <c r="H254" s="2" t="s">
        <v>275</v>
      </c>
      <c r="I254" s="7" t="str">
        <f aca="false">HYPERLINK("https://mncourtfraud.com/file/MCRO_27-CR-21-14266_Order-Evaluation for Competency to Proceed (Rule 20.01)_2022-11-08_20251126164836.pdf.ots","MCRO_27-CR-21-14266_Order-Evaluation for Competency to Proceed (Rule 20.01)_2022-11-08_20251126164836.pdf.ots")</f>
        <v>MCRO_27-CR-21-14266_Order-Evaluation for Competency to Proceed (Rule 20.01)_2022-11-08_20251126164836.pdf.ots</v>
      </c>
      <c r="J254" s="7" t="str">
        <f aca="false">HYPERLINK("https://mncourtfraud.com/file/MCRO_27-CR-21-14266_Order-Evaluation for Competency to Proceed (Rule 20.01)_2022-11-08_20251126164836_META.txt","MCRO_27-CR-21-14266_Order-Evaluation for Competency to Proceed (Rule 20.01)_2022-11-08_20251126164836_META.txt")</f>
        <v>MCRO_27-CR-21-14266_Order-Evaluation for Competency to Proceed (Rule 20.01)_2022-11-08_20251126164836_META.txt</v>
      </c>
      <c r="K254" s="7" t="str">
        <f aca="false">HYPERLINK("https://mncourtfraud.com/file/MCRO_27-CR-21-14266_Order-Evaluation for Competency to Proceed (Rule 20.01)_2022-11-08_20251126164836_PDFSIGS.txt","MCRO_27-CR-21-14266_Order-Evaluation for Competency to Proceed (Rule 20.01)_2022-11-08_20251126164836_PDFSIGS.txt")</f>
        <v>MCRO_27-CR-21-14266_Order-Evaluation for Competency to Proceed (Rule 20.01)_2022-11-08_20251126164836_PDFSIGS.txt</v>
      </c>
      <c r="L254" s="7" t="str">
        <f aca="false">HYPERLINK("https://mncourtfraud.com/file/MCRO_27-CR-21-14266_Order-Evaluation_for_Competency_to_Proceed_(Rule_20.01)_2022-11-08_20251126164836.zip","MCRO_27-CR-21-14266_Order-Evaluation_for_Competency_to_Proceed_(Rule_20.01)_2022-11-08_20251126164836.zip")</f>
        <v>MCRO_27-CR-21-14266_Order-Evaluation_for_Competency_to_Proceed_(Rule_20.01)_2022-11-08_20251126164836.zip</v>
      </c>
    </row>
    <row r="255" customFormat="false" ht="18.7" hidden="false" customHeight="true" outlineLevel="0" collapsed="false">
      <c r="A255" s="1" t="n">
        <v>254</v>
      </c>
      <c r="B255" s="7" t="str">
        <f aca="false">HYPERLINK("https://mncourtfraud.com/file/27-CR-21-14266.pdf","27-CR-21-14266")</f>
        <v>27-CR-21-14266</v>
      </c>
      <c r="C255" s="1" t="n">
        <v>5</v>
      </c>
      <c r="D255" s="2" t="s">
        <v>267</v>
      </c>
      <c r="E255" s="8" t="n">
        <v>45023</v>
      </c>
      <c r="F255" s="2" t="s">
        <v>15</v>
      </c>
      <c r="G255" s="7" t="str">
        <f aca="false">HYPERLINK("https://mncourtfraud.com/file/MCRO_27-CR-21-14266_Order-Evaluation for Competency to Proceed (Rule 20.01)_2023-04-07_20251126164851.pdf","MCRO_27-CR-21-14266_Order-Evaluation for Competency to Proceed (Rule 20.01)_2023-04-07_20251126164851.pdf")</f>
        <v>MCRO_27-CR-21-14266_Order-Evaluation for Competency to Proceed (Rule 20.01)_2023-04-07_20251126164851.pdf</v>
      </c>
      <c r="H255" s="2" t="s">
        <v>276</v>
      </c>
      <c r="I255" s="7" t="str">
        <f aca="false">HYPERLINK("https://mncourtfraud.com/file/MCRO_27-CR-21-14266_Order-Evaluation for Competency to Proceed (Rule 20.01)_2023-04-07_20251126164851.pdf.ots","MCRO_27-CR-21-14266_Order-Evaluation for Competency to Proceed (Rule 20.01)_2023-04-07_20251126164851.pdf.ots")</f>
        <v>MCRO_27-CR-21-14266_Order-Evaluation for Competency to Proceed (Rule 20.01)_2023-04-07_20251126164851.pdf.ots</v>
      </c>
      <c r="J255" s="7" t="str">
        <f aca="false">HYPERLINK("https://mncourtfraud.com/file/MCRO_27-CR-21-14266_Order-Evaluation for Competency to Proceed (Rule 20.01)_2023-04-07_20251126164851_META.txt","MCRO_27-CR-21-14266_Order-Evaluation for Competency to Proceed (Rule 20.01)_2023-04-07_20251126164851_META.txt")</f>
        <v>MCRO_27-CR-21-14266_Order-Evaluation for Competency to Proceed (Rule 20.01)_2023-04-07_20251126164851_META.txt</v>
      </c>
      <c r="K255" s="7" t="str">
        <f aca="false">HYPERLINK("https://mncourtfraud.com/file/MCRO_27-CR-21-14266_Order-Evaluation for Competency to Proceed (Rule 20.01)_2023-04-07_20251126164851_PDFSIGS.txt","MCRO_27-CR-21-14266_Order-Evaluation for Competency to Proceed (Rule 20.01)_2023-04-07_20251126164851_PDFSIGS.txt")</f>
        <v>MCRO_27-CR-21-14266_Order-Evaluation for Competency to Proceed (Rule 20.01)_2023-04-07_20251126164851_PDFSIGS.txt</v>
      </c>
      <c r="L255" s="7" t="str">
        <f aca="false">HYPERLINK("https://mncourtfraud.com/file/MCRO_27-CR-21-14266_Order-Evaluation_for_Competency_to_Proceed_(Rule_20.01)_2023-04-07_20251126164851.zip","MCRO_27-CR-21-14266_Order-Evaluation_for_Competency_to_Proceed_(Rule_20.01)_2023-04-07_20251126164851.zip")</f>
        <v>MCRO_27-CR-21-14266_Order-Evaluation_for_Competency_to_Proceed_(Rule_20.01)_2023-04-07_20251126164851.zip</v>
      </c>
    </row>
    <row r="256" customFormat="false" ht="18.7" hidden="false" customHeight="true" outlineLevel="0" collapsed="false">
      <c r="A256" s="1" t="n">
        <v>255</v>
      </c>
      <c r="B256" s="7" t="str">
        <f aca="false">HYPERLINK("https://mncourtfraud.com/file/27-CR-21-14266.pdf","27-CR-21-14266")</f>
        <v>27-CR-21-14266</v>
      </c>
      <c r="C256" s="1" t="n">
        <v>5</v>
      </c>
      <c r="D256" s="2" t="s">
        <v>267</v>
      </c>
      <c r="E256" s="8" t="n">
        <v>45194</v>
      </c>
      <c r="F256" s="2" t="s">
        <v>15</v>
      </c>
      <c r="G256" s="7" t="str">
        <f aca="false">HYPERLINK("https://mncourtfraud.com/file/MCRO_27-CR-21-14266_Order-Evaluation for Competency to Proceed (Rule 20.01)_2023-09-25_20251126164823.pdf","MCRO_27-CR-21-14266_Order-Evaluation for Competency to Proceed (Rule 20.01)_2023-09-25_20251126164823.pdf")</f>
        <v>MCRO_27-CR-21-14266_Order-Evaluation for Competency to Proceed (Rule 20.01)_2023-09-25_20251126164823.pdf</v>
      </c>
      <c r="H256" s="2" t="s">
        <v>277</v>
      </c>
      <c r="I256" s="7" t="str">
        <f aca="false">HYPERLINK("https://mncourtfraud.com/file/MCRO_27-CR-21-14266_Order-Evaluation for Competency to Proceed (Rule 20.01)_2023-09-25_20251126164823.pdf.ots","MCRO_27-CR-21-14266_Order-Evaluation for Competency to Proceed (Rule 20.01)_2023-09-25_20251126164823.pdf.ots")</f>
        <v>MCRO_27-CR-21-14266_Order-Evaluation for Competency to Proceed (Rule 20.01)_2023-09-25_20251126164823.pdf.ots</v>
      </c>
      <c r="J256" s="7" t="str">
        <f aca="false">HYPERLINK("https://mncourtfraud.com/file/MCRO_27-CR-21-14266_Order-Evaluation for Competency to Proceed (Rule 20.01)_2023-09-25_20251126164823_META.txt","MCRO_27-CR-21-14266_Order-Evaluation for Competency to Proceed (Rule 20.01)_2023-09-25_20251126164823_META.txt")</f>
        <v>MCRO_27-CR-21-14266_Order-Evaluation for Competency to Proceed (Rule 20.01)_2023-09-25_20251126164823_META.txt</v>
      </c>
      <c r="K256" s="7" t="str">
        <f aca="false">HYPERLINK("https://mncourtfraud.com/file/MCRO_27-CR-21-14266_Order-Evaluation for Competency to Proceed (Rule 20.01)_2023-09-25_20251126164823_PDFSIGS.txt","MCRO_27-CR-21-14266_Order-Evaluation for Competency to Proceed (Rule 20.01)_2023-09-25_20251126164823_PDFSIGS.txt")</f>
        <v>MCRO_27-CR-21-14266_Order-Evaluation for Competency to Proceed (Rule 20.01)_2023-09-25_20251126164823_PDFSIGS.txt</v>
      </c>
      <c r="L256" s="7" t="str">
        <f aca="false">HYPERLINK("https://mncourtfraud.com/file/MCRO_27-CR-21-14266_Order-Evaluation_for_Competency_to_Proceed_(Rule_20.01)_2023-09-25_20251126164823.zip","MCRO_27-CR-21-14266_Order-Evaluation_for_Competency_to_Proceed_(Rule_20.01)_2023-09-25_20251126164823.zip")</f>
        <v>MCRO_27-CR-21-14266_Order-Evaluation_for_Competency_to_Proceed_(Rule_20.01)_2023-09-25_20251126164823.zip</v>
      </c>
    </row>
    <row r="257" customFormat="false" ht="18.7" hidden="false" customHeight="true" outlineLevel="0" collapsed="false">
      <c r="A257" s="1" t="n">
        <v>256</v>
      </c>
      <c r="B257" s="7" t="str">
        <f aca="false">HYPERLINK("https://mncourtfraud.com/file/27-CR-21-17656.pdf","27-CR-21-17656")</f>
        <v>27-CR-21-17656</v>
      </c>
      <c r="C257" s="1" t="n">
        <v>5</v>
      </c>
      <c r="D257" s="2" t="s">
        <v>267</v>
      </c>
      <c r="E257" s="8" t="n">
        <v>44733</v>
      </c>
      <c r="F257" s="2" t="s">
        <v>17</v>
      </c>
      <c r="G257" s="7" t="str">
        <f aca="false">HYPERLINK("https://mncourtfraud.com/file/MCRO_27-CR-21-17656_Returned Mail_2022-06-21_20251126165007.pdf","MCRO_27-CR-21-17656_Returned Mail_2022-06-21_20251126165007.pdf")</f>
        <v>MCRO_27-CR-21-17656_Returned Mail_2022-06-21_20251126165007.pdf</v>
      </c>
      <c r="H257" s="2" t="s">
        <v>278</v>
      </c>
      <c r="I257" s="7" t="str">
        <f aca="false">HYPERLINK("https://mncourtfraud.com/file/MCRO_27-CR-21-17656_Returned Mail_2022-06-21_20251126165007.pdf.ots","MCRO_27-CR-21-17656_Returned Mail_2022-06-21_20251126165007.pdf.ots")</f>
        <v>MCRO_27-CR-21-17656_Returned Mail_2022-06-21_20251126165007.pdf.ots</v>
      </c>
      <c r="J257" s="7" t="str">
        <f aca="false">HYPERLINK("https://mncourtfraud.com/file/MCRO_27-CR-21-17656_Returned Mail_2022-06-21_20251126165007_META.txt","MCRO_27-CR-21-17656_Returned Mail_2022-06-21_20251126165007_META.txt")</f>
        <v>MCRO_27-CR-21-17656_Returned Mail_2022-06-21_20251126165007_META.txt</v>
      </c>
      <c r="K257" s="7" t="str">
        <f aca="false">HYPERLINK("https://mncourtfraud.com/file/MCRO_27-CR-21-17656_Returned Mail_2022-06-21_20251126165007_PDFSIGS.txt","MCRO_27-CR-21-17656_Returned Mail_2022-06-21_20251126165007_PDFSIGS.txt")</f>
        <v>MCRO_27-CR-21-17656_Returned Mail_2022-06-21_20251126165007_PDFSIGS.txt</v>
      </c>
      <c r="L257" s="7" t="str">
        <f aca="false">HYPERLINK("https://mncourtfraud.com/file/MCRO_27-CR-21-17656_Returned_Mail_2022-06-21_20251126165007.zip","MCRO_27-CR-21-17656_Returned_Mail_2022-06-21_20251126165007.zip")</f>
        <v>MCRO_27-CR-21-17656_Returned_Mail_2022-06-21_20251126165007.zip</v>
      </c>
    </row>
    <row r="258" customFormat="false" ht="18.7" hidden="false" customHeight="true" outlineLevel="0" collapsed="false">
      <c r="A258" s="1" t="n">
        <v>257</v>
      </c>
      <c r="B258" s="7" t="str">
        <f aca="false">HYPERLINK("https://mncourtfraud.com/file/27-CR-21-17656.pdf","27-CR-21-17656")</f>
        <v>27-CR-21-17656</v>
      </c>
      <c r="C258" s="1" t="n">
        <v>5</v>
      </c>
      <c r="D258" s="2" t="s">
        <v>267</v>
      </c>
      <c r="E258" s="8" t="n">
        <v>44837</v>
      </c>
      <c r="F258" s="2" t="s">
        <v>17</v>
      </c>
      <c r="G258" s="7" t="str">
        <f aca="false">HYPERLINK("https://mncourtfraud.com/file/MCRO_27-CR-21-17656_Returned Mail_2022-10-03_20251126164949.pdf","MCRO_27-CR-21-17656_Returned Mail_2022-10-03_20251126164949.pdf")</f>
        <v>MCRO_27-CR-21-17656_Returned Mail_2022-10-03_20251126164949.pdf</v>
      </c>
      <c r="H258" s="2" t="s">
        <v>279</v>
      </c>
      <c r="I258" s="7" t="str">
        <f aca="false">HYPERLINK("https://mncourtfraud.com/file/MCRO_27-CR-21-17656_Returned Mail_2022-10-03_20251126164949.pdf.ots","MCRO_27-CR-21-17656_Returned Mail_2022-10-03_20251126164949.pdf.ots")</f>
        <v>MCRO_27-CR-21-17656_Returned Mail_2022-10-03_20251126164949.pdf.ots</v>
      </c>
      <c r="J258" s="7" t="str">
        <f aca="false">HYPERLINK("https://mncourtfraud.com/file/MCRO_27-CR-21-17656_Returned Mail_2022-10-03_20251126164949_META.txt","MCRO_27-CR-21-17656_Returned Mail_2022-10-03_20251126164949_META.txt")</f>
        <v>MCRO_27-CR-21-17656_Returned Mail_2022-10-03_20251126164949_META.txt</v>
      </c>
      <c r="K258" s="7" t="str">
        <f aca="false">HYPERLINK("https://mncourtfraud.com/file/MCRO_27-CR-21-17656_Returned Mail_2022-10-03_20251126164949_PDFSIGS.txt","MCRO_27-CR-21-17656_Returned Mail_2022-10-03_20251126164949_PDFSIGS.txt")</f>
        <v>MCRO_27-CR-21-17656_Returned Mail_2022-10-03_20251126164949_PDFSIGS.txt</v>
      </c>
      <c r="L258" s="7" t="str">
        <f aca="false">HYPERLINK("https://mncourtfraud.com/file/MCRO_27-CR-21-17656_Returned_Mail_2022-10-03_20251126164949.zip","MCRO_27-CR-21-17656_Returned_Mail_2022-10-03_20251126164949.zip")</f>
        <v>MCRO_27-CR-21-17656_Returned_Mail_2022-10-03_20251126164949.zip</v>
      </c>
    </row>
    <row r="259" customFormat="false" ht="18.7" hidden="false" customHeight="true" outlineLevel="0" collapsed="false">
      <c r="A259" s="1" t="n">
        <v>258</v>
      </c>
      <c r="B259" s="7" t="str">
        <f aca="false">HYPERLINK("https://mncourtfraud.com/file/27-CR-21-17656.pdf","27-CR-21-17656")</f>
        <v>27-CR-21-17656</v>
      </c>
      <c r="C259" s="1" t="n">
        <v>5</v>
      </c>
      <c r="D259" s="2" t="s">
        <v>267</v>
      </c>
      <c r="E259" s="8" t="n">
        <v>44873</v>
      </c>
      <c r="F259" s="2" t="s">
        <v>15</v>
      </c>
      <c r="G259" s="7" t="str">
        <f aca="false">HYPERLINK("https://mncourtfraud.com/file/MCRO_27-CR-21-17656_Order-Evaluation for Competency to Proceed (Rule 20.01)_2022-11-08_20251126165032.pdf","MCRO_27-CR-21-17656_Order-Evaluation for Competency to Proceed (Rule 20.01)_2022-11-08_20251126165032.pdf")</f>
        <v>MCRO_27-CR-21-17656_Order-Evaluation for Competency to Proceed (Rule 20.01)_2022-11-08_20251126165032.pdf</v>
      </c>
      <c r="H259" s="2" t="s">
        <v>280</v>
      </c>
      <c r="I259" s="7" t="str">
        <f aca="false">HYPERLINK("https://mncourtfraud.com/file/MCRO_27-CR-21-17656_Order-Evaluation for Competency to Proceed (Rule 20.01)_2022-11-08_20251126165032.pdf.ots","MCRO_27-CR-21-17656_Order-Evaluation for Competency to Proceed (Rule 20.01)_2022-11-08_20251126165032.pdf.ots")</f>
        <v>MCRO_27-CR-21-17656_Order-Evaluation for Competency to Proceed (Rule 20.01)_2022-11-08_20251126165032.pdf.ots</v>
      </c>
      <c r="J259" s="7" t="str">
        <f aca="false">HYPERLINK("https://mncourtfraud.com/file/MCRO_27-CR-21-17656_Order-Evaluation for Competency to Proceed (Rule 20.01)_2022-11-08_20251126165032_META.txt","MCRO_27-CR-21-17656_Order-Evaluation for Competency to Proceed (Rule 20.01)_2022-11-08_20251126165032_META.txt")</f>
        <v>MCRO_27-CR-21-17656_Order-Evaluation for Competency to Proceed (Rule 20.01)_2022-11-08_20251126165032_META.txt</v>
      </c>
      <c r="K259" s="7" t="str">
        <f aca="false">HYPERLINK("https://mncourtfraud.com/file/MCRO_27-CR-21-17656_Order-Evaluation for Competency to Proceed (Rule 20.01)_2022-11-08_20251126165032_PDFSIGS.txt","MCRO_27-CR-21-17656_Order-Evaluation for Competency to Proceed (Rule 20.01)_2022-11-08_20251126165032_PDFSIGS.txt")</f>
        <v>MCRO_27-CR-21-17656_Order-Evaluation for Competency to Proceed (Rule 20.01)_2022-11-08_20251126165032_PDFSIGS.txt</v>
      </c>
      <c r="L259" s="7" t="str">
        <f aca="false">HYPERLINK("https://mncourtfraud.com/file/MCRO_27-CR-21-17656_Order-Evaluation_for_Competency_to_Proceed_(Rule_20.01)_2022-11-08_20251126165032.zip","MCRO_27-CR-21-17656_Order-Evaluation_for_Competency_to_Proceed_(Rule_20.01)_2022-11-08_20251126165032.zip")</f>
        <v>MCRO_27-CR-21-17656_Order-Evaluation_for_Competency_to_Proceed_(Rule_20.01)_2022-11-08_20251126165032.zip</v>
      </c>
    </row>
    <row r="260" customFormat="false" ht="18.7" hidden="false" customHeight="true" outlineLevel="0" collapsed="false">
      <c r="A260" s="1" t="n">
        <v>259</v>
      </c>
      <c r="B260" s="7" t="str">
        <f aca="false">HYPERLINK("https://mncourtfraud.com/file/27-CR-21-17656.pdf","27-CR-21-17656")</f>
        <v>27-CR-21-17656</v>
      </c>
      <c r="C260" s="1" t="n">
        <v>5</v>
      </c>
      <c r="D260" s="2" t="s">
        <v>267</v>
      </c>
      <c r="E260" s="8" t="n">
        <v>45023</v>
      </c>
      <c r="F260" s="2" t="s">
        <v>15</v>
      </c>
      <c r="G260" s="7" t="str">
        <f aca="false">HYPERLINK("https://mncourtfraud.com/file/MCRO_27-CR-21-17656_Order-Evaluation for Competency to Proceed (Rule 20.01)_2023-04-07_20251126165044.pdf","MCRO_27-CR-21-17656_Order-Evaluation for Competency to Proceed (Rule 20.01)_2023-04-07_20251126165044.pdf")</f>
        <v>MCRO_27-CR-21-17656_Order-Evaluation for Competency to Proceed (Rule 20.01)_2023-04-07_20251126165044.pdf</v>
      </c>
      <c r="H260" s="2" t="s">
        <v>281</v>
      </c>
      <c r="I260" s="7" t="str">
        <f aca="false">HYPERLINK("https://mncourtfraud.com/file/MCRO_27-CR-21-17656_Order-Evaluation for Competency to Proceed (Rule 20.01)_2023-04-07_20251126165044.pdf.ots","MCRO_27-CR-21-17656_Order-Evaluation for Competency to Proceed (Rule 20.01)_2023-04-07_20251126165044.pdf.ots")</f>
        <v>MCRO_27-CR-21-17656_Order-Evaluation for Competency to Proceed (Rule 20.01)_2023-04-07_20251126165044.pdf.ots</v>
      </c>
      <c r="J260" s="7" t="str">
        <f aca="false">HYPERLINK("https://mncourtfraud.com/file/MCRO_27-CR-21-17656_Order-Evaluation for Competency to Proceed (Rule 20.01)_2023-04-07_20251126165044_META.txt","MCRO_27-CR-21-17656_Order-Evaluation for Competency to Proceed (Rule 20.01)_2023-04-07_20251126165044_META.txt")</f>
        <v>MCRO_27-CR-21-17656_Order-Evaluation for Competency to Proceed (Rule 20.01)_2023-04-07_20251126165044_META.txt</v>
      </c>
      <c r="K260" s="7" t="str">
        <f aca="false">HYPERLINK("https://mncourtfraud.com/file/MCRO_27-CR-21-17656_Order-Evaluation for Competency to Proceed (Rule 20.01)_2023-04-07_20251126165044_PDFSIGS.txt","MCRO_27-CR-21-17656_Order-Evaluation for Competency to Proceed (Rule 20.01)_2023-04-07_20251126165044_PDFSIGS.txt")</f>
        <v>MCRO_27-CR-21-17656_Order-Evaluation for Competency to Proceed (Rule 20.01)_2023-04-07_20251126165044_PDFSIGS.txt</v>
      </c>
      <c r="L260" s="7" t="str">
        <f aca="false">HYPERLINK("https://mncourtfraud.com/file/MCRO_27-CR-21-17656_Order-Evaluation_for_Competency_to_Proceed_(Rule_20.01)_2023-04-07_20251126165044.zip","MCRO_27-CR-21-17656_Order-Evaluation_for_Competency_to_Proceed_(Rule_20.01)_2023-04-07_20251126165044.zip")</f>
        <v>MCRO_27-CR-21-17656_Order-Evaluation_for_Competency_to_Proceed_(Rule_20.01)_2023-04-07_20251126165044.zip</v>
      </c>
    </row>
    <row r="261" customFormat="false" ht="18.7" hidden="false" customHeight="true" outlineLevel="0" collapsed="false">
      <c r="A261" s="1" t="n">
        <v>260</v>
      </c>
      <c r="B261" s="7" t="str">
        <f aca="false">HYPERLINK("https://mncourtfraud.com/file/27-CR-21-17656.pdf","27-CR-21-17656")</f>
        <v>27-CR-21-17656</v>
      </c>
      <c r="C261" s="1" t="n">
        <v>5</v>
      </c>
      <c r="D261" s="2" t="s">
        <v>267</v>
      </c>
      <c r="E261" s="8" t="n">
        <v>45194</v>
      </c>
      <c r="F261" s="2" t="s">
        <v>15</v>
      </c>
      <c r="G261" s="7" t="str">
        <f aca="false">HYPERLINK("https://mncourtfraud.com/file/MCRO_27-CR-21-17656_Order-Evaluation for Competency to Proceed (Rule 20.01)_2023-09-25_20251126165021.pdf","MCRO_27-CR-21-17656_Order-Evaluation for Competency to Proceed (Rule 20.01)_2023-09-25_20251126165021.pdf")</f>
        <v>MCRO_27-CR-21-17656_Order-Evaluation for Competency to Proceed (Rule 20.01)_2023-09-25_20251126165021.pdf</v>
      </c>
      <c r="H261" s="2" t="s">
        <v>282</v>
      </c>
      <c r="I261" s="7" t="str">
        <f aca="false">HYPERLINK("https://mncourtfraud.com/file/MCRO_27-CR-21-17656_Order-Evaluation for Competency to Proceed (Rule 20.01)_2023-09-25_20251126165021.pdf.ots","MCRO_27-CR-21-17656_Order-Evaluation for Competency to Proceed (Rule 20.01)_2023-09-25_20251126165021.pdf.ots")</f>
        <v>MCRO_27-CR-21-17656_Order-Evaluation for Competency to Proceed (Rule 20.01)_2023-09-25_20251126165021.pdf.ots</v>
      </c>
      <c r="J261" s="7" t="str">
        <f aca="false">HYPERLINK("https://mncourtfraud.com/file/MCRO_27-CR-21-17656_Order-Evaluation for Competency to Proceed (Rule 20.01)_2023-09-25_20251126165021_META.txt","MCRO_27-CR-21-17656_Order-Evaluation for Competency to Proceed (Rule 20.01)_2023-09-25_20251126165021_META.txt")</f>
        <v>MCRO_27-CR-21-17656_Order-Evaluation for Competency to Proceed (Rule 20.01)_2023-09-25_20251126165021_META.txt</v>
      </c>
      <c r="K261" s="7" t="str">
        <f aca="false">HYPERLINK("https://mncourtfraud.com/file/MCRO_27-CR-21-17656_Order-Evaluation for Competency to Proceed (Rule 20.01)_2023-09-25_20251126165021_PDFSIGS.txt","MCRO_27-CR-21-17656_Order-Evaluation for Competency to Proceed (Rule 20.01)_2023-09-25_20251126165021_PDFSIGS.txt")</f>
        <v>MCRO_27-CR-21-17656_Order-Evaluation for Competency to Proceed (Rule 20.01)_2023-09-25_20251126165021_PDFSIGS.txt</v>
      </c>
      <c r="L261" s="7" t="str">
        <f aca="false">HYPERLINK("https://mncourtfraud.com/file/MCRO_27-CR-21-17656_Order-Evaluation_for_Competency_to_Proceed_(Rule_20.01)_2023-09-25_20251126165021.zip","MCRO_27-CR-21-17656_Order-Evaluation_for_Competency_to_Proceed_(Rule_20.01)_2023-09-25_20251126165021.zip")</f>
        <v>MCRO_27-CR-21-17656_Order-Evaluation_for_Competency_to_Proceed_(Rule_20.01)_2023-09-25_20251126165021.zip</v>
      </c>
    </row>
    <row r="262" customFormat="false" ht="18.7" hidden="false" customHeight="true" outlineLevel="0" collapsed="false">
      <c r="A262" s="1" t="n">
        <v>261</v>
      </c>
      <c r="B262" s="7" t="str">
        <f aca="false">HYPERLINK("https://mncourtfraud.com/file/27-CR-21-21707.pdf","27-CR-21-21707")</f>
        <v>27-CR-21-21707</v>
      </c>
      <c r="C262" s="1" t="n">
        <v>5</v>
      </c>
      <c r="D262" s="2" t="s">
        <v>267</v>
      </c>
      <c r="E262" s="8" t="n">
        <v>44733</v>
      </c>
      <c r="F262" s="2" t="s">
        <v>17</v>
      </c>
      <c r="G262" s="7" t="str">
        <f aca="false">HYPERLINK("https://mncourtfraud.com/file/MCRO_27-CR-21-21707_Returned Mail_2022-06-21_20251126165201.pdf","MCRO_27-CR-21-21707_Returned Mail_2022-06-21_20251126165201.pdf")</f>
        <v>MCRO_27-CR-21-21707_Returned Mail_2022-06-21_20251126165201.pdf</v>
      </c>
      <c r="H262" s="2" t="s">
        <v>283</v>
      </c>
      <c r="I262" s="7" t="str">
        <f aca="false">HYPERLINK("https://mncourtfraud.com/file/MCRO_27-CR-21-21707_Returned Mail_2022-06-21_20251126165201.pdf.ots","MCRO_27-CR-21-21707_Returned Mail_2022-06-21_20251126165201.pdf.ots")</f>
        <v>MCRO_27-CR-21-21707_Returned Mail_2022-06-21_20251126165201.pdf.ots</v>
      </c>
      <c r="J262" s="7" t="str">
        <f aca="false">HYPERLINK("https://mncourtfraud.com/file/MCRO_27-CR-21-21707_Returned Mail_2022-06-21_20251126165201_META.txt","MCRO_27-CR-21-21707_Returned Mail_2022-06-21_20251126165201_META.txt")</f>
        <v>MCRO_27-CR-21-21707_Returned Mail_2022-06-21_20251126165201_META.txt</v>
      </c>
      <c r="K262" s="7" t="str">
        <f aca="false">HYPERLINK("https://mncourtfraud.com/file/MCRO_27-CR-21-21707_Returned Mail_2022-06-21_20251126165201_PDFSIGS.txt","MCRO_27-CR-21-21707_Returned Mail_2022-06-21_20251126165201_PDFSIGS.txt")</f>
        <v>MCRO_27-CR-21-21707_Returned Mail_2022-06-21_20251126165201_PDFSIGS.txt</v>
      </c>
      <c r="L262" s="7" t="str">
        <f aca="false">HYPERLINK("https://mncourtfraud.com/file/MCRO_27-CR-21-21707_Returned_Mail_2022-06-21_20251126165201.zip","MCRO_27-CR-21-21707_Returned_Mail_2022-06-21_20251126165201.zip")</f>
        <v>MCRO_27-CR-21-21707_Returned_Mail_2022-06-21_20251126165201.zip</v>
      </c>
    </row>
    <row r="263" customFormat="false" ht="18.7" hidden="false" customHeight="true" outlineLevel="0" collapsed="false">
      <c r="A263" s="1" t="n">
        <v>262</v>
      </c>
      <c r="B263" s="7" t="str">
        <f aca="false">HYPERLINK("https://mncourtfraud.com/file/27-CR-21-21707.pdf","27-CR-21-21707")</f>
        <v>27-CR-21-21707</v>
      </c>
      <c r="C263" s="1" t="n">
        <v>5</v>
      </c>
      <c r="D263" s="2" t="s">
        <v>267</v>
      </c>
      <c r="E263" s="8" t="n">
        <v>44837</v>
      </c>
      <c r="F263" s="2" t="s">
        <v>17</v>
      </c>
      <c r="G263" s="7" t="str">
        <f aca="false">HYPERLINK("https://mncourtfraud.com/file/MCRO_27-CR-21-21707_Returned Mail_2022-10-03_20251126165146.pdf","MCRO_27-CR-21-21707_Returned Mail_2022-10-03_20251126165146.pdf")</f>
        <v>MCRO_27-CR-21-21707_Returned Mail_2022-10-03_20251126165146.pdf</v>
      </c>
      <c r="H263" s="2" t="s">
        <v>284</v>
      </c>
      <c r="I263" s="7" t="str">
        <f aca="false">HYPERLINK("https://mncourtfraud.com/file/MCRO_27-CR-21-21707_Returned Mail_2022-10-03_20251126165146.pdf.ots","MCRO_27-CR-21-21707_Returned Mail_2022-10-03_20251126165146.pdf.ots")</f>
        <v>MCRO_27-CR-21-21707_Returned Mail_2022-10-03_20251126165146.pdf.ots</v>
      </c>
      <c r="J263" s="7" t="str">
        <f aca="false">HYPERLINK("https://mncourtfraud.com/file/MCRO_27-CR-21-21707_Returned Mail_2022-10-03_20251126165146_META.txt","MCRO_27-CR-21-21707_Returned Mail_2022-10-03_20251126165146_META.txt")</f>
        <v>MCRO_27-CR-21-21707_Returned Mail_2022-10-03_20251126165146_META.txt</v>
      </c>
      <c r="K263" s="7" t="str">
        <f aca="false">HYPERLINK("https://mncourtfraud.com/file/MCRO_27-CR-21-21707_Returned Mail_2022-10-03_20251126165146_PDFSIGS.txt","MCRO_27-CR-21-21707_Returned Mail_2022-10-03_20251126165146_PDFSIGS.txt")</f>
        <v>MCRO_27-CR-21-21707_Returned Mail_2022-10-03_20251126165146_PDFSIGS.txt</v>
      </c>
      <c r="L263" s="7" t="str">
        <f aca="false">HYPERLINK("https://mncourtfraud.com/file/MCRO_27-CR-21-21707_Returned_Mail_2022-10-03_20251126165146.zip","MCRO_27-CR-21-21707_Returned_Mail_2022-10-03_20251126165146.zip")</f>
        <v>MCRO_27-CR-21-21707_Returned_Mail_2022-10-03_20251126165146.zip</v>
      </c>
    </row>
    <row r="264" customFormat="false" ht="18.7" hidden="false" customHeight="true" outlineLevel="0" collapsed="false">
      <c r="A264" s="1" t="n">
        <v>263</v>
      </c>
      <c r="B264" s="7" t="str">
        <f aca="false">HYPERLINK("https://mncourtfraud.com/file/27-CR-21-21707.pdf","27-CR-21-21707")</f>
        <v>27-CR-21-21707</v>
      </c>
      <c r="C264" s="1" t="n">
        <v>5</v>
      </c>
      <c r="D264" s="2" t="s">
        <v>267</v>
      </c>
      <c r="E264" s="8" t="n">
        <v>44873</v>
      </c>
      <c r="F264" s="2" t="s">
        <v>15</v>
      </c>
      <c r="G264" s="7" t="str">
        <f aca="false">HYPERLINK("https://mncourtfraud.com/file/MCRO_27-CR-21-21707_Order-Evaluation for Competency to Proceed (Rule 20.01)_2022-11-08_20251126165112.pdf","MCRO_27-CR-21-21707_Order-Evaluation for Competency to Proceed (Rule 20.01)_2022-11-08_20251126165112.pdf")</f>
        <v>MCRO_27-CR-21-21707_Order-Evaluation for Competency to Proceed (Rule 20.01)_2022-11-08_20251126165112.pdf</v>
      </c>
      <c r="H264" s="2" t="s">
        <v>285</v>
      </c>
      <c r="I264" s="7" t="str">
        <f aca="false">HYPERLINK("https://mncourtfraud.com/file/MCRO_27-CR-21-21707_Order-Evaluation for Competency to Proceed (Rule 20.01)_2022-11-08_20251126165112.pdf.ots","MCRO_27-CR-21-21707_Order-Evaluation for Competency to Proceed (Rule 20.01)_2022-11-08_20251126165112.pdf.ots")</f>
        <v>MCRO_27-CR-21-21707_Order-Evaluation for Competency to Proceed (Rule 20.01)_2022-11-08_20251126165112.pdf.ots</v>
      </c>
      <c r="J264" s="7" t="str">
        <f aca="false">HYPERLINK("https://mncourtfraud.com/file/MCRO_27-CR-21-21707_Order-Evaluation for Competency to Proceed (Rule 20.01)_2022-11-08_20251126165112_META.txt","MCRO_27-CR-21-21707_Order-Evaluation for Competency to Proceed (Rule 20.01)_2022-11-08_20251126165112_META.txt")</f>
        <v>MCRO_27-CR-21-21707_Order-Evaluation for Competency to Proceed (Rule 20.01)_2022-11-08_20251126165112_META.txt</v>
      </c>
      <c r="K264" s="7" t="str">
        <f aca="false">HYPERLINK("https://mncourtfraud.com/file/MCRO_27-CR-21-21707_Order-Evaluation for Competency to Proceed (Rule 20.01)_2022-11-08_20251126165112_PDFSIGS.txt","MCRO_27-CR-21-21707_Order-Evaluation for Competency to Proceed (Rule 20.01)_2022-11-08_20251126165112_PDFSIGS.txt")</f>
        <v>MCRO_27-CR-21-21707_Order-Evaluation for Competency to Proceed (Rule 20.01)_2022-11-08_20251126165112_PDFSIGS.txt</v>
      </c>
      <c r="L264" s="7" t="str">
        <f aca="false">HYPERLINK("https://mncourtfraud.com/file/MCRO_27-CR-21-21707_Order-Evaluation_for_Competency_to_Proceed_(Rule_20.01)_2022-11-08_20251126165112.zip","MCRO_27-CR-21-21707_Order-Evaluation_for_Competency_to_Proceed_(Rule_20.01)_2022-11-08_20251126165112.zip")</f>
        <v>MCRO_27-CR-21-21707_Order-Evaluation_for_Competency_to_Proceed_(Rule_20.01)_2022-11-08_20251126165112.zip</v>
      </c>
    </row>
    <row r="265" customFormat="false" ht="18.7" hidden="false" customHeight="true" outlineLevel="0" collapsed="false">
      <c r="A265" s="1" t="n">
        <v>264</v>
      </c>
      <c r="B265" s="7" t="str">
        <f aca="false">HYPERLINK("https://mncourtfraud.com/file/27-CR-21-21707.pdf","27-CR-21-21707")</f>
        <v>27-CR-21-21707</v>
      </c>
      <c r="C265" s="1" t="n">
        <v>5</v>
      </c>
      <c r="D265" s="2" t="s">
        <v>267</v>
      </c>
      <c r="E265" s="8" t="n">
        <v>45023</v>
      </c>
      <c r="F265" s="2" t="s">
        <v>15</v>
      </c>
      <c r="G265" s="7" t="str">
        <f aca="false">HYPERLINK("https://mncourtfraud.com/file/MCRO_27-CR-21-21707_Order-Evaluation for Competency to Proceed (Rule 20.01)_2023-04-07_20251126165123.pdf","MCRO_27-CR-21-21707_Order-Evaluation for Competency to Proceed (Rule 20.01)_2023-04-07_20251126165123.pdf")</f>
        <v>MCRO_27-CR-21-21707_Order-Evaluation for Competency to Proceed (Rule 20.01)_2023-04-07_20251126165123.pdf</v>
      </c>
      <c r="H265" s="2" t="s">
        <v>286</v>
      </c>
      <c r="I265" s="7" t="str">
        <f aca="false">HYPERLINK("https://mncourtfraud.com/file/MCRO_27-CR-21-21707_Order-Evaluation for Competency to Proceed (Rule 20.01)_2023-04-07_20251126165123.pdf.ots","MCRO_27-CR-21-21707_Order-Evaluation for Competency to Proceed (Rule 20.01)_2023-04-07_20251126165123.pdf.ots")</f>
        <v>MCRO_27-CR-21-21707_Order-Evaluation for Competency to Proceed (Rule 20.01)_2023-04-07_20251126165123.pdf.ots</v>
      </c>
      <c r="J265" s="7" t="str">
        <f aca="false">HYPERLINK("https://mncourtfraud.com/file/MCRO_27-CR-21-21707_Order-Evaluation for Competency to Proceed (Rule 20.01)_2023-04-07_20251126165123_META.txt","MCRO_27-CR-21-21707_Order-Evaluation for Competency to Proceed (Rule 20.01)_2023-04-07_20251126165123_META.txt")</f>
        <v>MCRO_27-CR-21-21707_Order-Evaluation for Competency to Proceed (Rule 20.01)_2023-04-07_20251126165123_META.txt</v>
      </c>
      <c r="K265" s="7" t="str">
        <f aca="false">HYPERLINK("https://mncourtfraud.com/file/MCRO_27-CR-21-21707_Order-Evaluation for Competency to Proceed (Rule 20.01)_2023-04-07_20251126165123_PDFSIGS.txt","MCRO_27-CR-21-21707_Order-Evaluation for Competency to Proceed (Rule 20.01)_2023-04-07_20251126165123_PDFSIGS.txt")</f>
        <v>MCRO_27-CR-21-21707_Order-Evaluation for Competency to Proceed (Rule 20.01)_2023-04-07_20251126165123_PDFSIGS.txt</v>
      </c>
      <c r="L265" s="7" t="str">
        <f aca="false">HYPERLINK("https://mncourtfraud.com/file/MCRO_27-CR-21-21707_Order-Evaluation_for_Competency_to_Proceed_(Rule_20.01)_2023-04-07_20251126165123.zip","MCRO_27-CR-21-21707_Order-Evaluation_for_Competency_to_Proceed_(Rule_20.01)_2023-04-07_20251126165123.zip")</f>
        <v>MCRO_27-CR-21-21707_Order-Evaluation_for_Competency_to_Proceed_(Rule_20.01)_2023-04-07_20251126165123.zip</v>
      </c>
    </row>
    <row r="266" customFormat="false" ht="18.7" hidden="false" customHeight="true" outlineLevel="0" collapsed="false">
      <c r="A266" s="1" t="n">
        <v>265</v>
      </c>
      <c r="B266" s="7" t="str">
        <f aca="false">HYPERLINK("https://mncourtfraud.com/file/27-CR-21-21707.pdf","27-CR-21-21707")</f>
        <v>27-CR-21-21707</v>
      </c>
      <c r="C266" s="1" t="n">
        <v>5</v>
      </c>
      <c r="D266" s="2" t="s">
        <v>267</v>
      </c>
      <c r="E266" s="8" t="n">
        <v>45194</v>
      </c>
      <c r="F266" s="2" t="s">
        <v>15</v>
      </c>
      <c r="G266" s="7" t="str">
        <f aca="false">HYPERLINK("https://mncourtfraud.com/file/MCRO_27-CR-21-21707_Order-Evaluation for Competency to Proceed (Rule 20.01)_2023-09-25_20251126165133.pdf","MCRO_27-CR-21-21707_Order-Evaluation for Competency to Proceed (Rule 20.01)_2023-09-25_20251126165133.pdf")</f>
        <v>MCRO_27-CR-21-21707_Order-Evaluation for Competency to Proceed (Rule 20.01)_2023-09-25_20251126165133.pdf</v>
      </c>
      <c r="H266" s="2" t="s">
        <v>287</v>
      </c>
      <c r="I266" s="7" t="str">
        <f aca="false">HYPERLINK("https://mncourtfraud.com/file/MCRO_27-CR-21-21707_Order-Evaluation for Competency to Proceed (Rule 20.01)_2023-09-25_20251126165133.pdf.ots","MCRO_27-CR-21-21707_Order-Evaluation for Competency to Proceed (Rule 20.01)_2023-09-25_20251126165133.pdf.ots")</f>
        <v>MCRO_27-CR-21-21707_Order-Evaluation for Competency to Proceed (Rule 20.01)_2023-09-25_20251126165133.pdf.ots</v>
      </c>
      <c r="J266" s="7" t="str">
        <f aca="false">HYPERLINK("https://mncourtfraud.com/file/MCRO_27-CR-21-21707_Order-Evaluation for Competency to Proceed (Rule 20.01)_2023-09-25_20251126165133_META.txt","MCRO_27-CR-21-21707_Order-Evaluation for Competency to Proceed (Rule 20.01)_2023-09-25_20251126165133_META.txt")</f>
        <v>MCRO_27-CR-21-21707_Order-Evaluation for Competency to Proceed (Rule 20.01)_2023-09-25_20251126165133_META.txt</v>
      </c>
      <c r="K266" s="7" t="str">
        <f aca="false">HYPERLINK("https://mncourtfraud.com/file/MCRO_27-CR-21-21707_Order-Evaluation for Competency to Proceed (Rule 20.01)_2023-09-25_20251126165133_PDFSIGS.txt","MCRO_27-CR-21-21707_Order-Evaluation for Competency to Proceed (Rule 20.01)_2023-09-25_20251126165133_PDFSIGS.txt")</f>
        <v>MCRO_27-CR-21-21707_Order-Evaluation for Competency to Proceed (Rule 20.01)_2023-09-25_20251126165133_PDFSIGS.txt</v>
      </c>
      <c r="L266" s="7" t="str">
        <f aca="false">HYPERLINK("https://mncourtfraud.com/file/MCRO_27-CR-21-21707_Order-Evaluation_for_Competency_to_Proceed_(Rule_20.01)_2023-09-25_20251126165133.zip","MCRO_27-CR-21-21707_Order-Evaluation_for_Competency_to_Proceed_(Rule_20.01)_2023-09-25_20251126165133.zip")</f>
        <v>MCRO_27-CR-21-21707_Order-Evaluation_for_Competency_to_Proceed_(Rule_20.01)_2023-09-25_20251126165133.zip</v>
      </c>
    </row>
    <row r="267" customFormat="false" ht="18.7" hidden="false" customHeight="true" outlineLevel="0" collapsed="false">
      <c r="A267" s="1" t="n">
        <v>266</v>
      </c>
      <c r="B267" s="7" t="str">
        <f aca="false">HYPERLINK("https://mncourtfraud.com/file/27-CR-21-21833.pdf","27-CR-21-21833")</f>
        <v>27-CR-21-21833</v>
      </c>
      <c r="C267" s="1" t="n">
        <v>5</v>
      </c>
      <c r="D267" s="2" t="s">
        <v>267</v>
      </c>
      <c r="E267" s="8" t="n">
        <v>44733</v>
      </c>
      <c r="F267" s="2" t="s">
        <v>17</v>
      </c>
      <c r="G267" s="7" t="str">
        <f aca="false">HYPERLINK("https://mncourtfraud.com/file/MCRO_27-CR-21-21833_Returned Mail_2022-06-21_20251126165240.pdf","MCRO_27-CR-21-21833_Returned Mail_2022-06-21_20251126165240.pdf")</f>
        <v>MCRO_27-CR-21-21833_Returned Mail_2022-06-21_20251126165240.pdf</v>
      </c>
      <c r="H267" s="2" t="s">
        <v>288</v>
      </c>
      <c r="I267" s="7" t="str">
        <f aca="false">HYPERLINK("https://mncourtfraud.com/file/MCRO_27-CR-21-21833_Returned Mail_2022-06-21_20251126165240.pdf.ots","MCRO_27-CR-21-21833_Returned Mail_2022-06-21_20251126165240.pdf.ots")</f>
        <v>MCRO_27-CR-21-21833_Returned Mail_2022-06-21_20251126165240.pdf.ots</v>
      </c>
      <c r="J267" s="7" t="str">
        <f aca="false">HYPERLINK("https://mncourtfraud.com/file/MCRO_27-CR-21-21833_Returned Mail_2022-06-21_20251126165240_META.txt","MCRO_27-CR-21-21833_Returned Mail_2022-06-21_20251126165240_META.txt")</f>
        <v>MCRO_27-CR-21-21833_Returned Mail_2022-06-21_20251126165240_META.txt</v>
      </c>
      <c r="K267" s="7" t="str">
        <f aca="false">HYPERLINK("https://mncourtfraud.com/file/MCRO_27-CR-21-21833_Returned Mail_2022-06-21_20251126165240_PDFSIGS.txt","MCRO_27-CR-21-21833_Returned Mail_2022-06-21_20251126165240_PDFSIGS.txt")</f>
        <v>MCRO_27-CR-21-21833_Returned Mail_2022-06-21_20251126165240_PDFSIGS.txt</v>
      </c>
      <c r="L267" s="7" t="str">
        <f aca="false">HYPERLINK("https://mncourtfraud.com/file/MCRO_27-CR-21-21833_Returned_Mail_2022-06-21_20251126165240.zip","MCRO_27-CR-21-21833_Returned_Mail_2022-06-21_20251126165240.zip")</f>
        <v>MCRO_27-CR-21-21833_Returned_Mail_2022-06-21_20251126165240.zip</v>
      </c>
    </row>
    <row r="268" customFormat="false" ht="18.7" hidden="false" customHeight="true" outlineLevel="0" collapsed="false">
      <c r="A268" s="1" t="n">
        <v>267</v>
      </c>
      <c r="B268" s="7" t="str">
        <f aca="false">HYPERLINK("https://mncourtfraud.com/file/27-CR-21-21833.pdf","27-CR-21-21833")</f>
        <v>27-CR-21-21833</v>
      </c>
      <c r="C268" s="1" t="n">
        <v>5</v>
      </c>
      <c r="D268" s="2" t="s">
        <v>267</v>
      </c>
      <c r="E268" s="8" t="n">
        <v>44837</v>
      </c>
      <c r="F268" s="2" t="s">
        <v>17</v>
      </c>
      <c r="G268" s="7" t="str">
        <f aca="false">HYPERLINK("https://mncourtfraud.com/file/MCRO_27-CR-21-21833_Returned Mail_2022-10-03_20251126165252.pdf","MCRO_27-CR-21-21833_Returned Mail_2022-10-03_20251126165252.pdf")</f>
        <v>MCRO_27-CR-21-21833_Returned Mail_2022-10-03_20251126165252.pdf</v>
      </c>
      <c r="H268" s="2" t="s">
        <v>289</v>
      </c>
      <c r="I268" s="7" t="str">
        <f aca="false">HYPERLINK("https://mncourtfraud.com/file/MCRO_27-CR-21-21833_Returned Mail_2022-10-03_20251126165252.pdf.ots","MCRO_27-CR-21-21833_Returned Mail_2022-10-03_20251126165252.pdf.ots")</f>
        <v>MCRO_27-CR-21-21833_Returned Mail_2022-10-03_20251126165252.pdf.ots</v>
      </c>
      <c r="J268" s="7" t="str">
        <f aca="false">HYPERLINK("https://mncourtfraud.com/file/MCRO_27-CR-21-21833_Returned Mail_2022-10-03_20251126165252_META.txt","MCRO_27-CR-21-21833_Returned Mail_2022-10-03_20251126165252_META.txt")</f>
        <v>MCRO_27-CR-21-21833_Returned Mail_2022-10-03_20251126165252_META.txt</v>
      </c>
      <c r="K268" s="7" t="str">
        <f aca="false">HYPERLINK("https://mncourtfraud.com/file/MCRO_27-CR-21-21833_Returned Mail_2022-10-03_20251126165252_PDFSIGS.txt","MCRO_27-CR-21-21833_Returned Mail_2022-10-03_20251126165252_PDFSIGS.txt")</f>
        <v>MCRO_27-CR-21-21833_Returned Mail_2022-10-03_20251126165252_PDFSIGS.txt</v>
      </c>
      <c r="L268" s="7" t="str">
        <f aca="false">HYPERLINK("https://mncourtfraud.com/file/MCRO_27-CR-21-21833_Returned_Mail_2022-10-03_20251126165252.zip","MCRO_27-CR-21-21833_Returned_Mail_2022-10-03_20251126165252.zip")</f>
        <v>MCRO_27-CR-21-21833_Returned_Mail_2022-10-03_20251126165252.zip</v>
      </c>
    </row>
    <row r="269" customFormat="false" ht="18.7" hidden="false" customHeight="true" outlineLevel="0" collapsed="false">
      <c r="A269" s="1" t="n">
        <v>268</v>
      </c>
      <c r="B269" s="7" t="str">
        <f aca="false">HYPERLINK("https://mncourtfraud.com/file/27-CR-21-21833.pdf","27-CR-21-21833")</f>
        <v>27-CR-21-21833</v>
      </c>
      <c r="C269" s="1" t="n">
        <v>5</v>
      </c>
      <c r="D269" s="2" t="s">
        <v>267</v>
      </c>
      <c r="E269" s="8" t="n">
        <v>44873</v>
      </c>
      <c r="F269" s="2" t="s">
        <v>15</v>
      </c>
      <c r="G269" s="7" t="str">
        <f aca="false">HYPERLINK("https://mncourtfraud.com/file/MCRO_27-CR-21-21833_Order-Evaluation for Competency to Proceed (Rule 20.01)_2022-11-08_20251126165318.pdf","MCRO_27-CR-21-21833_Order-Evaluation for Competency to Proceed (Rule 20.01)_2022-11-08_20251126165318.pdf")</f>
        <v>MCRO_27-CR-21-21833_Order-Evaluation for Competency to Proceed (Rule 20.01)_2022-11-08_20251126165318.pdf</v>
      </c>
      <c r="H269" s="2" t="s">
        <v>290</v>
      </c>
      <c r="I269" s="7" t="str">
        <f aca="false">HYPERLINK("https://mncourtfraud.com/file/MCRO_27-CR-21-21833_Order-Evaluation for Competency to Proceed (Rule 20.01)_2022-11-08_20251126165318.pdf.ots","MCRO_27-CR-21-21833_Order-Evaluation for Competency to Proceed (Rule 20.01)_2022-11-08_20251126165318.pdf.ots")</f>
        <v>MCRO_27-CR-21-21833_Order-Evaluation for Competency to Proceed (Rule 20.01)_2022-11-08_20251126165318.pdf.ots</v>
      </c>
      <c r="J269" s="7" t="str">
        <f aca="false">HYPERLINK("https://mncourtfraud.com/file/MCRO_27-CR-21-21833_Order-Evaluation for Competency to Proceed (Rule 20.01)_2022-11-08_20251126165318_META.txt","MCRO_27-CR-21-21833_Order-Evaluation for Competency to Proceed (Rule 20.01)_2022-11-08_20251126165318_META.txt")</f>
        <v>MCRO_27-CR-21-21833_Order-Evaluation for Competency to Proceed (Rule 20.01)_2022-11-08_20251126165318_META.txt</v>
      </c>
      <c r="K269" s="7" t="str">
        <f aca="false">HYPERLINK("https://mncourtfraud.com/file/MCRO_27-CR-21-21833_Order-Evaluation for Competency to Proceed (Rule 20.01)_2022-11-08_20251126165318_PDFSIGS.txt","MCRO_27-CR-21-21833_Order-Evaluation for Competency to Proceed (Rule 20.01)_2022-11-08_20251126165318_PDFSIGS.txt")</f>
        <v>MCRO_27-CR-21-21833_Order-Evaluation for Competency to Proceed (Rule 20.01)_2022-11-08_20251126165318_PDFSIGS.txt</v>
      </c>
      <c r="L269" s="7" t="str">
        <f aca="false">HYPERLINK("https://mncourtfraud.com/file/MCRO_27-CR-21-21833_Order-Evaluation_for_Competency_to_Proceed_(Rule_20.01)_2022-11-08_20251126165318.zip","MCRO_27-CR-21-21833_Order-Evaluation_for_Competency_to_Proceed_(Rule_20.01)_2022-11-08_20251126165318.zip")</f>
        <v>MCRO_27-CR-21-21833_Order-Evaluation_for_Competency_to_Proceed_(Rule_20.01)_2022-11-08_20251126165318.zip</v>
      </c>
    </row>
    <row r="270" customFormat="false" ht="18.7" hidden="false" customHeight="true" outlineLevel="0" collapsed="false">
      <c r="A270" s="1" t="n">
        <v>269</v>
      </c>
      <c r="B270" s="7" t="str">
        <f aca="false">HYPERLINK("https://mncourtfraud.com/file/27-CR-21-21833.pdf","27-CR-21-21833")</f>
        <v>27-CR-21-21833</v>
      </c>
      <c r="C270" s="1" t="n">
        <v>5</v>
      </c>
      <c r="D270" s="2" t="s">
        <v>267</v>
      </c>
      <c r="E270" s="8" t="n">
        <v>45023</v>
      </c>
      <c r="F270" s="2" t="s">
        <v>15</v>
      </c>
      <c r="G270" s="7" t="str">
        <f aca="false">HYPERLINK("https://mncourtfraud.com/file/MCRO_27-CR-21-21833_Order-Evaluation for Competency to Proceed (Rule 20.01)_2023-04-07_20251126165327.pdf","MCRO_27-CR-21-21833_Order-Evaluation for Competency to Proceed (Rule 20.01)_2023-04-07_20251126165327.pdf")</f>
        <v>MCRO_27-CR-21-21833_Order-Evaluation for Competency to Proceed (Rule 20.01)_2023-04-07_20251126165327.pdf</v>
      </c>
      <c r="H270" s="2" t="s">
        <v>291</v>
      </c>
      <c r="I270" s="7" t="str">
        <f aca="false">HYPERLINK("https://mncourtfraud.com/file/MCRO_27-CR-21-21833_Order-Evaluation for Competency to Proceed (Rule 20.01)_2023-04-07_20251126165327.pdf.ots","MCRO_27-CR-21-21833_Order-Evaluation for Competency to Proceed (Rule 20.01)_2023-04-07_20251126165327.pdf.ots")</f>
        <v>MCRO_27-CR-21-21833_Order-Evaluation for Competency to Proceed (Rule 20.01)_2023-04-07_20251126165327.pdf.ots</v>
      </c>
      <c r="J270" s="7" t="str">
        <f aca="false">HYPERLINK("https://mncourtfraud.com/file/MCRO_27-CR-21-21833_Order-Evaluation for Competency to Proceed (Rule 20.01)_2023-04-07_20251126165327_META.txt","MCRO_27-CR-21-21833_Order-Evaluation for Competency to Proceed (Rule 20.01)_2023-04-07_20251126165327_META.txt")</f>
        <v>MCRO_27-CR-21-21833_Order-Evaluation for Competency to Proceed (Rule 20.01)_2023-04-07_20251126165327_META.txt</v>
      </c>
      <c r="K270" s="7" t="str">
        <f aca="false">HYPERLINK("https://mncourtfraud.com/file/MCRO_27-CR-21-21833_Order-Evaluation for Competency to Proceed (Rule 20.01)_2023-04-07_20251126165327_PDFSIGS.txt","MCRO_27-CR-21-21833_Order-Evaluation for Competency to Proceed (Rule 20.01)_2023-04-07_20251126165327_PDFSIGS.txt")</f>
        <v>MCRO_27-CR-21-21833_Order-Evaluation for Competency to Proceed (Rule 20.01)_2023-04-07_20251126165327_PDFSIGS.txt</v>
      </c>
      <c r="L270" s="7" t="str">
        <f aca="false">HYPERLINK("https://mncourtfraud.com/file/MCRO_27-CR-21-21833_Order-Evaluation_for_Competency_to_Proceed_(Rule_20.01)_2023-04-07_20251126165327.zip","MCRO_27-CR-21-21833_Order-Evaluation_for_Competency_to_Proceed_(Rule_20.01)_2023-04-07_20251126165327.zip")</f>
        <v>MCRO_27-CR-21-21833_Order-Evaluation_for_Competency_to_Proceed_(Rule_20.01)_2023-04-07_20251126165327.zip</v>
      </c>
    </row>
    <row r="271" customFormat="false" ht="18.7" hidden="false" customHeight="true" outlineLevel="0" collapsed="false">
      <c r="A271" s="1" t="n">
        <v>270</v>
      </c>
      <c r="B271" s="7" t="str">
        <f aca="false">HYPERLINK("https://mncourtfraud.com/file/27-CR-21-21833.pdf","27-CR-21-21833")</f>
        <v>27-CR-21-21833</v>
      </c>
      <c r="C271" s="1" t="n">
        <v>5</v>
      </c>
      <c r="D271" s="2" t="s">
        <v>267</v>
      </c>
      <c r="E271" s="8" t="n">
        <v>45194</v>
      </c>
      <c r="F271" s="2" t="s">
        <v>15</v>
      </c>
      <c r="G271" s="7" t="str">
        <f aca="false">HYPERLINK("https://mncourtfraud.com/file/MCRO_27-CR-21-21833_Order-Evaluation for Competency to Proceed (Rule 20.01)_2023-09-25_20251126165306.pdf","MCRO_27-CR-21-21833_Order-Evaluation for Competency to Proceed (Rule 20.01)_2023-09-25_20251126165306.pdf")</f>
        <v>MCRO_27-CR-21-21833_Order-Evaluation for Competency to Proceed (Rule 20.01)_2023-09-25_20251126165306.pdf</v>
      </c>
      <c r="H271" s="2" t="s">
        <v>292</v>
      </c>
      <c r="I271" s="7" t="str">
        <f aca="false">HYPERLINK("https://mncourtfraud.com/file/MCRO_27-CR-21-21833_Order-Evaluation for Competency to Proceed (Rule 20.01)_2023-09-25_20251126165306.pdf.ots","MCRO_27-CR-21-21833_Order-Evaluation for Competency to Proceed (Rule 20.01)_2023-09-25_20251126165306.pdf.ots")</f>
        <v>MCRO_27-CR-21-21833_Order-Evaluation for Competency to Proceed (Rule 20.01)_2023-09-25_20251126165306.pdf.ots</v>
      </c>
      <c r="J271" s="7" t="str">
        <f aca="false">HYPERLINK("https://mncourtfraud.com/file/MCRO_27-CR-21-21833_Order-Evaluation for Competency to Proceed (Rule 20.01)_2023-09-25_20251126165306_META.txt","MCRO_27-CR-21-21833_Order-Evaluation for Competency to Proceed (Rule 20.01)_2023-09-25_20251126165306_META.txt")</f>
        <v>MCRO_27-CR-21-21833_Order-Evaluation for Competency to Proceed (Rule 20.01)_2023-09-25_20251126165306_META.txt</v>
      </c>
      <c r="K271" s="7" t="str">
        <f aca="false">HYPERLINK("https://mncourtfraud.com/file/MCRO_27-CR-21-21833_Order-Evaluation for Competency to Proceed (Rule 20.01)_2023-09-25_20251126165306_PDFSIGS.txt","MCRO_27-CR-21-21833_Order-Evaluation for Competency to Proceed (Rule 20.01)_2023-09-25_20251126165306_PDFSIGS.txt")</f>
        <v>MCRO_27-CR-21-21833_Order-Evaluation for Competency to Proceed (Rule 20.01)_2023-09-25_20251126165306_PDFSIGS.txt</v>
      </c>
      <c r="L271" s="7" t="str">
        <f aca="false">HYPERLINK("https://mncourtfraud.com/file/MCRO_27-CR-21-21833_Order-Evaluation_for_Competency_to_Proceed_(Rule_20.01)_2023-09-25_20251126165306.zip","MCRO_27-CR-21-21833_Order-Evaluation_for_Competency_to_Proceed_(Rule_20.01)_2023-09-25_20251126165306.zip")</f>
        <v>MCRO_27-CR-21-21833_Order-Evaluation_for_Competency_to_Proceed_(Rule_20.01)_2023-09-25_20251126165306.zip</v>
      </c>
    </row>
    <row r="272" customFormat="false" ht="18.7" hidden="false" customHeight="true" outlineLevel="0" collapsed="false">
      <c r="A272" s="1" t="n">
        <v>271</v>
      </c>
      <c r="B272" s="7" t="str">
        <f aca="false">HYPERLINK("https://mncourtfraud.com/file/27-CR-21-22737.pdf","27-CR-21-22737")</f>
        <v>27-CR-21-22737</v>
      </c>
      <c r="C272" s="1" t="n">
        <v>5</v>
      </c>
      <c r="D272" s="2" t="s">
        <v>267</v>
      </c>
      <c r="E272" s="8" t="n">
        <v>44733</v>
      </c>
      <c r="F272" s="2" t="s">
        <v>17</v>
      </c>
      <c r="G272" s="7" t="str">
        <f aca="false">HYPERLINK("https://mncourtfraud.com/file/MCRO_27-CR-21-22737_Returned Mail_2022-06-21_20251126165440.pdf","MCRO_27-CR-21-22737_Returned Mail_2022-06-21_20251126165440.pdf")</f>
        <v>MCRO_27-CR-21-22737_Returned Mail_2022-06-21_20251126165440.pdf</v>
      </c>
      <c r="H272" s="2" t="s">
        <v>293</v>
      </c>
      <c r="I272" s="7" t="str">
        <f aca="false">HYPERLINK("https://mncourtfraud.com/file/MCRO_27-CR-21-22737_Returned Mail_2022-06-21_20251126165440.pdf.ots","MCRO_27-CR-21-22737_Returned Mail_2022-06-21_20251126165440.pdf.ots")</f>
        <v>MCRO_27-CR-21-22737_Returned Mail_2022-06-21_20251126165440.pdf.ots</v>
      </c>
      <c r="J272" s="7" t="str">
        <f aca="false">HYPERLINK("https://mncourtfraud.com/file/MCRO_27-CR-21-22737_Returned Mail_2022-06-21_20251126165440_META.txt","MCRO_27-CR-21-22737_Returned Mail_2022-06-21_20251126165440_META.txt")</f>
        <v>MCRO_27-CR-21-22737_Returned Mail_2022-06-21_20251126165440_META.txt</v>
      </c>
      <c r="K272" s="7" t="str">
        <f aca="false">HYPERLINK("https://mncourtfraud.com/file/MCRO_27-CR-21-22737_Returned Mail_2022-06-21_20251126165440_PDFSIGS.txt","MCRO_27-CR-21-22737_Returned Mail_2022-06-21_20251126165440_PDFSIGS.txt")</f>
        <v>MCRO_27-CR-21-22737_Returned Mail_2022-06-21_20251126165440_PDFSIGS.txt</v>
      </c>
      <c r="L272" s="7" t="str">
        <f aca="false">HYPERLINK("https://mncourtfraud.com/file/MCRO_27-CR-21-22737_Returned_Mail_2022-06-21_20251126165440.zip","MCRO_27-CR-21-22737_Returned_Mail_2022-06-21_20251126165440.zip")</f>
        <v>MCRO_27-CR-21-22737_Returned_Mail_2022-06-21_20251126165440.zip</v>
      </c>
    </row>
    <row r="273" customFormat="false" ht="18.7" hidden="false" customHeight="true" outlineLevel="0" collapsed="false">
      <c r="A273" s="1" t="n">
        <v>272</v>
      </c>
      <c r="B273" s="7" t="str">
        <f aca="false">HYPERLINK("https://mncourtfraud.com/file/27-CR-21-22737.pdf","27-CR-21-22737")</f>
        <v>27-CR-21-22737</v>
      </c>
      <c r="C273" s="1" t="n">
        <v>5</v>
      </c>
      <c r="D273" s="2" t="s">
        <v>267</v>
      </c>
      <c r="E273" s="8" t="n">
        <v>44837</v>
      </c>
      <c r="F273" s="2" t="s">
        <v>17</v>
      </c>
      <c r="G273" s="7" t="str">
        <f aca="false">HYPERLINK("https://mncourtfraud.com/file/MCRO_27-CR-21-22737_Returned Mail_2022-10-03_20251126165429.pdf","MCRO_27-CR-21-22737_Returned Mail_2022-10-03_20251126165429.pdf")</f>
        <v>MCRO_27-CR-21-22737_Returned Mail_2022-10-03_20251126165429.pdf</v>
      </c>
      <c r="H273" s="2" t="s">
        <v>294</v>
      </c>
      <c r="I273" s="7" t="str">
        <f aca="false">HYPERLINK("https://mncourtfraud.com/file/MCRO_27-CR-21-22737_Returned Mail_2022-10-03_20251126165429.pdf.ots","MCRO_27-CR-21-22737_Returned Mail_2022-10-03_20251126165429.pdf.ots")</f>
        <v>MCRO_27-CR-21-22737_Returned Mail_2022-10-03_20251126165429.pdf.ots</v>
      </c>
      <c r="J273" s="7" t="str">
        <f aca="false">HYPERLINK("https://mncourtfraud.com/file/MCRO_27-CR-21-22737_Returned Mail_2022-10-03_20251126165429_META.txt","MCRO_27-CR-21-22737_Returned Mail_2022-10-03_20251126165429_META.txt")</f>
        <v>MCRO_27-CR-21-22737_Returned Mail_2022-10-03_20251126165429_META.txt</v>
      </c>
      <c r="K273" s="7" t="str">
        <f aca="false">HYPERLINK("https://mncourtfraud.com/file/MCRO_27-CR-21-22737_Returned Mail_2022-10-03_20251126165429_PDFSIGS.txt","MCRO_27-CR-21-22737_Returned Mail_2022-10-03_20251126165429_PDFSIGS.txt")</f>
        <v>MCRO_27-CR-21-22737_Returned Mail_2022-10-03_20251126165429_PDFSIGS.txt</v>
      </c>
      <c r="L273" s="7" t="str">
        <f aca="false">HYPERLINK("https://mncourtfraud.com/file/MCRO_27-CR-21-22737_Returned_Mail_2022-10-03_20251126165429.zip","MCRO_27-CR-21-22737_Returned_Mail_2022-10-03_20251126165429.zip")</f>
        <v>MCRO_27-CR-21-22737_Returned_Mail_2022-10-03_20251126165429.zip</v>
      </c>
    </row>
    <row r="274" customFormat="false" ht="18.7" hidden="false" customHeight="true" outlineLevel="0" collapsed="false">
      <c r="A274" s="1" t="n">
        <v>273</v>
      </c>
      <c r="B274" s="7" t="str">
        <f aca="false">HYPERLINK("https://mncourtfraud.com/file/27-CR-21-22737.pdf","27-CR-21-22737")</f>
        <v>27-CR-21-22737</v>
      </c>
      <c r="C274" s="1" t="n">
        <v>5</v>
      </c>
      <c r="D274" s="2" t="s">
        <v>267</v>
      </c>
      <c r="E274" s="8" t="n">
        <v>44873</v>
      </c>
      <c r="F274" s="2" t="s">
        <v>15</v>
      </c>
      <c r="G274" s="7" t="str">
        <f aca="false">HYPERLINK("https://mncourtfraud.com/file/MCRO_27-CR-21-22737_Order-Evaluation for Competency to Proceed (Rule 20.01)_2022-11-08_20251126165353.pdf","MCRO_27-CR-21-22737_Order-Evaluation for Competency to Proceed (Rule 20.01)_2022-11-08_20251126165353.pdf")</f>
        <v>MCRO_27-CR-21-22737_Order-Evaluation for Competency to Proceed (Rule 20.01)_2022-11-08_20251126165353.pdf</v>
      </c>
      <c r="H274" s="2" t="s">
        <v>295</v>
      </c>
      <c r="I274" s="7" t="str">
        <f aca="false">HYPERLINK("https://mncourtfraud.com/file/MCRO_27-CR-21-22737_Order-Evaluation for Competency to Proceed (Rule 20.01)_2022-11-08_20251126165353.pdf.ots","MCRO_27-CR-21-22737_Order-Evaluation for Competency to Proceed (Rule 20.01)_2022-11-08_20251126165353.pdf.ots")</f>
        <v>MCRO_27-CR-21-22737_Order-Evaluation for Competency to Proceed (Rule 20.01)_2022-11-08_20251126165353.pdf.ots</v>
      </c>
      <c r="J274" s="7" t="str">
        <f aca="false">HYPERLINK("https://mncourtfraud.com/file/MCRO_27-CR-21-22737_Order-Evaluation for Competency to Proceed (Rule 20.01)_2022-11-08_20251126165353_META.txt","MCRO_27-CR-21-22737_Order-Evaluation for Competency to Proceed (Rule 20.01)_2022-11-08_20251126165353_META.txt")</f>
        <v>MCRO_27-CR-21-22737_Order-Evaluation for Competency to Proceed (Rule 20.01)_2022-11-08_20251126165353_META.txt</v>
      </c>
      <c r="K274" s="7" t="str">
        <f aca="false">HYPERLINK("https://mncourtfraud.com/file/MCRO_27-CR-21-22737_Order-Evaluation for Competency to Proceed (Rule 20.01)_2022-11-08_20251126165353_PDFSIGS.txt","MCRO_27-CR-21-22737_Order-Evaluation for Competency to Proceed (Rule 20.01)_2022-11-08_20251126165353_PDFSIGS.txt")</f>
        <v>MCRO_27-CR-21-22737_Order-Evaluation for Competency to Proceed (Rule 20.01)_2022-11-08_20251126165353_PDFSIGS.txt</v>
      </c>
      <c r="L274" s="7" t="str">
        <f aca="false">HYPERLINK("https://mncourtfraud.com/file/MCRO_27-CR-21-22737_Order-Evaluation_for_Competency_to_Proceed_(Rule_20.01)_2022-11-08_20251126165353.zip","MCRO_27-CR-21-22737_Order-Evaluation_for_Competency_to_Proceed_(Rule_20.01)_2022-11-08_20251126165353.zip")</f>
        <v>MCRO_27-CR-21-22737_Order-Evaluation_for_Competency_to_Proceed_(Rule_20.01)_2022-11-08_20251126165353.zip</v>
      </c>
    </row>
    <row r="275" customFormat="false" ht="18.7" hidden="false" customHeight="true" outlineLevel="0" collapsed="false">
      <c r="A275" s="1" t="n">
        <v>274</v>
      </c>
      <c r="B275" s="7" t="str">
        <f aca="false">HYPERLINK("https://mncourtfraud.com/file/27-CR-21-22737.pdf","27-CR-21-22737")</f>
        <v>27-CR-21-22737</v>
      </c>
      <c r="C275" s="1" t="n">
        <v>5</v>
      </c>
      <c r="D275" s="2" t="s">
        <v>267</v>
      </c>
      <c r="E275" s="8" t="n">
        <v>45023</v>
      </c>
      <c r="F275" s="2" t="s">
        <v>15</v>
      </c>
      <c r="G275" s="7" t="str">
        <f aca="false">HYPERLINK("https://mncourtfraud.com/file/MCRO_27-CR-21-22737_Order-Evaluation for Competency to Proceed (Rule 20.01)_2023-04-07_20251126165404.pdf","MCRO_27-CR-21-22737_Order-Evaluation for Competency to Proceed (Rule 20.01)_2023-04-07_20251126165404.pdf")</f>
        <v>MCRO_27-CR-21-22737_Order-Evaluation for Competency to Proceed (Rule 20.01)_2023-04-07_20251126165404.pdf</v>
      </c>
      <c r="H275" s="2" t="s">
        <v>296</v>
      </c>
      <c r="I275" s="7" t="str">
        <f aca="false">HYPERLINK("https://mncourtfraud.com/file/MCRO_27-CR-21-22737_Order-Evaluation for Competency to Proceed (Rule 20.01)_2023-04-07_20251126165404.pdf.ots","MCRO_27-CR-21-22737_Order-Evaluation for Competency to Proceed (Rule 20.01)_2023-04-07_20251126165404.pdf.ots")</f>
        <v>MCRO_27-CR-21-22737_Order-Evaluation for Competency to Proceed (Rule 20.01)_2023-04-07_20251126165404.pdf.ots</v>
      </c>
      <c r="J275" s="7" t="str">
        <f aca="false">HYPERLINK("https://mncourtfraud.com/file/MCRO_27-CR-21-22737_Order-Evaluation for Competency to Proceed (Rule 20.01)_2023-04-07_20251126165404_META.txt","MCRO_27-CR-21-22737_Order-Evaluation for Competency to Proceed (Rule 20.01)_2023-04-07_20251126165404_META.txt")</f>
        <v>MCRO_27-CR-21-22737_Order-Evaluation for Competency to Proceed (Rule 20.01)_2023-04-07_20251126165404_META.txt</v>
      </c>
      <c r="K275" s="7" t="str">
        <f aca="false">HYPERLINK("https://mncourtfraud.com/file/MCRO_27-CR-21-22737_Order-Evaluation for Competency to Proceed (Rule 20.01)_2023-04-07_20251126165404_PDFSIGS.txt","MCRO_27-CR-21-22737_Order-Evaluation for Competency to Proceed (Rule 20.01)_2023-04-07_20251126165404_PDFSIGS.txt")</f>
        <v>MCRO_27-CR-21-22737_Order-Evaluation for Competency to Proceed (Rule 20.01)_2023-04-07_20251126165404_PDFSIGS.txt</v>
      </c>
      <c r="L275" s="7" t="str">
        <f aca="false">HYPERLINK("https://mncourtfraud.com/file/MCRO_27-CR-21-22737_Order-Evaluation_for_Competency_to_Proceed_(Rule_20.01)_2023-04-07_20251126165404.zip","MCRO_27-CR-21-22737_Order-Evaluation_for_Competency_to_Proceed_(Rule_20.01)_2023-04-07_20251126165404.zip")</f>
        <v>MCRO_27-CR-21-22737_Order-Evaluation_for_Competency_to_Proceed_(Rule_20.01)_2023-04-07_20251126165404.zip</v>
      </c>
    </row>
    <row r="276" customFormat="false" ht="18.7" hidden="false" customHeight="true" outlineLevel="0" collapsed="false">
      <c r="A276" s="1" t="n">
        <v>275</v>
      </c>
      <c r="B276" s="7" t="str">
        <f aca="false">HYPERLINK("https://mncourtfraud.com/file/27-CR-21-22737.pdf","27-CR-21-22737")</f>
        <v>27-CR-21-22737</v>
      </c>
      <c r="C276" s="1" t="n">
        <v>5</v>
      </c>
      <c r="D276" s="2" t="s">
        <v>267</v>
      </c>
      <c r="E276" s="8" t="n">
        <v>45194</v>
      </c>
      <c r="F276" s="2" t="s">
        <v>15</v>
      </c>
      <c r="G276" s="7" t="str">
        <f aca="false">HYPERLINK("https://mncourtfraud.com/file/MCRO_27-CR-21-22737_Order-Evaluation for Competency to Proceed (Rule 20.01)_2023-09-25_20251126165414.pdf","MCRO_27-CR-21-22737_Order-Evaluation for Competency to Proceed (Rule 20.01)_2023-09-25_20251126165414.pdf")</f>
        <v>MCRO_27-CR-21-22737_Order-Evaluation for Competency to Proceed (Rule 20.01)_2023-09-25_20251126165414.pdf</v>
      </c>
      <c r="H276" s="2" t="s">
        <v>297</v>
      </c>
      <c r="I276" s="7" t="str">
        <f aca="false">HYPERLINK("https://mncourtfraud.com/file/MCRO_27-CR-21-22737_Order-Evaluation for Competency to Proceed (Rule 20.01)_2023-09-25_20251126165414.pdf.ots","MCRO_27-CR-21-22737_Order-Evaluation for Competency to Proceed (Rule 20.01)_2023-09-25_20251126165414.pdf.ots")</f>
        <v>MCRO_27-CR-21-22737_Order-Evaluation for Competency to Proceed (Rule 20.01)_2023-09-25_20251126165414.pdf.ots</v>
      </c>
      <c r="J276" s="7" t="str">
        <f aca="false">HYPERLINK("https://mncourtfraud.com/file/MCRO_27-CR-21-22737_Order-Evaluation for Competency to Proceed (Rule 20.01)_2023-09-25_20251126165414_META.txt","MCRO_27-CR-21-22737_Order-Evaluation for Competency to Proceed (Rule 20.01)_2023-09-25_20251126165414_META.txt")</f>
        <v>MCRO_27-CR-21-22737_Order-Evaluation for Competency to Proceed (Rule 20.01)_2023-09-25_20251126165414_META.txt</v>
      </c>
      <c r="K276" s="7" t="str">
        <f aca="false">HYPERLINK("https://mncourtfraud.com/file/MCRO_27-CR-21-22737_Order-Evaluation for Competency to Proceed (Rule 20.01)_2023-09-25_20251126165414_PDFSIGS.txt","MCRO_27-CR-21-22737_Order-Evaluation for Competency to Proceed (Rule 20.01)_2023-09-25_20251126165414_PDFSIGS.txt")</f>
        <v>MCRO_27-CR-21-22737_Order-Evaluation for Competency to Proceed (Rule 20.01)_2023-09-25_20251126165414_PDFSIGS.txt</v>
      </c>
      <c r="L276" s="7" t="str">
        <f aca="false">HYPERLINK("https://mncourtfraud.com/file/MCRO_27-CR-21-22737_Order-Evaluation_for_Competency_to_Proceed_(Rule_20.01)_2023-09-25_20251126165414.zip","MCRO_27-CR-21-22737_Order-Evaluation_for_Competency_to_Proceed_(Rule_20.01)_2023-09-25_20251126165414.zip")</f>
        <v>MCRO_27-CR-21-22737_Order-Evaluation_for_Competency_to_Proceed_(Rule_20.01)_2023-09-25_20251126165414.zip</v>
      </c>
    </row>
    <row r="277" customFormat="false" ht="18.7" hidden="false" customHeight="true" outlineLevel="0" collapsed="false">
      <c r="A277" s="1" t="n">
        <v>276</v>
      </c>
      <c r="B277" s="7" t="str">
        <f aca="false">HYPERLINK("https://mncourtfraud.com/file/27-CR-21-23724.pdf","27-CR-21-23724")</f>
        <v>27-CR-21-23724</v>
      </c>
      <c r="C277" s="1" t="n">
        <v>1</v>
      </c>
      <c r="D277" s="2" t="s">
        <v>12</v>
      </c>
      <c r="E277" s="8" t="n">
        <v>44558</v>
      </c>
      <c r="F277" s="2" t="s">
        <v>15</v>
      </c>
      <c r="G277" s="7" t="str">
        <f aca="false">HYPERLINK("https://mncourtfraud.com/file/MCRO_27-CR-21-23724_Order-Evaluation for Competency to Proceed (Rule 20.01)_2021-12-28_20251126184113.pdf","MCRO_27-CR-21-23724_Order-Evaluation for Competency to Proceed (Rule 20.01)_2021-12-28_20251126184113.pdf")</f>
        <v>MCRO_27-CR-21-23724_Order-Evaluation for Competency to Proceed (Rule 20.01)_2021-12-28_20251126184113.pdf</v>
      </c>
      <c r="H277" s="2" t="s">
        <v>298</v>
      </c>
      <c r="I277" s="7" t="str">
        <f aca="false">HYPERLINK("https://mncourtfraud.com/file/MCRO_27-CR-21-23724_Order-Evaluation for Competency to Proceed (Rule 20.01)_2021-12-28_20251126184113.pdf.ots","MCRO_27-CR-21-23724_Order-Evaluation for Competency to Proceed (Rule 20.01)_2021-12-28_20251126184113.pdf.ots")</f>
        <v>MCRO_27-CR-21-23724_Order-Evaluation for Competency to Proceed (Rule 20.01)_2021-12-28_20251126184113.pdf.ots</v>
      </c>
      <c r="J277" s="7" t="str">
        <f aca="false">HYPERLINK("https://mncourtfraud.com/file/MCRO_27-CR-21-23724_Order-Evaluation for Competency to Proceed (Rule 20.01)_2021-12-28_20251126184113_META.txt","MCRO_27-CR-21-23724_Order-Evaluation for Competency to Proceed (Rule 20.01)_2021-12-28_20251126184113_META.txt")</f>
        <v>MCRO_27-CR-21-23724_Order-Evaluation for Competency to Proceed (Rule 20.01)_2021-12-28_20251126184113_META.txt</v>
      </c>
      <c r="K277" s="7" t="str">
        <f aca="false">HYPERLINK("https://mncourtfraud.com/file/MCRO_27-CR-21-23724_Order-Evaluation for Competency to Proceed (Rule 20.01)_2021-12-28_20251126184113_PDFSIGS.txt","MCRO_27-CR-21-23724_Order-Evaluation for Competency to Proceed (Rule 20.01)_2021-12-28_20251126184113_PDFSIGS.txt")</f>
        <v>MCRO_27-CR-21-23724_Order-Evaluation for Competency to Proceed (Rule 20.01)_2021-12-28_20251126184113_PDFSIGS.txt</v>
      </c>
      <c r="L277" s="7" t="str">
        <f aca="false">HYPERLINK("https://mncourtfraud.com/file/MCRO_27-CR-21-23724_Order-Evaluation_for_Competency_to_Proceed_(Rule_20.01)_2021-12-28_20251126184113.zip","MCRO_27-CR-21-23724_Order-Evaluation_for_Competency_to_Proceed_(Rule_20.01)_2021-12-28_20251126184113.zip")</f>
        <v>MCRO_27-CR-21-23724_Order-Evaluation_for_Competency_to_Proceed_(Rule_20.01)_2021-12-28_20251126184113.zip</v>
      </c>
    </row>
    <row r="278" customFormat="false" ht="18.7" hidden="false" customHeight="true" outlineLevel="0" collapsed="false">
      <c r="A278" s="1" t="n">
        <v>277</v>
      </c>
      <c r="B278" s="7" t="str">
        <f aca="false">HYPERLINK("https://mncourtfraud.com/file/27-CR-21-23724.pdf","27-CR-21-23724")</f>
        <v>27-CR-21-23724</v>
      </c>
      <c r="C278" s="1" t="n">
        <v>1</v>
      </c>
      <c r="D278" s="2" t="s">
        <v>12</v>
      </c>
      <c r="E278" s="8" t="n">
        <v>44593</v>
      </c>
      <c r="F278" s="2" t="s">
        <v>19</v>
      </c>
      <c r="G278" s="7" t="str">
        <f aca="false">HYPERLINK("https://mncourtfraud.com/file/MCRO_27-CR-21-23724_Findings and Order_2022-02-01_20251126184020.pdf","MCRO_27-CR-21-23724_Findings and Order_2022-02-01_20251126184020.pdf")</f>
        <v>MCRO_27-CR-21-23724_Findings and Order_2022-02-01_20251126184020.pdf</v>
      </c>
      <c r="H278" s="2" t="s">
        <v>299</v>
      </c>
      <c r="I278" s="7" t="str">
        <f aca="false">HYPERLINK("https://mncourtfraud.com/file/MCRO_27-CR-21-23724_Findings and Order_2022-02-01_20251126184020.pdf.ots","MCRO_27-CR-21-23724_Findings and Order_2022-02-01_20251126184020.pdf.ots")</f>
        <v>MCRO_27-CR-21-23724_Findings and Order_2022-02-01_20251126184020.pdf.ots</v>
      </c>
      <c r="J278" s="7" t="str">
        <f aca="false">HYPERLINK("https://mncourtfraud.com/file/MCRO_27-CR-21-23724_Findings and Order_2022-02-01_20251126184020_META.txt","MCRO_27-CR-21-23724_Findings and Order_2022-02-01_20251126184020_META.txt")</f>
        <v>MCRO_27-CR-21-23724_Findings and Order_2022-02-01_20251126184020_META.txt</v>
      </c>
      <c r="K278" s="7" t="str">
        <f aca="false">HYPERLINK("https://mncourtfraud.com/file/MCRO_27-CR-21-23724_Findings and Order_2022-02-01_20251126184020_PDFSIGS.txt","MCRO_27-CR-21-23724_Findings and Order_2022-02-01_20251126184020_PDFSIGS.txt")</f>
        <v>MCRO_27-CR-21-23724_Findings and Order_2022-02-01_20251126184020_PDFSIGS.txt</v>
      </c>
      <c r="L278" s="7" t="str">
        <f aca="false">HYPERLINK("https://mncourtfraud.com/file/MCRO_27-CR-21-23724_Findings_and_Order_2022-02-01_20251126184020.zip","MCRO_27-CR-21-23724_Findings_and_Order_2022-02-01_20251126184020.zip")</f>
        <v>MCRO_27-CR-21-23724_Findings_and_Order_2022-02-01_20251126184020.zip</v>
      </c>
    </row>
    <row r="279" customFormat="false" ht="18.7" hidden="false" customHeight="true" outlineLevel="0" collapsed="false">
      <c r="A279" s="1" t="n">
        <v>278</v>
      </c>
      <c r="B279" s="7" t="str">
        <f aca="false">HYPERLINK("https://mncourtfraud.com/file/27-CR-21-23724.pdf","27-CR-21-23724")</f>
        <v>27-CR-21-23724</v>
      </c>
      <c r="C279" s="1" t="n">
        <v>1</v>
      </c>
      <c r="D279" s="2" t="s">
        <v>12</v>
      </c>
      <c r="E279" s="8" t="n">
        <v>44692</v>
      </c>
      <c r="F279" s="2" t="s">
        <v>15</v>
      </c>
      <c r="G279" s="7" t="str">
        <f aca="false">HYPERLINK("https://mncourtfraud.com/file/MCRO_27-CR-21-23724_Order-Evaluation for Competency to Proceed (Rule 20.01)_2022-05-11_20251126184121.pdf","MCRO_27-CR-21-23724_Order-Evaluation for Competency to Proceed (Rule 20.01)_2022-05-11_20251126184121.pdf")</f>
        <v>MCRO_27-CR-21-23724_Order-Evaluation for Competency to Proceed (Rule 20.01)_2022-05-11_20251126184121.pdf</v>
      </c>
      <c r="H279" s="2" t="s">
        <v>300</v>
      </c>
      <c r="I279" s="7" t="str">
        <f aca="false">HYPERLINK("https://mncourtfraud.com/file/MCRO_27-CR-21-23724_Order-Evaluation for Competency to Proceed (Rule 20.01)_2022-05-11_20251126184121.pdf.ots","MCRO_27-CR-21-23724_Order-Evaluation for Competency to Proceed (Rule 20.01)_2022-05-11_20251126184121.pdf.ots")</f>
        <v>MCRO_27-CR-21-23724_Order-Evaluation for Competency to Proceed (Rule 20.01)_2022-05-11_20251126184121.pdf.ots</v>
      </c>
      <c r="J279" s="7" t="str">
        <f aca="false">HYPERLINK("https://mncourtfraud.com/file/MCRO_27-CR-21-23724_Order-Evaluation for Competency to Proceed (Rule 20.01)_2022-05-11_20251126184121_META.txt","MCRO_27-CR-21-23724_Order-Evaluation for Competency to Proceed (Rule 20.01)_2022-05-11_20251126184121_META.txt")</f>
        <v>MCRO_27-CR-21-23724_Order-Evaluation for Competency to Proceed (Rule 20.01)_2022-05-11_20251126184121_META.txt</v>
      </c>
      <c r="K279" s="7" t="str">
        <f aca="false">HYPERLINK("https://mncourtfraud.com/file/MCRO_27-CR-21-23724_Order-Evaluation for Competency to Proceed (Rule 20.01)_2022-05-11_20251126184121_PDFSIGS.txt","MCRO_27-CR-21-23724_Order-Evaluation for Competency to Proceed (Rule 20.01)_2022-05-11_20251126184121_PDFSIGS.txt")</f>
        <v>MCRO_27-CR-21-23724_Order-Evaluation for Competency to Proceed (Rule 20.01)_2022-05-11_20251126184121_PDFSIGS.txt</v>
      </c>
      <c r="L279" s="7" t="str">
        <f aca="false">HYPERLINK("https://mncourtfraud.com/file/MCRO_27-CR-21-23724_Order-Evaluation_for_Competency_to_Proceed_(Rule_20.01)_2022-05-11_20251126184121.zip","MCRO_27-CR-21-23724_Order-Evaluation_for_Competency_to_Proceed_(Rule_20.01)_2022-05-11_20251126184121.zip")</f>
        <v>MCRO_27-CR-21-23724_Order-Evaluation_for_Competency_to_Proceed_(Rule_20.01)_2022-05-11_20251126184121.zip</v>
      </c>
    </row>
    <row r="280" customFormat="false" ht="18.7" hidden="false" customHeight="true" outlineLevel="0" collapsed="false">
      <c r="A280" s="1" t="n">
        <v>279</v>
      </c>
      <c r="B280" s="7" t="str">
        <f aca="false">HYPERLINK("https://mncourtfraud.com/file/27-CR-21-23724.pdf","27-CR-21-23724")</f>
        <v>27-CR-21-23724</v>
      </c>
      <c r="C280" s="1" t="n">
        <v>1</v>
      </c>
      <c r="D280" s="2" t="s">
        <v>12</v>
      </c>
      <c r="E280" s="8" t="n">
        <v>44895</v>
      </c>
      <c r="F280" s="2" t="s">
        <v>15</v>
      </c>
      <c r="G280" s="7" t="str">
        <f aca="false">HYPERLINK("https://mncourtfraud.com/file/MCRO_27-CR-21-23724_Order-Evaluation for Competency to Proceed (Rule 20.01)_2022-11-30_20251126184131.pdf","MCRO_27-CR-21-23724_Order-Evaluation for Competency to Proceed (Rule 20.01)_2022-11-30_20251126184131.pdf")</f>
        <v>MCRO_27-CR-21-23724_Order-Evaluation for Competency to Proceed (Rule 20.01)_2022-11-30_20251126184131.pdf</v>
      </c>
      <c r="H280" s="2" t="s">
        <v>301</v>
      </c>
      <c r="I280" s="7" t="str">
        <f aca="false">HYPERLINK("https://mncourtfraud.com/file/MCRO_27-CR-21-23724_Order-Evaluation for Competency to Proceed (Rule 20.01)_2022-11-30_20251126184131.pdf.ots","MCRO_27-CR-21-23724_Order-Evaluation for Competency to Proceed (Rule 20.01)_2022-11-30_20251126184131.pdf.ots")</f>
        <v>MCRO_27-CR-21-23724_Order-Evaluation for Competency to Proceed (Rule 20.01)_2022-11-30_20251126184131.pdf.ots</v>
      </c>
      <c r="J280" s="7" t="str">
        <f aca="false">HYPERLINK("https://mncourtfraud.com/file/MCRO_27-CR-21-23724_Order-Evaluation for Competency to Proceed (Rule 20.01)_2022-11-30_20251126184131_META.txt","MCRO_27-CR-21-23724_Order-Evaluation for Competency to Proceed (Rule 20.01)_2022-11-30_20251126184131_META.txt")</f>
        <v>MCRO_27-CR-21-23724_Order-Evaluation for Competency to Proceed (Rule 20.01)_2022-11-30_20251126184131_META.txt</v>
      </c>
      <c r="K280" s="7" t="str">
        <f aca="false">HYPERLINK("https://mncourtfraud.com/file/MCRO_27-CR-21-23724_Order-Evaluation for Competency to Proceed (Rule 20.01)_2022-11-30_20251126184131_PDFSIGS.txt","MCRO_27-CR-21-23724_Order-Evaluation for Competency to Proceed (Rule 20.01)_2022-11-30_20251126184131_PDFSIGS.txt")</f>
        <v>MCRO_27-CR-21-23724_Order-Evaluation for Competency to Proceed (Rule 20.01)_2022-11-30_20251126184131_PDFSIGS.txt</v>
      </c>
      <c r="L280" s="7" t="str">
        <f aca="false">HYPERLINK("https://mncourtfraud.com/file/MCRO_27-CR-21-23724_Order-Evaluation_for_Competency_to_Proceed_(Rule_20.01)_2022-11-30_20251126184131.zip","MCRO_27-CR-21-23724_Order-Evaluation_for_Competency_to_Proceed_(Rule_20.01)_2022-11-30_20251126184131.zip")</f>
        <v>MCRO_27-CR-21-23724_Order-Evaluation_for_Competency_to_Proceed_(Rule_20.01)_2022-11-30_20251126184131.zip</v>
      </c>
    </row>
    <row r="281" customFormat="false" ht="18.7" hidden="false" customHeight="true" outlineLevel="0" collapsed="false">
      <c r="A281" s="1" t="n">
        <v>280</v>
      </c>
      <c r="B281" s="7" t="str">
        <f aca="false">HYPERLINK("https://mncourtfraud.com/file/27-CR-21-23724.pdf","27-CR-21-23724")</f>
        <v>27-CR-21-23724</v>
      </c>
      <c r="C281" s="1" t="n">
        <v>1</v>
      </c>
      <c r="D281" s="2" t="s">
        <v>12</v>
      </c>
      <c r="E281" s="8" t="n">
        <v>44999</v>
      </c>
      <c r="F281" s="2" t="s">
        <v>17</v>
      </c>
      <c r="G281" s="7" t="str">
        <f aca="false">HYPERLINK("https://mncourtfraud.com/file/MCRO_27-CR-21-23724_Returned Mail_2023-03-14_20251126184153.pdf","MCRO_27-CR-21-23724_Returned Mail_2023-03-14_20251126184153.pdf")</f>
        <v>MCRO_27-CR-21-23724_Returned Mail_2023-03-14_20251126184153.pdf</v>
      </c>
      <c r="H281" s="2" t="s">
        <v>302</v>
      </c>
      <c r="I281" s="7" t="str">
        <f aca="false">HYPERLINK("https://mncourtfraud.com/file/MCRO_27-CR-21-23724_Returned Mail_2023-03-14_20251126184153.pdf.ots","MCRO_27-CR-21-23724_Returned Mail_2023-03-14_20251126184153.pdf.ots")</f>
        <v>MCRO_27-CR-21-23724_Returned Mail_2023-03-14_20251126184153.pdf.ots</v>
      </c>
      <c r="J281" s="7" t="str">
        <f aca="false">HYPERLINK("https://mncourtfraud.com/file/MCRO_27-CR-21-23724_Returned Mail_2023-03-14_20251126184153_META.txt","MCRO_27-CR-21-23724_Returned Mail_2023-03-14_20251126184153_META.txt")</f>
        <v>MCRO_27-CR-21-23724_Returned Mail_2023-03-14_20251126184153_META.txt</v>
      </c>
      <c r="K281" s="7" t="str">
        <f aca="false">HYPERLINK("https://mncourtfraud.com/file/MCRO_27-CR-21-23724_Returned Mail_2023-03-14_20251126184153_PDFSIGS.txt","MCRO_27-CR-21-23724_Returned Mail_2023-03-14_20251126184153_PDFSIGS.txt")</f>
        <v>MCRO_27-CR-21-23724_Returned Mail_2023-03-14_20251126184153_PDFSIGS.txt</v>
      </c>
      <c r="L281" s="7" t="str">
        <f aca="false">HYPERLINK("https://mncourtfraud.com/file/MCRO_27-CR-21-23724_Returned_Mail_2023-03-14_20251126184153.zip","MCRO_27-CR-21-23724_Returned_Mail_2023-03-14_20251126184153.zip")</f>
        <v>MCRO_27-CR-21-23724_Returned_Mail_2023-03-14_20251126184153.zip</v>
      </c>
    </row>
    <row r="282" customFormat="false" ht="18.7" hidden="false" customHeight="true" outlineLevel="0" collapsed="false">
      <c r="A282" s="1" t="n">
        <v>281</v>
      </c>
      <c r="B282" s="7" t="str">
        <f aca="false">HYPERLINK("https://mncourtfraud.com/file/27-CR-21-23724.pdf","27-CR-21-23724")</f>
        <v>27-CR-21-23724</v>
      </c>
      <c r="C282" s="1" t="n">
        <v>1</v>
      </c>
      <c r="D282" s="2" t="s">
        <v>12</v>
      </c>
      <c r="E282" s="8" t="n">
        <v>45048</v>
      </c>
      <c r="F282" s="2" t="s">
        <v>80</v>
      </c>
      <c r="G282" s="7" t="str">
        <f aca="false">HYPERLINK("https://mncourtfraud.com/file/MCRO_27-CR-21-23724_Finding of Incompetency and Order_2023-05-02_20251126184009.pdf","MCRO_27-CR-21-23724_Finding of Incompetency and Order_2023-05-02_20251126184009.pdf")</f>
        <v>MCRO_27-CR-21-23724_Finding of Incompetency and Order_2023-05-02_20251126184009.pdf</v>
      </c>
      <c r="H282" s="2" t="s">
        <v>303</v>
      </c>
      <c r="I282" s="7" t="str">
        <f aca="false">HYPERLINK("https://mncourtfraud.com/file/MCRO_27-CR-21-23724_Finding of Incompetency and Order_2023-05-02_20251126184009.pdf.ots","MCRO_27-CR-21-23724_Finding of Incompetency and Order_2023-05-02_20251126184009.pdf.ots")</f>
        <v>MCRO_27-CR-21-23724_Finding of Incompetency and Order_2023-05-02_20251126184009.pdf.ots</v>
      </c>
      <c r="J282" s="7" t="str">
        <f aca="false">HYPERLINK("https://mncourtfraud.com/file/MCRO_27-CR-21-23724_Finding of Incompetency and Order_2023-05-02_20251126184009_META.txt","MCRO_27-CR-21-23724_Finding of Incompetency and Order_2023-05-02_20251126184009_META.txt")</f>
        <v>MCRO_27-CR-21-23724_Finding of Incompetency and Order_2023-05-02_20251126184009_META.txt</v>
      </c>
      <c r="K282" s="7" t="str">
        <f aca="false">HYPERLINK("https://mncourtfraud.com/file/MCRO_27-CR-21-23724_Finding of Incompetency and Order_2023-05-02_20251126184009_PDFSIGS.txt","MCRO_27-CR-21-23724_Finding of Incompetency and Order_2023-05-02_20251126184009_PDFSIGS.txt")</f>
        <v>MCRO_27-CR-21-23724_Finding of Incompetency and Order_2023-05-02_20251126184009_PDFSIGS.txt</v>
      </c>
      <c r="L282" s="7" t="str">
        <f aca="false">HYPERLINK("https://mncourtfraud.com/file/MCRO_27-CR-21-23724_Finding_of_Incompetency_and_Order_2023-05-02_20251126184009.zip","MCRO_27-CR-21-23724_Finding_of_Incompetency_and_Order_2023-05-02_20251126184009.zip")</f>
        <v>MCRO_27-CR-21-23724_Finding_of_Incompetency_and_Order_2023-05-02_20251126184009.zip</v>
      </c>
    </row>
    <row r="283" customFormat="false" ht="18.7" hidden="false" customHeight="true" outlineLevel="0" collapsed="false">
      <c r="A283" s="1" t="n">
        <v>282</v>
      </c>
      <c r="B283" s="7" t="str">
        <f aca="false">HYPERLINK("https://mncourtfraud.com/file/27-CR-21-23724.pdf","27-CR-21-23724")</f>
        <v>27-CR-21-23724</v>
      </c>
      <c r="C283" s="1" t="n">
        <v>1</v>
      </c>
      <c r="D283" s="2" t="s">
        <v>12</v>
      </c>
      <c r="E283" s="8" t="n">
        <v>45093</v>
      </c>
      <c r="F283" s="2" t="s">
        <v>82</v>
      </c>
      <c r="G283" s="7" t="str">
        <f aca="false">HYPERLINK("https://mncourtfraud.com/file/MCRO_27-CR-21-23724_Notice of Case Reassignment_2023-06-16_20251126184032.pdf","MCRO_27-CR-21-23724_Notice of Case Reassignment_2023-06-16_20251126184032.pdf")</f>
        <v>MCRO_27-CR-21-23724_Notice of Case Reassignment_2023-06-16_20251126184032.pdf</v>
      </c>
      <c r="H283" s="2" t="s">
        <v>304</v>
      </c>
      <c r="I283" s="7" t="str">
        <f aca="false">HYPERLINK("https://mncourtfraud.com/file/MCRO_27-CR-21-23724_Notice of Case Reassignment_2023-06-16_20251126184032.pdf.ots","MCRO_27-CR-21-23724_Notice of Case Reassignment_2023-06-16_20251126184032.pdf.ots")</f>
        <v>MCRO_27-CR-21-23724_Notice of Case Reassignment_2023-06-16_20251126184032.pdf.ots</v>
      </c>
      <c r="J283" s="7" t="str">
        <f aca="false">HYPERLINK("https://mncourtfraud.com/file/MCRO_27-CR-21-23724_Notice of Case Reassignment_2023-06-16_20251126184032_META.txt","MCRO_27-CR-21-23724_Notice of Case Reassignment_2023-06-16_20251126184032_META.txt")</f>
        <v>MCRO_27-CR-21-23724_Notice of Case Reassignment_2023-06-16_20251126184032_META.txt</v>
      </c>
      <c r="K283" s="7" t="str">
        <f aca="false">HYPERLINK("https://mncourtfraud.com/file/MCRO_27-CR-21-23724_Notice of Case Reassignment_2023-06-16_20251126184032_PDFSIGS.txt","MCRO_27-CR-21-23724_Notice of Case Reassignment_2023-06-16_20251126184032_PDFSIGS.txt")</f>
        <v>MCRO_27-CR-21-23724_Notice of Case Reassignment_2023-06-16_20251126184032_PDFSIGS.txt</v>
      </c>
      <c r="L283" s="7" t="str">
        <f aca="false">HYPERLINK("https://mncourtfraud.com/file/MCRO_27-CR-21-23724_Notice_of_Case_Reassignment_2023-06-16_20251126184032.zip","MCRO_27-CR-21-23724_Notice_of_Case_Reassignment_2023-06-16_20251126184032.zip")</f>
        <v>MCRO_27-CR-21-23724_Notice_of_Case_Reassignment_2023-06-16_20251126184032.zip</v>
      </c>
    </row>
    <row r="284" customFormat="false" ht="18.7" hidden="false" customHeight="true" outlineLevel="0" collapsed="false">
      <c r="A284" s="1" t="n">
        <v>283</v>
      </c>
      <c r="B284" s="7" t="str">
        <f aca="false">HYPERLINK("https://mncourtfraud.com/file/27-CR-21-23724.pdf","27-CR-21-23724")</f>
        <v>27-CR-21-23724</v>
      </c>
      <c r="C284" s="1" t="n">
        <v>1</v>
      </c>
      <c r="D284" s="2" t="s">
        <v>12</v>
      </c>
      <c r="E284" s="8" t="n">
        <v>45160</v>
      </c>
      <c r="F284" s="2" t="s">
        <v>15</v>
      </c>
      <c r="G284" s="7" t="str">
        <f aca="false">HYPERLINK("https://mncourtfraud.com/file/MCRO_27-CR-21-23724_Order-Evaluation for Competency to Proceed (Rule 20.01)_2023-08-22_20251126184139.pdf","MCRO_27-CR-21-23724_Order-Evaluation for Competency to Proceed (Rule 20.01)_2023-08-22_20251126184139.pdf")</f>
        <v>MCRO_27-CR-21-23724_Order-Evaluation for Competency to Proceed (Rule 20.01)_2023-08-22_20251126184139.pdf</v>
      </c>
      <c r="H284" s="2" t="s">
        <v>305</v>
      </c>
      <c r="I284" s="7" t="str">
        <f aca="false">HYPERLINK("https://mncourtfraud.com/file/MCRO_27-CR-21-23724_Order-Evaluation for Competency to Proceed (Rule 20.01)_2023-08-22_20251126184139.pdf.ots","MCRO_27-CR-21-23724_Order-Evaluation for Competency to Proceed (Rule 20.01)_2023-08-22_20251126184139.pdf.ots")</f>
        <v>MCRO_27-CR-21-23724_Order-Evaluation for Competency to Proceed (Rule 20.01)_2023-08-22_20251126184139.pdf.ots</v>
      </c>
      <c r="J284" s="7" t="str">
        <f aca="false">HYPERLINK("https://mncourtfraud.com/file/MCRO_27-CR-21-23724_Order-Evaluation for Competency to Proceed (Rule 20.01)_2023-08-22_20251126184139_META.txt","MCRO_27-CR-21-23724_Order-Evaluation for Competency to Proceed (Rule 20.01)_2023-08-22_20251126184139_META.txt")</f>
        <v>MCRO_27-CR-21-23724_Order-Evaluation for Competency to Proceed (Rule 20.01)_2023-08-22_20251126184139_META.txt</v>
      </c>
      <c r="K284" s="7" t="str">
        <f aca="false">HYPERLINK("https://mncourtfraud.com/file/MCRO_27-CR-21-23724_Order-Evaluation for Competency to Proceed (Rule 20.01)_2023-08-22_20251126184139_PDFSIGS.txt","MCRO_27-CR-21-23724_Order-Evaluation for Competency to Proceed (Rule 20.01)_2023-08-22_20251126184139_PDFSIGS.txt")</f>
        <v>MCRO_27-CR-21-23724_Order-Evaluation for Competency to Proceed (Rule 20.01)_2023-08-22_20251126184139_PDFSIGS.txt</v>
      </c>
      <c r="L284" s="7" t="str">
        <f aca="false">HYPERLINK("https://mncourtfraud.com/file/MCRO_27-CR-21-23724_Order-Evaluation_for_Competency_to_Proceed_(Rule_20.01)_2023-08-22_20251126184139.zip","MCRO_27-CR-21-23724_Order-Evaluation_for_Competency_to_Proceed_(Rule_20.01)_2023-08-22_20251126184139.zip")</f>
        <v>MCRO_27-CR-21-23724_Order-Evaluation_for_Competency_to_Proceed_(Rule_20.01)_2023-08-22_20251126184139.zip</v>
      </c>
    </row>
    <row r="285" customFormat="false" ht="18.7" hidden="false" customHeight="true" outlineLevel="0" collapsed="false">
      <c r="A285" s="1" t="n">
        <v>284</v>
      </c>
      <c r="B285" s="7" t="str">
        <f aca="false">HYPERLINK("https://mncourtfraud.com/file/27-CR-21-23724.pdf","27-CR-21-23724")</f>
        <v>27-CR-21-23724</v>
      </c>
      <c r="C285" s="1" t="n">
        <v>1</v>
      </c>
      <c r="D285" s="2" t="s">
        <v>12</v>
      </c>
      <c r="E285" s="8" t="n">
        <v>45412</v>
      </c>
      <c r="F285" s="2" t="s">
        <v>24</v>
      </c>
      <c r="G285" s="7" t="str">
        <f aca="false">HYPERLINK("https://mncourtfraud.com/file/MCRO_27-CR-21-23724_Order for Conditional Release_2024-04-30_20251126184050.pdf","MCRO_27-CR-21-23724_Order for Conditional Release_2024-04-30_20251126184050.pdf")</f>
        <v>MCRO_27-CR-21-23724_Order for Conditional Release_2024-04-30_20251126184050.pdf</v>
      </c>
      <c r="H285" s="2" t="s">
        <v>306</v>
      </c>
      <c r="I285" s="7" t="str">
        <f aca="false">HYPERLINK("https://mncourtfraud.com/file/MCRO_27-CR-21-23724_Order for Conditional Release_2024-04-30_20251126184050.pdf.ots","MCRO_27-CR-21-23724_Order for Conditional Release_2024-04-30_20251126184050.pdf.ots")</f>
        <v>MCRO_27-CR-21-23724_Order for Conditional Release_2024-04-30_20251126184050.pdf.ots</v>
      </c>
      <c r="J285" s="7" t="str">
        <f aca="false">HYPERLINK("https://mncourtfraud.com/file/MCRO_27-CR-21-23724_Order for Conditional Release_2024-04-30_20251126184050_META.txt","MCRO_27-CR-21-23724_Order for Conditional Release_2024-04-30_20251126184050_META.txt")</f>
        <v>MCRO_27-CR-21-23724_Order for Conditional Release_2024-04-30_20251126184050_META.txt</v>
      </c>
      <c r="K285" s="7" t="str">
        <f aca="false">HYPERLINK("https://mncourtfraud.com/file/MCRO_27-CR-21-23724_Order for Conditional Release_2024-04-30_20251126184050_PDFSIGS.txt","MCRO_27-CR-21-23724_Order for Conditional Release_2024-04-30_20251126184050_PDFSIGS.txt")</f>
        <v>MCRO_27-CR-21-23724_Order for Conditional Release_2024-04-30_20251126184050_PDFSIGS.txt</v>
      </c>
      <c r="L285" s="7" t="str">
        <f aca="false">HYPERLINK("https://mncourtfraud.com/file/MCRO_27-CR-21-23724_Order_for_Conditional_Release_2024-04-30_20251126184050.zip","MCRO_27-CR-21-23724_Order_for_Conditional_Release_2024-04-30_20251126184050.zip")</f>
        <v>MCRO_27-CR-21-23724_Order_for_Conditional_Release_2024-04-30_20251126184050.zip</v>
      </c>
    </row>
    <row r="286" customFormat="false" ht="18.7" hidden="false" customHeight="true" outlineLevel="0" collapsed="false">
      <c r="A286" s="1" t="n">
        <v>285</v>
      </c>
      <c r="B286" s="7" t="str">
        <f aca="false">HYPERLINK("https://mncourtfraud.com/file/27-CR-21-23724.pdf","27-CR-21-23724")</f>
        <v>27-CR-21-23724</v>
      </c>
      <c r="C286" s="1" t="n">
        <v>1</v>
      </c>
      <c r="D286" s="2" t="s">
        <v>12</v>
      </c>
      <c r="E286" s="8" t="n">
        <v>45412</v>
      </c>
      <c r="F286" s="2" t="s">
        <v>15</v>
      </c>
      <c r="G286" s="7" t="str">
        <f aca="false">HYPERLINK("https://mncourtfraud.com/file/MCRO_27-CR-21-23724_Order-Evaluation for Competency to Proceed (Rule 20.01)_2024-04-30_20251126184103.pdf","MCRO_27-CR-21-23724_Order-Evaluation for Competency to Proceed (Rule 20.01)_2024-04-30_20251126184103.pdf")</f>
        <v>MCRO_27-CR-21-23724_Order-Evaluation for Competency to Proceed (Rule 20.01)_2024-04-30_20251126184103.pdf</v>
      </c>
      <c r="H286" s="2" t="s">
        <v>307</v>
      </c>
      <c r="I286" s="7" t="str">
        <f aca="false">HYPERLINK("https://mncourtfraud.com/file/MCRO_27-CR-21-23724_Order-Evaluation for Competency to Proceed (Rule 20.01)_2024-04-30_20251126184103.pdf.ots","MCRO_27-CR-21-23724_Order-Evaluation for Competency to Proceed (Rule 20.01)_2024-04-30_20251126184103.pdf.ots")</f>
        <v>MCRO_27-CR-21-23724_Order-Evaluation for Competency to Proceed (Rule 20.01)_2024-04-30_20251126184103.pdf.ots</v>
      </c>
      <c r="J286" s="7" t="str">
        <f aca="false">HYPERLINK("https://mncourtfraud.com/file/MCRO_27-CR-21-23724_Order-Evaluation for Competency to Proceed (Rule 20.01)_2024-04-30_20251126184103_META.txt","MCRO_27-CR-21-23724_Order-Evaluation for Competency to Proceed (Rule 20.01)_2024-04-30_20251126184103_META.txt")</f>
        <v>MCRO_27-CR-21-23724_Order-Evaluation for Competency to Proceed (Rule 20.01)_2024-04-30_20251126184103_META.txt</v>
      </c>
      <c r="K286" s="7" t="str">
        <f aca="false">HYPERLINK("https://mncourtfraud.com/file/MCRO_27-CR-21-23724_Order-Evaluation for Competency to Proceed (Rule 20.01)_2024-04-30_20251126184103_PDFSIGS.txt","MCRO_27-CR-21-23724_Order-Evaluation for Competency to Proceed (Rule 20.01)_2024-04-30_20251126184103_PDFSIGS.txt")</f>
        <v>MCRO_27-CR-21-23724_Order-Evaluation for Competency to Proceed (Rule 20.01)_2024-04-30_20251126184103_PDFSIGS.txt</v>
      </c>
      <c r="L286" s="7" t="str">
        <f aca="false">HYPERLINK("https://mncourtfraud.com/file/MCRO_27-CR-21-23724_Order-Evaluation_for_Competency_to_Proceed_(Rule_20.01)_2024-04-30_20251126184103.zip","MCRO_27-CR-21-23724_Order-Evaluation_for_Competency_to_Proceed_(Rule_20.01)_2024-04-30_20251126184103.zip")</f>
        <v>MCRO_27-CR-21-23724_Order-Evaluation_for_Competency_to_Proceed_(Rule_20.01)_2024-04-30_20251126184103.zip</v>
      </c>
    </row>
    <row r="287" customFormat="false" ht="18.7" hidden="false" customHeight="true" outlineLevel="0" collapsed="false">
      <c r="A287" s="1" t="n">
        <v>286</v>
      </c>
      <c r="B287" s="7" t="str">
        <f aca="false">HYPERLINK("https://mncourtfraud.com/file/27-CR-21-2803.pdf","27-CR-21-2803")</f>
        <v>27-CR-21-2803</v>
      </c>
      <c r="C287" s="1" t="n">
        <v>1</v>
      </c>
      <c r="D287" s="2" t="s">
        <v>12</v>
      </c>
      <c r="E287" s="8" t="n">
        <v>44396</v>
      </c>
      <c r="F287" s="2" t="s">
        <v>15</v>
      </c>
      <c r="G287" s="7" t="str">
        <f aca="false">HYPERLINK("https://mncourtfraud.com/file/MCRO_27-CR-21-2803_Order-Evaluation for Competency to Proceed (Rule 20.01)_2021-07-19_20251126184309.pdf","MCRO_27-CR-21-2803_Order-Evaluation for Competency to Proceed (Rule 20.01)_2021-07-19_20251126184309.pdf")</f>
        <v>MCRO_27-CR-21-2803_Order-Evaluation for Competency to Proceed (Rule 20.01)_2021-07-19_20251126184309.pdf</v>
      </c>
      <c r="H287" s="2" t="s">
        <v>308</v>
      </c>
      <c r="I287" s="7" t="str">
        <f aca="false">HYPERLINK("https://mncourtfraud.com/file/MCRO_27-CR-21-2803_Order-Evaluation for Competency to Proceed (Rule 20.01)_2021-07-19_20251126184309.pdf.ots","MCRO_27-CR-21-2803_Order-Evaluation for Competency to Proceed (Rule 20.01)_2021-07-19_20251126184309.pdf.ots")</f>
        <v>MCRO_27-CR-21-2803_Order-Evaluation for Competency to Proceed (Rule 20.01)_2021-07-19_20251126184309.pdf.ots</v>
      </c>
      <c r="J287" s="7" t="str">
        <f aca="false">HYPERLINK("https://mncourtfraud.com/file/MCRO_27-CR-21-2803_Order-Evaluation for Competency to Proceed (Rule 20.01)_2021-07-19_20251126184309_META.txt","MCRO_27-CR-21-2803_Order-Evaluation for Competency to Proceed (Rule 20.01)_2021-07-19_20251126184309_META.txt")</f>
        <v>MCRO_27-CR-21-2803_Order-Evaluation for Competency to Proceed (Rule 20.01)_2021-07-19_20251126184309_META.txt</v>
      </c>
      <c r="K287" s="7" t="str">
        <f aca="false">HYPERLINK("https://mncourtfraud.com/file/MCRO_27-CR-21-2803_Order-Evaluation for Competency to Proceed (Rule 20.01)_2021-07-19_20251126184309_PDFSIGS.txt","MCRO_27-CR-21-2803_Order-Evaluation for Competency to Proceed (Rule 20.01)_2021-07-19_20251126184309_PDFSIGS.txt")</f>
        <v>MCRO_27-CR-21-2803_Order-Evaluation for Competency to Proceed (Rule 20.01)_2021-07-19_20251126184309_PDFSIGS.txt</v>
      </c>
      <c r="L287" s="7" t="str">
        <f aca="false">HYPERLINK("https://mncourtfraud.com/file/MCRO_27-CR-21-2803_Order-Evaluation_for_Competency_to_Proceed_(Rule_20.01)_2021-07-19_20251126184309.zip","MCRO_27-CR-21-2803_Order-Evaluation_for_Competency_to_Proceed_(Rule_20.01)_2021-07-19_20251126184309.zip")</f>
        <v>MCRO_27-CR-21-2803_Order-Evaluation_for_Competency_to_Proceed_(Rule_20.01)_2021-07-19_20251126184309.zip</v>
      </c>
    </row>
    <row r="288" customFormat="false" ht="18.7" hidden="false" customHeight="true" outlineLevel="0" collapsed="false">
      <c r="A288" s="1" t="n">
        <v>287</v>
      </c>
      <c r="B288" s="7" t="str">
        <f aca="false">HYPERLINK("https://mncourtfraud.com/file/27-CR-21-2803.pdf","27-CR-21-2803")</f>
        <v>27-CR-21-2803</v>
      </c>
      <c r="C288" s="1" t="n">
        <v>1</v>
      </c>
      <c r="D288" s="2" t="s">
        <v>12</v>
      </c>
      <c r="E288" s="8" t="n">
        <v>44439</v>
      </c>
      <c r="F288" s="2" t="s">
        <v>134</v>
      </c>
      <c r="G288" s="7" t="str">
        <f aca="false">HYPERLINK("https://mncourtfraud.com/file/MCRO_27-CR-21-2803_Notice of Intent to Prosecute_2021-08-31_20251126184242.pdf","MCRO_27-CR-21-2803_Notice of Intent to Prosecute_2021-08-31_20251126184242.pdf")</f>
        <v>MCRO_27-CR-21-2803_Notice of Intent to Prosecute_2021-08-31_20251126184242.pdf</v>
      </c>
      <c r="H288" s="2" t="s">
        <v>309</v>
      </c>
      <c r="I288" s="7" t="str">
        <f aca="false">HYPERLINK("https://mncourtfraud.com/file/MCRO_27-CR-21-2803_Notice of Intent to Prosecute_2021-08-31_20251126184242.pdf.ots","MCRO_27-CR-21-2803_Notice of Intent to Prosecute_2021-08-31_20251126184242.pdf.ots")</f>
        <v>MCRO_27-CR-21-2803_Notice of Intent to Prosecute_2021-08-31_20251126184242.pdf.ots</v>
      </c>
      <c r="J288" s="7" t="str">
        <f aca="false">HYPERLINK("https://mncourtfraud.com/file/MCRO_27-CR-21-2803_Notice of Intent to Prosecute_2021-08-31_20251126184242_META.txt","MCRO_27-CR-21-2803_Notice of Intent to Prosecute_2021-08-31_20251126184242_META.txt")</f>
        <v>MCRO_27-CR-21-2803_Notice of Intent to Prosecute_2021-08-31_20251126184242_META.txt</v>
      </c>
      <c r="K288" s="7" t="str">
        <f aca="false">HYPERLINK("https://mncourtfraud.com/file/MCRO_27-CR-21-2803_Notice of Intent to Prosecute_2021-08-31_20251126184242_PDFSIGS.txt","MCRO_27-CR-21-2803_Notice of Intent to Prosecute_2021-08-31_20251126184242_PDFSIGS.txt")</f>
        <v>MCRO_27-CR-21-2803_Notice of Intent to Prosecute_2021-08-31_20251126184242_PDFSIGS.txt</v>
      </c>
      <c r="L288" s="7" t="str">
        <f aca="false">HYPERLINK("https://mncourtfraud.com/file/MCRO_27-CR-21-2803_Notice_of_Intent_to_Prosecute_2021-08-31_20251126184242.zip","MCRO_27-CR-21-2803_Notice_of_Intent_to_Prosecute_2021-08-31_20251126184242.zip")</f>
        <v>MCRO_27-CR-21-2803_Notice_of_Intent_to_Prosecute_2021-08-31_20251126184242.zip</v>
      </c>
    </row>
    <row r="289" customFormat="false" ht="18.7" hidden="false" customHeight="true" outlineLevel="0" collapsed="false">
      <c r="A289" s="1" t="n">
        <v>288</v>
      </c>
      <c r="B289" s="7" t="str">
        <f aca="false">HYPERLINK("https://mncourtfraud.com/file/27-CR-21-2803.pdf","27-CR-21-2803")</f>
        <v>27-CR-21-2803</v>
      </c>
      <c r="C289" s="1" t="n">
        <v>1</v>
      </c>
      <c r="D289" s="2" t="s">
        <v>12</v>
      </c>
      <c r="E289" s="8" t="n">
        <v>44439</v>
      </c>
      <c r="F289" s="2" t="s">
        <v>19</v>
      </c>
      <c r="G289" s="7" t="str">
        <f aca="false">HYPERLINK("https://mncourtfraud.com/file/MCRO_27-CR-21-2803_Findings and Order_2021-08-31_20251126184229.pdf","MCRO_27-CR-21-2803_Findings and Order_2021-08-31_20251126184229.pdf")</f>
        <v>MCRO_27-CR-21-2803_Findings and Order_2021-08-31_20251126184229.pdf</v>
      </c>
      <c r="H289" s="2" t="s">
        <v>310</v>
      </c>
      <c r="I289" s="7" t="str">
        <f aca="false">HYPERLINK("https://mncourtfraud.com/file/MCRO_27-CR-21-2803_Findings and Order_2021-08-31_20251126184229.pdf.ots","MCRO_27-CR-21-2803_Findings and Order_2021-08-31_20251126184229.pdf.ots")</f>
        <v>MCRO_27-CR-21-2803_Findings and Order_2021-08-31_20251126184229.pdf.ots</v>
      </c>
      <c r="J289" s="7" t="str">
        <f aca="false">HYPERLINK("https://mncourtfraud.com/file/MCRO_27-CR-21-2803_Findings and Order_2021-08-31_20251126184229_META.txt","MCRO_27-CR-21-2803_Findings and Order_2021-08-31_20251126184229_META.txt")</f>
        <v>MCRO_27-CR-21-2803_Findings and Order_2021-08-31_20251126184229_META.txt</v>
      </c>
      <c r="K289" s="7" t="str">
        <f aca="false">HYPERLINK("https://mncourtfraud.com/file/MCRO_27-CR-21-2803_Findings and Order_2021-08-31_20251126184229_PDFSIGS.txt","MCRO_27-CR-21-2803_Findings and Order_2021-08-31_20251126184229_PDFSIGS.txt")</f>
        <v>MCRO_27-CR-21-2803_Findings and Order_2021-08-31_20251126184229_PDFSIGS.txt</v>
      </c>
      <c r="L289" s="7" t="str">
        <f aca="false">HYPERLINK("https://mncourtfraud.com/file/MCRO_27-CR-21-2803_Findings_and_Order_2021-08-31_20251126184229.zip","MCRO_27-CR-21-2803_Findings_and_Order_2021-08-31_20251126184229.zip")</f>
        <v>MCRO_27-CR-21-2803_Findings_and_Order_2021-08-31_20251126184229.zip</v>
      </c>
    </row>
    <row r="290" customFormat="false" ht="18.7" hidden="false" customHeight="true" outlineLevel="0" collapsed="false">
      <c r="A290" s="1" t="n">
        <v>289</v>
      </c>
      <c r="B290" s="7" t="str">
        <f aca="false">HYPERLINK("https://mncourtfraud.com/file/27-CR-21-2803.pdf","27-CR-21-2803")</f>
        <v>27-CR-21-2803</v>
      </c>
      <c r="C290" s="1" t="n">
        <v>1</v>
      </c>
      <c r="D290" s="2" t="s">
        <v>12</v>
      </c>
      <c r="E290" s="8" t="n">
        <v>44460</v>
      </c>
      <c r="F290" s="2" t="s">
        <v>24</v>
      </c>
      <c r="G290" s="7" t="str">
        <f aca="false">HYPERLINK("https://mncourtfraud.com/file/MCRO_27-CR-21-2803_Order for Conditional Release_2021-09-21_20251126184257.pdf","MCRO_27-CR-21-2803_Order for Conditional Release_2021-09-21_20251126184257.pdf")</f>
        <v>MCRO_27-CR-21-2803_Order for Conditional Release_2021-09-21_20251126184257.pdf</v>
      </c>
      <c r="H290" s="2" t="s">
        <v>311</v>
      </c>
      <c r="I290" s="7" t="str">
        <f aca="false">HYPERLINK("https://mncourtfraud.com/file/MCRO_27-CR-21-2803_Order for Conditional Release_2021-09-21_20251126184257.pdf.ots","MCRO_27-CR-21-2803_Order for Conditional Release_2021-09-21_20251126184257.pdf.ots")</f>
        <v>MCRO_27-CR-21-2803_Order for Conditional Release_2021-09-21_20251126184257.pdf.ots</v>
      </c>
      <c r="J290" s="7" t="str">
        <f aca="false">HYPERLINK("https://mncourtfraud.com/file/MCRO_27-CR-21-2803_Order for Conditional Release_2021-09-21_20251126184257_META.txt","MCRO_27-CR-21-2803_Order for Conditional Release_2021-09-21_20251126184257_META.txt")</f>
        <v>MCRO_27-CR-21-2803_Order for Conditional Release_2021-09-21_20251126184257_META.txt</v>
      </c>
      <c r="K290" s="7" t="str">
        <f aca="false">HYPERLINK("https://mncourtfraud.com/file/MCRO_27-CR-21-2803_Order for Conditional Release_2021-09-21_20251126184257_PDFSIGS.txt","MCRO_27-CR-21-2803_Order for Conditional Release_2021-09-21_20251126184257_PDFSIGS.txt")</f>
        <v>MCRO_27-CR-21-2803_Order for Conditional Release_2021-09-21_20251126184257_PDFSIGS.txt</v>
      </c>
      <c r="L290" s="7" t="str">
        <f aca="false">HYPERLINK("https://mncourtfraud.com/file/MCRO_27-CR-21-2803_Order_for_Conditional_Release_2021-09-21_20251126184257.zip","MCRO_27-CR-21-2803_Order_for_Conditional_Release_2021-09-21_20251126184257.zip")</f>
        <v>MCRO_27-CR-21-2803_Order_for_Conditional_Release_2021-09-21_20251126184257.zip</v>
      </c>
    </row>
    <row r="291" customFormat="false" ht="18.7" hidden="false" customHeight="true" outlineLevel="0" collapsed="false">
      <c r="A291" s="1" t="n">
        <v>290</v>
      </c>
      <c r="B291" s="7" t="str">
        <f aca="false">HYPERLINK("https://mncourtfraud.com/file/27-CR-21-2803.pdf","27-CR-21-2803")</f>
        <v>27-CR-21-2803</v>
      </c>
      <c r="C291" s="1" t="n">
        <v>1</v>
      </c>
      <c r="D291" s="2" t="s">
        <v>12</v>
      </c>
      <c r="E291" s="8" t="n">
        <v>44468</v>
      </c>
      <c r="F291" s="2" t="s">
        <v>24</v>
      </c>
      <c r="G291" s="7" t="str">
        <f aca="false">HYPERLINK("https://mncourtfraud.com/file/MCRO_27-CR-21-2803_Order for Conditional Release_2021-09-29_20251126184253.pdf","MCRO_27-CR-21-2803_Order for Conditional Release_2021-09-29_20251126184253.pdf")</f>
        <v>MCRO_27-CR-21-2803_Order for Conditional Release_2021-09-29_20251126184253.pdf</v>
      </c>
      <c r="H291" s="2" t="s">
        <v>312</v>
      </c>
      <c r="I291" s="7" t="str">
        <f aca="false">HYPERLINK("https://mncourtfraud.com/file/MCRO_27-CR-21-2803_Order for Conditional Release_2021-09-29_20251126184253.pdf.ots","MCRO_27-CR-21-2803_Order for Conditional Release_2021-09-29_20251126184253.pdf.ots")</f>
        <v>MCRO_27-CR-21-2803_Order for Conditional Release_2021-09-29_20251126184253.pdf.ots</v>
      </c>
      <c r="J291" s="7" t="str">
        <f aca="false">HYPERLINK("https://mncourtfraud.com/file/MCRO_27-CR-21-2803_Order for Conditional Release_2021-09-29_20251126184253_META.txt","MCRO_27-CR-21-2803_Order for Conditional Release_2021-09-29_20251126184253_META.txt")</f>
        <v>MCRO_27-CR-21-2803_Order for Conditional Release_2021-09-29_20251126184253_META.txt</v>
      </c>
      <c r="K291" s="7" t="str">
        <f aca="false">HYPERLINK("https://mncourtfraud.com/file/MCRO_27-CR-21-2803_Order for Conditional Release_2021-09-29_20251126184253_PDFSIGS.txt","MCRO_27-CR-21-2803_Order for Conditional Release_2021-09-29_20251126184253_PDFSIGS.txt")</f>
        <v>MCRO_27-CR-21-2803_Order for Conditional Release_2021-09-29_20251126184253_PDFSIGS.txt</v>
      </c>
      <c r="L291" s="7" t="str">
        <f aca="false">HYPERLINK("https://mncourtfraud.com/file/MCRO_27-CR-21-2803_Order_for_Conditional_Release_2021-09-29_20251126184253.zip","MCRO_27-CR-21-2803_Order_for_Conditional_Release_2021-09-29_20251126184253.zip")</f>
        <v>MCRO_27-CR-21-2803_Order_for_Conditional_Release_2021-09-29_20251126184253.zip</v>
      </c>
    </row>
    <row r="292" customFormat="false" ht="18.7" hidden="false" customHeight="true" outlineLevel="0" collapsed="false">
      <c r="A292" s="1" t="n">
        <v>291</v>
      </c>
      <c r="B292" s="7" t="str">
        <f aca="false">HYPERLINK("https://mncourtfraud.com/file/27-CR-21-2803.pdf","27-CR-21-2803")</f>
        <v>27-CR-21-2803</v>
      </c>
      <c r="C292" s="1" t="n">
        <v>1</v>
      </c>
      <c r="D292" s="2" t="s">
        <v>12</v>
      </c>
      <c r="E292" s="8" t="n">
        <v>44543</v>
      </c>
      <c r="F292" s="2" t="s">
        <v>15</v>
      </c>
      <c r="G292" s="7" t="str">
        <f aca="false">HYPERLINK("https://mncourtfraud.com/file/MCRO_27-CR-21-2803_Order-Evaluation for Competency to Proceed (Rule 20.01)_2021-12-13_20251126184318.pdf","MCRO_27-CR-21-2803_Order-Evaluation for Competency to Proceed (Rule 20.01)_2021-12-13_20251126184318.pdf")</f>
        <v>MCRO_27-CR-21-2803_Order-Evaluation for Competency to Proceed (Rule 20.01)_2021-12-13_20251126184318.pdf</v>
      </c>
      <c r="H292" s="2" t="s">
        <v>313</v>
      </c>
      <c r="I292" s="7" t="str">
        <f aca="false">HYPERLINK("https://mncourtfraud.com/file/MCRO_27-CR-21-2803_Order-Evaluation for Competency to Proceed (Rule 20.01)_2021-12-13_20251126184318.pdf.ots","MCRO_27-CR-21-2803_Order-Evaluation for Competency to Proceed (Rule 20.01)_2021-12-13_20251126184318.pdf.ots")</f>
        <v>MCRO_27-CR-21-2803_Order-Evaluation for Competency to Proceed (Rule 20.01)_2021-12-13_20251126184318.pdf.ots</v>
      </c>
      <c r="J292" s="7" t="str">
        <f aca="false">HYPERLINK("https://mncourtfraud.com/file/MCRO_27-CR-21-2803_Order-Evaluation for Competency to Proceed (Rule 20.01)_2021-12-13_20251126184318_META.txt","MCRO_27-CR-21-2803_Order-Evaluation for Competency to Proceed (Rule 20.01)_2021-12-13_20251126184318_META.txt")</f>
        <v>MCRO_27-CR-21-2803_Order-Evaluation for Competency to Proceed (Rule 20.01)_2021-12-13_20251126184318_META.txt</v>
      </c>
      <c r="K292" s="7" t="str">
        <f aca="false">HYPERLINK("https://mncourtfraud.com/file/MCRO_27-CR-21-2803_Order-Evaluation for Competency to Proceed (Rule 20.01)_2021-12-13_20251126184318_PDFSIGS.txt","MCRO_27-CR-21-2803_Order-Evaluation for Competency to Proceed (Rule 20.01)_2021-12-13_20251126184318_PDFSIGS.txt")</f>
        <v>MCRO_27-CR-21-2803_Order-Evaluation for Competency to Proceed (Rule 20.01)_2021-12-13_20251126184318_PDFSIGS.txt</v>
      </c>
      <c r="L292" s="7" t="str">
        <f aca="false">HYPERLINK("https://mncourtfraud.com/file/MCRO_27-CR-21-2803_Order-Evaluation_for_Competency_to_Proceed_(Rule_20.01)_2021-12-13_20251126184318.zip","MCRO_27-CR-21-2803_Order-Evaluation_for_Competency_to_Proceed_(Rule_20.01)_2021-12-13_20251126184318.zip")</f>
        <v>MCRO_27-CR-21-2803_Order-Evaluation_for_Competency_to_Proceed_(Rule_20.01)_2021-12-13_20251126184318.zip</v>
      </c>
    </row>
    <row r="293" customFormat="false" ht="18.7" hidden="false" customHeight="true" outlineLevel="0" collapsed="false">
      <c r="A293" s="1" t="n">
        <v>292</v>
      </c>
      <c r="B293" s="7" t="str">
        <f aca="false">HYPERLINK("https://mncourtfraud.com/file/27-CR-21-2803.pdf","27-CR-21-2803")</f>
        <v>27-CR-21-2803</v>
      </c>
      <c r="C293" s="1" t="n">
        <v>1</v>
      </c>
      <c r="D293" s="2" t="s">
        <v>12</v>
      </c>
      <c r="E293" s="8" t="n">
        <v>44558</v>
      </c>
      <c r="F293" s="2" t="s">
        <v>15</v>
      </c>
      <c r="G293" s="7" t="str">
        <f aca="false">HYPERLINK("https://mncourtfraud.com/file/MCRO_27-CR-21-2803_Order-Evaluation for Competency to Proceed (Rule 20.01)_2021-12-28_20251126184326.pdf","MCRO_27-CR-21-2803_Order-Evaluation for Competency to Proceed (Rule 20.01)_2021-12-28_20251126184326.pdf")</f>
        <v>MCRO_27-CR-21-2803_Order-Evaluation for Competency to Proceed (Rule 20.01)_2021-12-28_20251126184326.pdf</v>
      </c>
      <c r="H293" s="2" t="s">
        <v>314</v>
      </c>
      <c r="I293" s="7" t="str">
        <f aca="false">HYPERLINK("https://mncourtfraud.com/file/MCRO_27-CR-21-2803_Order-Evaluation for Competency to Proceed (Rule 20.01)_2021-12-28_20251126184326.pdf.ots","MCRO_27-CR-21-2803_Order-Evaluation for Competency to Proceed (Rule 20.01)_2021-12-28_20251126184326.pdf.ots")</f>
        <v>MCRO_27-CR-21-2803_Order-Evaluation for Competency to Proceed (Rule 20.01)_2021-12-28_20251126184326.pdf.ots</v>
      </c>
      <c r="J293" s="7" t="str">
        <f aca="false">HYPERLINK("https://mncourtfraud.com/file/MCRO_27-CR-21-2803_Order-Evaluation for Competency to Proceed (Rule 20.01)_2021-12-28_20251126184326_META.txt","MCRO_27-CR-21-2803_Order-Evaluation for Competency to Proceed (Rule 20.01)_2021-12-28_20251126184326_META.txt")</f>
        <v>MCRO_27-CR-21-2803_Order-Evaluation for Competency to Proceed (Rule 20.01)_2021-12-28_20251126184326_META.txt</v>
      </c>
      <c r="K293" s="7" t="str">
        <f aca="false">HYPERLINK("https://mncourtfraud.com/file/MCRO_27-CR-21-2803_Order-Evaluation for Competency to Proceed (Rule 20.01)_2021-12-28_20251126184326_PDFSIGS.txt","MCRO_27-CR-21-2803_Order-Evaluation for Competency to Proceed (Rule 20.01)_2021-12-28_20251126184326_PDFSIGS.txt")</f>
        <v>MCRO_27-CR-21-2803_Order-Evaluation for Competency to Proceed (Rule 20.01)_2021-12-28_20251126184326_PDFSIGS.txt</v>
      </c>
      <c r="L293" s="7" t="str">
        <f aca="false">HYPERLINK("https://mncourtfraud.com/file/MCRO_27-CR-21-2803_Order-Evaluation_for_Competency_to_Proceed_(Rule_20.01)_2021-12-28_20251126184326.zip","MCRO_27-CR-21-2803_Order-Evaluation_for_Competency_to_Proceed_(Rule_20.01)_2021-12-28_20251126184326.zip")</f>
        <v>MCRO_27-CR-21-2803_Order-Evaluation_for_Competency_to_Proceed_(Rule_20.01)_2021-12-28_20251126184326.zip</v>
      </c>
    </row>
    <row r="294" customFormat="false" ht="18.7" hidden="false" customHeight="true" outlineLevel="0" collapsed="false">
      <c r="A294" s="1" t="n">
        <v>293</v>
      </c>
      <c r="B294" s="7" t="str">
        <f aca="false">HYPERLINK("https://mncourtfraud.com/file/27-CR-21-2803.pdf","27-CR-21-2803")</f>
        <v>27-CR-21-2803</v>
      </c>
      <c r="C294" s="1" t="n">
        <v>1</v>
      </c>
      <c r="D294" s="2" t="s">
        <v>12</v>
      </c>
      <c r="E294" s="8" t="n">
        <v>44593</v>
      </c>
      <c r="F294" s="2" t="s">
        <v>19</v>
      </c>
      <c r="G294" s="7" t="str">
        <f aca="false">HYPERLINK("https://mncourtfraud.com/file/MCRO_27-CR-21-2803_Findings and Order_2022-02-01_20251126184218.pdf","MCRO_27-CR-21-2803_Findings and Order_2022-02-01_20251126184218.pdf")</f>
        <v>MCRO_27-CR-21-2803_Findings and Order_2022-02-01_20251126184218.pdf</v>
      </c>
      <c r="H294" s="2" t="s">
        <v>315</v>
      </c>
      <c r="I294" s="7" t="str">
        <f aca="false">HYPERLINK("https://mncourtfraud.com/file/MCRO_27-CR-21-2803_Findings and Order_2022-02-01_20251126184218.pdf.ots","MCRO_27-CR-21-2803_Findings and Order_2022-02-01_20251126184218.pdf.ots")</f>
        <v>MCRO_27-CR-21-2803_Findings and Order_2022-02-01_20251126184218.pdf.ots</v>
      </c>
      <c r="J294" s="7" t="str">
        <f aca="false">HYPERLINK("https://mncourtfraud.com/file/MCRO_27-CR-21-2803_Findings and Order_2022-02-01_20251126184218_META.txt","MCRO_27-CR-21-2803_Findings and Order_2022-02-01_20251126184218_META.txt")</f>
        <v>MCRO_27-CR-21-2803_Findings and Order_2022-02-01_20251126184218_META.txt</v>
      </c>
      <c r="K294" s="7" t="str">
        <f aca="false">HYPERLINK("https://mncourtfraud.com/file/MCRO_27-CR-21-2803_Findings and Order_2022-02-01_20251126184218_PDFSIGS.txt","MCRO_27-CR-21-2803_Findings and Order_2022-02-01_20251126184218_PDFSIGS.txt")</f>
        <v>MCRO_27-CR-21-2803_Findings and Order_2022-02-01_20251126184218_PDFSIGS.txt</v>
      </c>
      <c r="L294" s="7" t="str">
        <f aca="false">HYPERLINK("https://mncourtfraud.com/file/MCRO_27-CR-21-2803_Findings_and_Order_2022-02-01_20251126184218.zip","MCRO_27-CR-21-2803_Findings_and_Order_2022-02-01_20251126184218.zip")</f>
        <v>MCRO_27-CR-21-2803_Findings_and_Order_2022-02-01_20251126184218.zip</v>
      </c>
    </row>
    <row r="295" customFormat="false" ht="18.7" hidden="false" customHeight="true" outlineLevel="0" collapsed="false">
      <c r="A295" s="1" t="n">
        <v>294</v>
      </c>
      <c r="B295" s="7" t="str">
        <f aca="false">HYPERLINK("https://mncourtfraud.com/file/27-CR-21-2803.pdf","27-CR-21-2803")</f>
        <v>27-CR-21-2803</v>
      </c>
      <c r="C295" s="1" t="n">
        <v>1</v>
      </c>
      <c r="D295" s="2" t="s">
        <v>12</v>
      </c>
      <c r="E295" s="8" t="n">
        <v>44692</v>
      </c>
      <c r="F295" s="2" t="s">
        <v>15</v>
      </c>
      <c r="G295" s="7" t="str">
        <f aca="false">HYPERLINK("https://mncourtfraud.com/file/MCRO_27-CR-21-2803_Order-Evaluation for Competency to Proceed (Rule 20.01)_2022-05-11_20251126184334.pdf","MCRO_27-CR-21-2803_Order-Evaluation for Competency to Proceed (Rule 20.01)_2022-05-11_20251126184334.pdf")</f>
        <v>MCRO_27-CR-21-2803_Order-Evaluation for Competency to Proceed (Rule 20.01)_2022-05-11_20251126184334.pdf</v>
      </c>
      <c r="H295" s="2" t="s">
        <v>316</v>
      </c>
      <c r="I295" s="7" t="str">
        <f aca="false">HYPERLINK("https://mncourtfraud.com/file/MCRO_27-CR-21-2803_Order-Evaluation for Competency to Proceed (Rule 20.01)_2022-05-11_20251126184334.pdf.ots","MCRO_27-CR-21-2803_Order-Evaluation for Competency to Proceed (Rule 20.01)_2022-05-11_20251126184334.pdf.ots")</f>
        <v>MCRO_27-CR-21-2803_Order-Evaluation for Competency to Proceed (Rule 20.01)_2022-05-11_20251126184334.pdf.ots</v>
      </c>
      <c r="J295" s="7" t="str">
        <f aca="false">HYPERLINK("https://mncourtfraud.com/file/MCRO_27-CR-21-2803_Order-Evaluation for Competency to Proceed (Rule 20.01)_2022-05-11_20251126184334_META.txt","MCRO_27-CR-21-2803_Order-Evaluation for Competency to Proceed (Rule 20.01)_2022-05-11_20251126184334_META.txt")</f>
        <v>MCRO_27-CR-21-2803_Order-Evaluation for Competency to Proceed (Rule 20.01)_2022-05-11_20251126184334_META.txt</v>
      </c>
      <c r="K295" s="7" t="str">
        <f aca="false">HYPERLINK("https://mncourtfraud.com/file/MCRO_27-CR-21-2803_Order-Evaluation for Competency to Proceed (Rule 20.01)_2022-05-11_20251126184334_PDFSIGS.txt","MCRO_27-CR-21-2803_Order-Evaluation for Competency to Proceed (Rule 20.01)_2022-05-11_20251126184334_PDFSIGS.txt")</f>
        <v>MCRO_27-CR-21-2803_Order-Evaluation for Competency to Proceed (Rule 20.01)_2022-05-11_20251126184334_PDFSIGS.txt</v>
      </c>
      <c r="L295" s="7" t="str">
        <f aca="false">HYPERLINK("https://mncourtfraud.com/file/MCRO_27-CR-21-2803_Order-Evaluation_for_Competency_to_Proceed_(Rule_20.01)_2022-05-11_20251126184334.zip","MCRO_27-CR-21-2803_Order-Evaluation_for_Competency_to_Proceed_(Rule_20.01)_2022-05-11_20251126184334.zip")</f>
        <v>MCRO_27-CR-21-2803_Order-Evaluation_for_Competency_to_Proceed_(Rule_20.01)_2022-05-11_20251126184334.zip</v>
      </c>
    </row>
    <row r="296" customFormat="false" ht="18.7" hidden="false" customHeight="true" outlineLevel="0" collapsed="false">
      <c r="A296" s="1" t="n">
        <v>295</v>
      </c>
      <c r="B296" s="7" t="str">
        <f aca="false">HYPERLINK("https://mncourtfraud.com/file/27-CR-21-2803.pdf","27-CR-21-2803")</f>
        <v>27-CR-21-2803</v>
      </c>
      <c r="C296" s="1" t="n">
        <v>1</v>
      </c>
      <c r="D296" s="2" t="s">
        <v>12</v>
      </c>
      <c r="E296" s="8" t="n">
        <v>44895</v>
      </c>
      <c r="F296" s="2" t="s">
        <v>15</v>
      </c>
      <c r="G296" s="7" t="str">
        <f aca="false">HYPERLINK("https://mncourtfraud.com/file/MCRO_27-CR-21-2803_Order-Evaluation for Competency to Proceed (Rule 20.01)_2022-11-30_20251126184340.pdf","MCRO_27-CR-21-2803_Order-Evaluation for Competency to Proceed (Rule 20.01)_2022-11-30_20251126184340.pdf")</f>
        <v>MCRO_27-CR-21-2803_Order-Evaluation for Competency to Proceed (Rule 20.01)_2022-11-30_20251126184340.pdf</v>
      </c>
      <c r="H296" s="2" t="s">
        <v>317</v>
      </c>
      <c r="I296" s="7" t="str">
        <f aca="false">HYPERLINK("https://mncourtfraud.com/file/MCRO_27-CR-21-2803_Order-Evaluation for Competency to Proceed (Rule 20.01)_2022-11-30_20251126184340.pdf.ots","MCRO_27-CR-21-2803_Order-Evaluation for Competency to Proceed (Rule 20.01)_2022-11-30_20251126184340.pdf.ots")</f>
        <v>MCRO_27-CR-21-2803_Order-Evaluation for Competency to Proceed (Rule 20.01)_2022-11-30_20251126184340.pdf.ots</v>
      </c>
      <c r="J296" s="7" t="str">
        <f aca="false">HYPERLINK("https://mncourtfraud.com/file/MCRO_27-CR-21-2803_Order-Evaluation for Competency to Proceed (Rule 20.01)_2022-11-30_20251126184340_META.txt","MCRO_27-CR-21-2803_Order-Evaluation for Competency to Proceed (Rule 20.01)_2022-11-30_20251126184340_META.txt")</f>
        <v>MCRO_27-CR-21-2803_Order-Evaluation for Competency to Proceed (Rule 20.01)_2022-11-30_20251126184340_META.txt</v>
      </c>
      <c r="K296" s="7" t="str">
        <f aca="false">HYPERLINK("https://mncourtfraud.com/file/MCRO_27-CR-21-2803_Order-Evaluation for Competency to Proceed (Rule 20.01)_2022-11-30_20251126184340_PDFSIGS.txt","MCRO_27-CR-21-2803_Order-Evaluation for Competency to Proceed (Rule 20.01)_2022-11-30_20251126184340_PDFSIGS.txt")</f>
        <v>MCRO_27-CR-21-2803_Order-Evaluation for Competency to Proceed (Rule 20.01)_2022-11-30_20251126184340_PDFSIGS.txt</v>
      </c>
      <c r="L296" s="7" t="str">
        <f aca="false">HYPERLINK("https://mncourtfraud.com/file/MCRO_27-CR-21-2803_Order-Evaluation_for_Competency_to_Proceed_(Rule_20.01)_2022-11-30_20251126184340.zip","MCRO_27-CR-21-2803_Order-Evaluation_for_Competency_to_Proceed_(Rule_20.01)_2022-11-30_20251126184340.zip")</f>
        <v>MCRO_27-CR-21-2803_Order-Evaluation_for_Competency_to_Proceed_(Rule_20.01)_2022-11-30_20251126184340.zip</v>
      </c>
    </row>
    <row r="297" customFormat="false" ht="18.7" hidden="false" customHeight="true" outlineLevel="0" collapsed="false">
      <c r="A297" s="1" t="n">
        <v>296</v>
      </c>
      <c r="B297" s="7" t="str">
        <f aca="false">HYPERLINK("https://mncourtfraud.com/file/27-CR-21-4099.pdf","27-CR-21-4099")</f>
        <v>27-CR-21-4099</v>
      </c>
      <c r="C297" s="1" t="n">
        <v>1</v>
      </c>
      <c r="D297" s="2" t="s">
        <v>12</v>
      </c>
      <c r="E297" s="8" t="n">
        <v>44396</v>
      </c>
      <c r="F297" s="2" t="s">
        <v>15</v>
      </c>
      <c r="G297" s="7" t="str">
        <f aca="false">HYPERLINK("https://mncourtfraud.com/file/MCRO_27-CR-21-4099_Order-Evaluation for Competency to Proceed (Rule 20.01)_2021-07-19_20251126184452.pdf","MCRO_27-CR-21-4099_Order-Evaluation for Competency to Proceed (Rule 20.01)_2021-07-19_20251126184452.pdf")</f>
        <v>MCRO_27-CR-21-4099_Order-Evaluation for Competency to Proceed (Rule 20.01)_2021-07-19_20251126184452.pdf</v>
      </c>
      <c r="H297" s="2" t="s">
        <v>318</v>
      </c>
      <c r="I297" s="7" t="str">
        <f aca="false">HYPERLINK("https://mncourtfraud.com/file/MCRO_27-CR-21-4099_Order-Evaluation for Competency to Proceed (Rule 20.01)_2021-07-19_20251126184452.pdf.ots","MCRO_27-CR-21-4099_Order-Evaluation for Competency to Proceed (Rule 20.01)_2021-07-19_20251126184452.pdf.ots")</f>
        <v>MCRO_27-CR-21-4099_Order-Evaluation for Competency to Proceed (Rule 20.01)_2021-07-19_20251126184452.pdf.ots</v>
      </c>
      <c r="J297" s="7" t="str">
        <f aca="false">HYPERLINK("https://mncourtfraud.com/file/MCRO_27-CR-21-4099_Order-Evaluation for Competency to Proceed (Rule 20.01)_2021-07-19_20251126184452_META.txt","MCRO_27-CR-21-4099_Order-Evaluation for Competency to Proceed (Rule 20.01)_2021-07-19_20251126184452_META.txt")</f>
        <v>MCRO_27-CR-21-4099_Order-Evaluation for Competency to Proceed (Rule 20.01)_2021-07-19_20251126184452_META.txt</v>
      </c>
      <c r="K297" s="7" t="str">
        <f aca="false">HYPERLINK("https://mncourtfraud.com/file/MCRO_27-CR-21-4099_Order-Evaluation for Competency to Proceed (Rule 20.01)_2021-07-19_20251126184452_PDFSIGS.txt","MCRO_27-CR-21-4099_Order-Evaluation for Competency to Proceed (Rule 20.01)_2021-07-19_20251126184452_PDFSIGS.txt")</f>
        <v>MCRO_27-CR-21-4099_Order-Evaluation for Competency to Proceed (Rule 20.01)_2021-07-19_20251126184452_PDFSIGS.txt</v>
      </c>
      <c r="L297" s="7" t="str">
        <f aca="false">HYPERLINK("https://mncourtfraud.com/file/MCRO_27-CR-21-4099_Order-Evaluation_for_Competency_to_Proceed_(Rule_20.01)_2021-07-19_20251126184452.zip","MCRO_27-CR-21-4099_Order-Evaluation_for_Competency_to_Proceed_(Rule_20.01)_2021-07-19_20251126184452.zip")</f>
        <v>MCRO_27-CR-21-4099_Order-Evaluation_for_Competency_to_Proceed_(Rule_20.01)_2021-07-19_20251126184452.zip</v>
      </c>
    </row>
    <row r="298" customFormat="false" ht="18.7" hidden="false" customHeight="true" outlineLevel="0" collapsed="false">
      <c r="A298" s="1" t="n">
        <v>297</v>
      </c>
      <c r="B298" s="7" t="str">
        <f aca="false">HYPERLINK("https://mncourtfraud.com/file/27-CR-21-4099.pdf","27-CR-21-4099")</f>
        <v>27-CR-21-4099</v>
      </c>
      <c r="C298" s="1" t="n">
        <v>1</v>
      </c>
      <c r="D298" s="2" t="s">
        <v>12</v>
      </c>
      <c r="E298" s="8" t="n">
        <v>44439</v>
      </c>
      <c r="F298" s="2" t="s">
        <v>134</v>
      </c>
      <c r="G298" s="7" t="str">
        <f aca="false">HYPERLINK("https://mncourtfraud.com/file/MCRO_27-CR-21-4099_Notice of Intent to Prosecute_2021-08-31_20251126184425.pdf","MCRO_27-CR-21-4099_Notice of Intent to Prosecute_2021-08-31_20251126184425.pdf")</f>
        <v>MCRO_27-CR-21-4099_Notice of Intent to Prosecute_2021-08-31_20251126184425.pdf</v>
      </c>
      <c r="H298" s="2" t="s">
        <v>319</v>
      </c>
      <c r="I298" s="7" t="str">
        <f aca="false">HYPERLINK("https://mncourtfraud.com/file/MCRO_27-CR-21-4099_Notice of Intent to Prosecute_2021-08-31_20251126184425.pdf.ots","MCRO_27-CR-21-4099_Notice of Intent to Prosecute_2021-08-31_20251126184425.pdf.ots")</f>
        <v>MCRO_27-CR-21-4099_Notice of Intent to Prosecute_2021-08-31_20251126184425.pdf.ots</v>
      </c>
      <c r="J298" s="7" t="str">
        <f aca="false">HYPERLINK("https://mncourtfraud.com/file/MCRO_27-CR-21-4099_Notice of Intent to Prosecute_2021-08-31_20251126184425_META.txt","MCRO_27-CR-21-4099_Notice of Intent to Prosecute_2021-08-31_20251126184425_META.txt")</f>
        <v>MCRO_27-CR-21-4099_Notice of Intent to Prosecute_2021-08-31_20251126184425_META.txt</v>
      </c>
      <c r="K298" s="7" t="str">
        <f aca="false">HYPERLINK("https://mncourtfraud.com/file/MCRO_27-CR-21-4099_Notice of Intent to Prosecute_2021-08-31_20251126184425_PDFSIGS.txt","MCRO_27-CR-21-4099_Notice of Intent to Prosecute_2021-08-31_20251126184425_PDFSIGS.txt")</f>
        <v>MCRO_27-CR-21-4099_Notice of Intent to Prosecute_2021-08-31_20251126184425_PDFSIGS.txt</v>
      </c>
      <c r="L298" s="7" t="str">
        <f aca="false">HYPERLINK("https://mncourtfraud.com/file/MCRO_27-CR-21-4099_Notice_of_Intent_to_Prosecute_2021-08-31_20251126184425.zip","MCRO_27-CR-21-4099_Notice_of_Intent_to_Prosecute_2021-08-31_20251126184425.zip")</f>
        <v>MCRO_27-CR-21-4099_Notice_of_Intent_to_Prosecute_2021-08-31_20251126184425.zip</v>
      </c>
    </row>
    <row r="299" customFormat="false" ht="18.7" hidden="false" customHeight="true" outlineLevel="0" collapsed="false">
      <c r="A299" s="1" t="n">
        <v>298</v>
      </c>
      <c r="B299" s="7" t="str">
        <f aca="false">HYPERLINK("https://mncourtfraud.com/file/27-CR-21-4099.pdf","27-CR-21-4099")</f>
        <v>27-CR-21-4099</v>
      </c>
      <c r="C299" s="1" t="n">
        <v>1</v>
      </c>
      <c r="D299" s="2" t="s">
        <v>12</v>
      </c>
      <c r="E299" s="8" t="n">
        <v>44439</v>
      </c>
      <c r="F299" s="2" t="s">
        <v>19</v>
      </c>
      <c r="G299" s="7" t="str">
        <f aca="false">HYPERLINK("https://mncourtfraud.com/file/MCRO_27-CR-21-4099_Findings and Order_2021-08-31_20251126184414.pdf","MCRO_27-CR-21-4099_Findings and Order_2021-08-31_20251126184414.pdf")</f>
        <v>MCRO_27-CR-21-4099_Findings and Order_2021-08-31_20251126184414.pdf</v>
      </c>
      <c r="H299" s="2" t="s">
        <v>320</v>
      </c>
      <c r="I299" s="7" t="str">
        <f aca="false">HYPERLINK("https://mncourtfraud.com/file/MCRO_27-CR-21-4099_Findings and Order_2021-08-31_20251126184414.pdf.ots","MCRO_27-CR-21-4099_Findings and Order_2021-08-31_20251126184414.pdf.ots")</f>
        <v>MCRO_27-CR-21-4099_Findings and Order_2021-08-31_20251126184414.pdf.ots</v>
      </c>
      <c r="J299" s="7" t="str">
        <f aca="false">HYPERLINK("https://mncourtfraud.com/file/MCRO_27-CR-21-4099_Findings and Order_2021-08-31_20251126184414_META.txt","MCRO_27-CR-21-4099_Findings and Order_2021-08-31_20251126184414_META.txt")</f>
        <v>MCRO_27-CR-21-4099_Findings and Order_2021-08-31_20251126184414_META.txt</v>
      </c>
      <c r="K299" s="7" t="str">
        <f aca="false">HYPERLINK("https://mncourtfraud.com/file/MCRO_27-CR-21-4099_Findings and Order_2021-08-31_20251126184414_PDFSIGS.txt","MCRO_27-CR-21-4099_Findings and Order_2021-08-31_20251126184414_PDFSIGS.txt")</f>
        <v>MCRO_27-CR-21-4099_Findings and Order_2021-08-31_20251126184414_PDFSIGS.txt</v>
      </c>
      <c r="L299" s="7" t="str">
        <f aca="false">HYPERLINK("https://mncourtfraud.com/file/MCRO_27-CR-21-4099_Findings_and_Order_2021-08-31_20251126184414.zip","MCRO_27-CR-21-4099_Findings_and_Order_2021-08-31_20251126184414.zip")</f>
        <v>MCRO_27-CR-21-4099_Findings_and_Order_2021-08-31_20251126184414.zip</v>
      </c>
    </row>
    <row r="300" customFormat="false" ht="18.7" hidden="false" customHeight="true" outlineLevel="0" collapsed="false">
      <c r="A300" s="1" t="n">
        <v>299</v>
      </c>
      <c r="B300" s="7" t="str">
        <f aca="false">HYPERLINK("https://mncourtfraud.com/file/27-CR-21-4099.pdf","27-CR-21-4099")</f>
        <v>27-CR-21-4099</v>
      </c>
      <c r="C300" s="1" t="n">
        <v>1</v>
      </c>
      <c r="D300" s="2" t="s">
        <v>12</v>
      </c>
      <c r="E300" s="8" t="n">
        <v>44460</v>
      </c>
      <c r="F300" s="2" t="s">
        <v>24</v>
      </c>
      <c r="G300" s="7" t="str">
        <f aca="false">HYPERLINK("https://mncourtfraud.com/file/MCRO_27-CR-21-4099_Order for Conditional Release_2021-09-21_20251126184441.pdf","MCRO_27-CR-21-4099_Order for Conditional Release_2021-09-21_20251126184441.pdf")</f>
        <v>MCRO_27-CR-21-4099_Order for Conditional Release_2021-09-21_20251126184441.pdf</v>
      </c>
      <c r="H300" s="2" t="s">
        <v>321</v>
      </c>
      <c r="I300" s="7" t="str">
        <f aca="false">HYPERLINK("https://mncourtfraud.com/file/MCRO_27-CR-21-4099_Order for Conditional Release_2021-09-21_20251126184441.pdf.ots","MCRO_27-CR-21-4099_Order for Conditional Release_2021-09-21_20251126184441.pdf.ots")</f>
        <v>MCRO_27-CR-21-4099_Order for Conditional Release_2021-09-21_20251126184441.pdf.ots</v>
      </c>
      <c r="J300" s="7" t="str">
        <f aca="false">HYPERLINK("https://mncourtfraud.com/file/MCRO_27-CR-21-4099_Order for Conditional Release_2021-09-21_20251126184441_META.txt","MCRO_27-CR-21-4099_Order for Conditional Release_2021-09-21_20251126184441_META.txt")</f>
        <v>MCRO_27-CR-21-4099_Order for Conditional Release_2021-09-21_20251126184441_META.txt</v>
      </c>
      <c r="K300" s="7" t="str">
        <f aca="false">HYPERLINK("https://mncourtfraud.com/file/MCRO_27-CR-21-4099_Order for Conditional Release_2021-09-21_20251126184441_PDFSIGS.txt","MCRO_27-CR-21-4099_Order for Conditional Release_2021-09-21_20251126184441_PDFSIGS.txt")</f>
        <v>MCRO_27-CR-21-4099_Order for Conditional Release_2021-09-21_20251126184441_PDFSIGS.txt</v>
      </c>
      <c r="L300" s="7" t="str">
        <f aca="false">HYPERLINK("https://mncourtfraud.com/file/MCRO_27-CR-21-4099_Order_for_Conditional_Release_2021-09-21_20251126184441.zip","MCRO_27-CR-21-4099_Order_for_Conditional_Release_2021-09-21_20251126184441.zip")</f>
        <v>MCRO_27-CR-21-4099_Order_for_Conditional_Release_2021-09-21_20251126184441.zip</v>
      </c>
    </row>
    <row r="301" customFormat="false" ht="18.7" hidden="false" customHeight="true" outlineLevel="0" collapsed="false">
      <c r="A301" s="1" t="n">
        <v>300</v>
      </c>
      <c r="B301" s="7" t="str">
        <f aca="false">HYPERLINK("https://mncourtfraud.com/file/27-CR-21-4099.pdf","27-CR-21-4099")</f>
        <v>27-CR-21-4099</v>
      </c>
      <c r="C301" s="1" t="n">
        <v>1</v>
      </c>
      <c r="D301" s="2" t="s">
        <v>12</v>
      </c>
      <c r="E301" s="8" t="n">
        <v>44468</v>
      </c>
      <c r="F301" s="2" t="s">
        <v>24</v>
      </c>
      <c r="G301" s="7" t="str">
        <f aca="false">HYPERLINK("https://mncourtfraud.com/file/MCRO_27-CR-21-4099_Order for Conditional Release_2021-09-29_20251126184435.pdf","MCRO_27-CR-21-4099_Order for Conditional Release_2021-09-29_20251126184435.pdf")</f>
        <v>MCRO_27-CR-21-4099_Order for Conditional Release_2021-09-29_20251126184435.pdf</v>
      </c>
      <c r="H301" s="2" t="s">
        <v>322</v>
      </c>
      <c r="I301" s="7" t="str">
        <f aca="false">HYPERLINK("https://mncourtfraud.com/file/MCRO_27-CR-21-4099_Order for Conditional Release_2021-09-29_20251126184435.pdf.ots","MCRO_27-CR-21-4099_Order for Conditional Release_2021-09-29_20251126184435.pdf.ots")</f>
        <v>MCRO_27-CR-21-4099_Order for Conditional Release_2021-09-29_20251126184435.pdf.ots</v>
      </c>
      <c r="J301" s="7" t="str">
        <f aca="false">HYPERLINK("https://mncourtfraud.com/file/MCRO_27-CR-21-4099_Order for Conditional Release_2021-09-29_20251126184435_META.txt","MCRO_27-CR-21-4099_Order for Conditional Release_2021-09-29_20251126184435_META.txt")</f>
        <v>MCRO_27-CR-21-4099_Order for Conditional Release_2021-09-29_20251126184435_META.txt</v>
      </c>
      <c r="K301" s="7" t="str">
        <f aca="false">HYPERLINK("https://mncourtfraud.com/file/MCRO_27-CR-21-4099_Order for Conditional Release_2021-09-29_20251126184435_PDFSIGS.txt","MCRO_27-CR-21-4099_Order for Conditional Release_2021-09-29_20251126184435_PDFSIGS.txt")</f>
        <v>MCRO_27-CR-21-4099_Order for Conditional Release_2021-09-29_20251126184435_PDFSIGS.txt</v>
      </c>
      <c r="L301" s="7" t="str">
        <f aca="false">HYPERLINK("https://mncourtfraud.com/file/MCRO_27-CR-21-4099_Order_for_Conditional_Release_2021-09-29_20251126184435.zip","MCRO_27-CR-21-4099_Order_for_Conditional_Release_2021-09-29_20251126184435.zip")</f>
        <v>MCRO_27-CR-21-4099_Order_for_Conditional_Release_2021-09-29_20251126184435.zip</v>
      </c>
    </row>
    <row r="302" customFormat="false" ht="18.7" hidden="false" customHeight="true" outlineLevel="0" collapsed="false">
      <c r="A302" s="1" t="n">
        <v>301</v>
      </c>
      <c r="B302" s="7" t="str">
        <f aca="false">HYPERLINK("https://mncourtfraud.com/file/27-CR-21-4099.pdf","27-CR-21-4099")</f>
        <v>27-CR-21-4099</v>
      </c>
      <c r="C302" s="1" t="n">
        <v>1</v>
      </c>
      <c r="D302" s="2" t="s">
        <v>12</v>
      </c>
      <c r="E302" s="8" t="n">
        <v>44543</v>
      </c>
      <c r="F302" s="2" t="s">
        <v>15</v>
      </c>
      <c r="G302" s="7" t="str">
        <f aca="false">HYPERLINK("https://mncourtfraud.com/file/MCRO_27-CR-21-4099_Order-Evaluation for Competency to Proceed (Rule 20.01)_2021-12-13_20251126184501.pdf","MCRO_27-CR-21-4099_Order-Evaluation for Competency to Proceed (Rule 20.01)_2021-12-13_20251126184501.pdf")</f>
        <v>MCRO_27-CR-21-4099_Order-Evaluation for Competency to Proceed (Rule 20.01)_2021-12-13_20251126184501.pdf</v>
      </c>
      <c r="H302" s="2" t="s">
        <v>323</v>
      </c>
      <c r="I302" s="7" t="str">
        <f aca="false">HYPERLINK("https://mncourtfraud.com/file/MCRO_27-CR-21-4099_Order-Evaluation for Competency to Proceed (Rule 20.01)_2021-12-13_20251126184501.pdf.ots","MCRO_27-CR-21-4099_Order-Evaluation for Competency to Proceed (Rule 20.01)_2021-12-13_20251126184501.pdf.ots")</f>
        <v>MCRO_27-CR-21-4099_Order-Evaluation for Competency to Proceed (Rule 20.01)_2021-12-13_20251126184501.pdf.ots</v>
      </c>
      <c r="J302" s="7" t="str">
        <f aca="false">HYPERLINK("https://mncourtfraud.com/file/MCRO_27-CR-21-4099_Order-Evaluation for Competency to Proceed (Rule 20.01)_2021-12-13_20251126184501_META.txt","MCRO_27-CR-21-4099_Order-Evaluation for Competency to Proceed (Rule 20.01)_2021-12-13_20251126184501_META.txt")</f>
        <v>MCRO_27-CR-21-4099_Order-Evaluation for Competency to Proceed (Rule 20.01)_2021-12-13_20251126184501_META.txt</v>
      </c>
      <c r="K302" s="7" t="str">
        <f aca="false">HYPERLINK("https://mncourtfraud.com/file/MCRO_27-CR-21-4099_Order-Evaluation for Competency to Proceed (Rule 20.01)_2021-12-13_20251126184501_PDFSIGS.txt","MCRO_27-CR-21-4099_Order-Evaluation for Competency to Proceed (Rule 20.01)_2021-12-13_20251126184501_PDFSIGS.txt")</f>
        <v>MCRO_27-CR-21-4099_Order-Evaluation for Competency to Proceed (Rule 20.01)_2021-12-13_20251126184501_PDFSIGS.txt</v>
      </c>
      <c r="L302" s="7" t="str">
        <f aca="false">HYPERLINK("https://mncourtfraud.com/file/MCRO_27-CR-21-4099_Order-Evaluation_for_Competency_to_Proceed_(Rule_20.01)_2021-12-13_20251126184501.zip","MCRO_27-CR-21-4099_Order-Evaluation_for_Competency_to_Proceed_(Rule_20.01)_2021-12-13_20251126184501.zip")</f>
        <v>MCRO_27-CR-21-4099_Order-Evaluation_for_Competency_to_Proceed_(Rule_20.01)_2021-12-13_20251126184501.zip</v>
      </c>
    </row>
    <row r="303" customFormat="false" ht="18.7" hidden="false" customHeight="true" outlineLevel="0" collapsed="false">
      <c r="A303" s="1" t="n">
        <v>302</v>
      </c>
      <c r="B303" s="7" t="str">
        <f aca="false">HYPERLINK("https://mncourtfraud.com/file/27-CR-21-4099.pdf","27-CR-21-4099")</f>
        <v>27-CR-21-4099</v>
      </c>
      <c r="C303" s="1" t="n">
        <v>1</v>
      </c>
      <c r="D303" s="2" t="s">
        <v>12</v>
      </c>
      <c r="E303" s="8" t="n">
        <v>44558</v>
      </c>
      <c r="F303" s="2" t="s">
        <v>15</v>
      </c>
      <c r="G303" s="7" t="str">
        <f aca="false">HYPERLINK("https://mncourtfraud.com/file/MCRO_27-CR-21-4099_Order-Evaluation for Competency to Proceed (Rule 20.01)_2021-12-28_20251126184509.pdf","MCRO_27-CR-21-4099_Order-Evaluation for Competency to Proceed (Rule 20.01)_2021-12-28_20251126184509.pdf")</f>
        <v>MCRO_27-CR-21-4099_Order-Evaluation for Competency to Proceed (Rule 20.01)_2021-12-28_20251126184509.pdf</v>
      </c>
      <c r="H303" s="2" t="s">
        <v>324</v>
      </c>
      <c r="I303" s="7" t="str">
        <f aca="false">HYPERLINK("https://mncourtfraud.com/file/MCRO_27-CR-21-4099_Order-Evaluation for Competency to Proceed (Rule 20.01)_2021-12-28_20251126184509.pdf.ots","MCRO_27-CR-21-4099_Order-Evaluation for Competency to Proceed (Rule 20.01)_2021-12-28_20251126184509.pdf.ots")</f>
        <v>MCRO_27-CR-21-4099_Order-Evaluation for Competency to Proceed (Rule 20.01)_2021-12-28_20251126184509.pdf.ots</v>
      </c>
      <c r="J303" s="7" t="str">
        <f aca="false">HYPERLINK("https://mncourtfraud.com/file/MCRO_27-CR-21-4099_Order-Evaluation for Competency to Proceed (Rule 20.01)_2021-12-28_20251126184509_META.txt","MCRO_27-CR-21-4099_Order-Evaluation for Competency to Proceed (Rule 20.01)_2021-12-28_20251126184509_META.txt")</f>
        <v>MCRO_27-CR-21-4099_Order-Evaluation for Competency to Proceed (Rule 20.01)_2021-12-28_20251126184509_META.txt</v>
      </c>
      <c r="K303" s="7" t="str">
        <f aca="false">HYPERLINK("https://mncourtfraud.com/file/MCRO_27-CR-21-4099_Order-Evaluation for Competency to Proceed (Rule 20.01)_2021-12-28_20251126184509_PDFSIGS.txt","MCRO_27-CR-21-4099_Order-Evaluation for Competency to Proceed (Rule 20.01)_2021-12-28_20251126184509_PDFSIGS.txt")</f>
        <v>MCRO_27-CR-21-4099_Order-Evaluation for Competency to Proceed (Rule 20.01)_2021-12-28_20251126184509_PDFSIGS.txt</v>
      </c>
      <c r="L303" s="7" t="str">
        <f aca="false">HYPERLINK("https://mncourtfraud.com/file/MCRO_27-CR-21-4099_Order-Evaluation_for_Competency_to_Proceed_(Rule_20.01)_2021-12-28_20251126184509.zip","MCRO_27-CR-21-4099_Order-Evaluation_for_Competency_to_Proceed_(Rule_20.01)_2021-12-28_20251126184509.zip")</f>
        <v>MCRO_27-CR-21-4099_Order-Evaluation_for_Competency_to_Proceed_(Rule_20.01)_2021-12-28_20251126184509.zip</v>
      </c>
    </row>
    <row r="304" customFormat="false" ht="18.7" hidden="false" customHeight="true" outlineLevel="0" collapsed="false">
      <c r="A304" s="1" t="n">
        <v>303</v>
      </c>
      <c r="B304" s="7" t="str">
        <f aca="false">HYPERLINK("https://mncourtfraud.com/file/27-CR-21-4099.pdf","27-CR-21-4099")</f>
        <v>27-CR-21-4099</v>
      </c>
      <c r="C304" s="1" t="n">
        <v>1</v>
      </c>
      <c r="D304" s="2" t="s">
        <v>12</v>
      </c>
      <c r="E304" s="8" t="n">
        <v>44593</v>
      </c>
      <c r="F304" s="2" t="s">
        <v>19</v>
      </c>
      <c r="G304" s="7" t="str">
        <f aca="false">HYPERLINK("https://mncourtfraud.com/file/MCRO_27-CR-21-4099_Findings and Order_2022-02-01_20251126184406.pdf","MCRO_27-CR-21-4099_Findings and Order_2022-02-01_20251126184406.pdf")</f>
        <v>MCRO_27-CR-21-4099_Findings and Order_2022-02-01_20251126184406.pdf</v>
      </c>
      <c r="H304" s="2" t="s">
        <v>325</v>
      </c>
      <c r="I304" s="7" t="str">
        <f aca="false">HYPERLINK("https://mncourtfraud.com/file/MCRO_27-CR-21-4099_Findings and Order_2022-02-01_20251126184406.pdf.ots","MCRO_27-CR-21-4099_Findings and Order_2022-02-01_20251126184406.pdf.ots")</f>
        <v>MCRO_27-CR-21-4099_Findings and Order_2022-02-01_20251126184406.pdf.ots</v>
      </c>
      <c r="J304" s="7" t="str">
        <f aca="false">HYPERLINK("https://mncourtfraud.com/file/MCRO_27-CR-21-4099_Findings and Order_2022-02-01_20251126184406_META.txt","MCRO_27-CR-21-4099_Findings and Order_2022-02-01_20251126184406_META.txt")</f>
        <v>MCRO_27-CR-21-4099_Findings and Order_2022-02-01_20251126184406_META.txt</v>
      </c>
      <c r="K304" s="7" t="str">
        <f aca="false">HYPERLINK("https://mncourtfraud.com/file/MCRO_27-CR-21-4099_Findings and Order_2022-02-01_20251126184406_PDFSIGS.txt","MCRO_27-CR-21-4099_Findings and Order_2022-02-01_20251126184406_PDFSIGS.txt")</f>
        <v>MCRO_27-CR-21-4099_Findings and Order_2022-02-01_20251126184406_PDFSIGS.txt</v>
      </c>
      <c r="L304" s="7" t="str">
        <f aca="false">HYPERLINK("https://mncourtfraud.com/file/MCRO_27-CR-21-4099_Findings_and_Order_2022-02-01_20251126184406.zip","MCRO_27-CR-21-4099_Findings_and_Order_2022-02-01_20251126184406.zip")</f>
        <v>MCRO_27-CR-21-4099_Findings_and_Order_2022-02-01_20251126184406.zip</v>
      </c>
    </row>
    <row r="305" customFormat="false" ht="18.7" hidden="false" customHeight="true" outlineLevel="0" collapsed="false">
      <c r="A305" s="1" t="n">
        <v>304</v>
      </c>
      <c r="B305" s="7" t="str">
        <f aca="false">HYPERLINK("https://mncourtfraud.com/file/27-CR-21-4099.pdf","27-CR-21-4099")</f>
        <v>27-CR-21-4099</v>
      </c>
      <c r="C305" s="1" t="n">
        <v>1</v>
      </c>
      <c r="D305" s="2" t="s">
        <v>12</v>
      </c>
      <c r="E305" s="8" t="n">
        <v>44692</v>
      </c>
      <c r="F305" s="2" t="s">
        <v>15</v>
      </c>
      <c r="G305" s="7" t="str">
        <f aca="false">HYPERLINK("https://mncourtfraud.com/file/MCRO_27-CR-21-4099_Order-Evaluation for Competency to Proceed (Rule 20.01)_2022-05-11_20251126184519.pdf","MCRO_27-CR-21-4099_Order-Evaluation for Competency to Proceed (Rule 20.01)_2022-05-11_20251126184519.pdf")</f>
        <v>MCRO_27-CR-21-4099_Order-Evaluation for Competency to Proceed (Rule 20.01)_2022-05-11_20251126184519.pdf</v>
      </c>
      <c r="H305" s="2" t="s">
        <v>326</v>
      </c>
      <c r="I305" s="7" t="str">
        <f aca="false">HYPERLINK("https://mncourtfraud.com/file/MCRO_27-CR-21-4099_Order-Evaluation for Competency to Proceed (Rule 20.01)_2022-05-11_20251126184519.pdf.ots","MCRO_27-CR-21-4099_Order-Evaluation for Competency to Proceed (Rule 20.01)_2022-05-11_20251126184519.pdf.ots")</f>
        <v>MCRO_27-CR-21-4099_Order-Evaluation for Competency to Proceed (Rule 20.01)_2022-05-11_20251126184519.pdf.ots</v>
      </c>
      <c r="J305" s="7" t="str">
        <f aca="false">HYPERLINK("https://mncourtfraud.com/file/MCRO_27-CR-21-4099_Order-Evaluation for Competency to Proceed (Rule 20.01)_2022-05-11_20251126184519_META.txt","MCRO_27-CR-21-4099_Order-Evaluation for Competency to Proceed (Rule 20.01)_2022-05-11_20251126184519_META.txt")</f>
        <v>MCRO_27-CR-21-4099_Order-Evaluation for Competency to Proceed (Rule 20.01)_2022-05-11_20251126184519_META.txt</v>
      </c>
      <c r="K305" s="7" t="str">
        <f aca="false">HYPERLINK("https://mncourtfraud.com/file/MCRO_27-CR-21-4099_Order-Evaluation for Competency to Proceed (Rule 20.01)_2022-05-11_20251126184519_PDFSIGS.txt","MCRO_27-CR-21-4099_Order-Evaluation for Competency to Proceed (Rule 20.01)_2022-05-11_20251126184519_PDFSIGS.txt")</f>
        <v>MCRO_27-CR-21-4099_Order-Evaluation for Competency to Proceed (Rule 20.01)_2022-05-11_20251126184519_PDFSIGS.txt</v>
      </c>
      <c r="L305" s="7" t="str">
        <f aca="false">HYPERLINK("https://mncourtfraud.com/file/MCRO_27-CR-21-4099_Order-Evaluation_for_Competency_to_Proceed_(Rule_20.01)_2022-05-11_20251126184519.zip","MCRO_27-CR-21-4099_Order-Evaluation_for_Competency_to_Proceed_(Rule_20.01)_2022-05-11_20251126184519.zip")</f>
        <v>MCRO_27-CR-21-4099_Order-Evaluation_for_Competency_to_Proceed_(Rule_20.01)_2022-05-11_20251126184519.zip</v>
      </c>
    </row>
    <row r="306" customFormat="false" ht="18.7" hidden="false" customHeight="true" outlineLevel="0" collapsed="false">
      <c r="A306" s="1" t="n">
        <v>305</v>
      </c>
      <c r="B306" s="7" t="str">
        <f aca="false">HYPERLINK("https://mncourtfraud.com/file/27-CR-21-4099.pdf","27-CR-21-4099")</f>
        <v>27-CR-21-4099</v>
      </c>
      <c r="C306" s="1" t="n">
        <v>1</v>
      </c>
      <c r="D306" s="2" t="s">
        <v>12</v>
      </c>
      <c r="E306" s="8" t="n">
        <v>44895</v>
      </c>
      <c r="F306" s="2" t="s">
        <v>15</v>
      </c>
      <c r="G306" s="7" t="str">
        <f aca="false">HYPERLINK("https://mncourtfraud.com/file/MCRO_27-CR-21-4099_Order-Evaluation for Competency to Proceed (Rule 20.01)_2022-11-30_20251126184526.pdf","MCRO_27-CR-21-4099_Order-Evaluation for Competency to Proceed (Rule 20.01)_2022-11-30_20251126184526.pdf")</f>
        <v>MCRO_27-CR-21-4099_Order-Evaluation for Competency to Proceed (Rule 20.01)_2022-11-30_20251126184526.pdf</v>
      </c>
      <c r="H306" s="2" t="s">
        <v>327</v>
      </c>
      <c r="I306" s="7" t="str">
        <f aca="false">HYPERLINK("https://mncourtfraud.com/file/MCRO_27-CR-21-4099_Order-Evaluation for Competency to Proceed (Rule 20.01)_2022-11-30_20251126184526.pdf.ots","MCRO_27-CR-21-4099_Order-Evaluation for Competency to Proceed (Rule 20.01)_2022-11-30_20251126184526.pdf.ots")</f>
        <v>MCRO_27-CR-21-4099_Order-Evaluation for Competency to Proceed (Rule 20.01)_2022-11-30_20251126184526.pdf.ots</v>
      </c>
      <c r="J306" s="7" t="str">
        <f aca="false">HYPERLINK("https://mncourtfraud.com/file/MCRO_27-CR-21-4099_Order-Evaluation for Competency to Proceed (Rule 20.01)_2022-11-30_20251126184526_META.txt","MCRO_27-CR-21-4099_Order-Evaluation for Competency to Proceed (Rule 20.01)_2022-11-30_20251126184526_META.txt")</f>
        <v>MCRO_27-CR-21-4099_Order-Evaluation for Competency to Proceed (Rule 20.01)_2022-11-30_20251126184526_META.txt</v>
      </c>
      <c r="K306" s="7" t="str">
        <f aca="false">HYPERLINK("https://mncourtfraud.com/file/MCRO_27-CR-21-4099_Order-Evaluation for Competency to Proceed (Rule 20.01)_2022-11-30_20251126184526_PDFSIGS.txt","MCRO_27-CR-21-4099_Order-Evaluation for Competency to Proceed (Rule 20.01)_2022-11-30_20251126184526_PDFSIGS.txt")</f>
        <v>MCRO_27-CR-21-4099_Order-Evaluation for Competency to Proceed (Rule 20.01)_2022-11-30_20251126184526_PDFSIGS.txt</v>
      </c>
      <c r="L306" s="7" t="str">
        <f aca="false">HYPERLINK("https://mncourtfraud.com/file/MCRO_27-CR-21-4099_Order-Evaluation_for_Competency_to_Proceed_(Rule_20.01)_2022-11-30_20251126184526.zip","MCRO_27-CR-21-4099_Order-Evaluation_for_Competency_to_Proceed_(Rule_20.01)_2022-11-30_20251126184526.zip")</f>
        <v>MCRO_27-CR-21-4099_Order-Evaluation_for_Competency_to_Proceed_(Rule_20.01)_2022-11-30_20251126184526.zip</v>
      </c>
    </row>
    <row r="307" customFormat="false" ht="18.7" hidden="false" customHeight="true" outlineLevel="0" collapsed="false">
      <c r="A307" s="1" t="n">
        <v>306</v>
      </c>
      <c r="B307" s="7" t="str">
        <f aca="false">HYPERLINK("https://mncourtfraud.com/file/27-CR-21-5179.pdf","27-CR-21-5179")</f>
        <v>27-CR-21-5179</v>
      </c>
      <c r="C307" s="1" t="n">
        <v>5</v>
      </c>
      <c r="D307" s="2" t="s">
        <v>267</v>
      </c>
      <c r="E307" s="8" t="n">
        <v>44733</v>
      </c>
      <c r="F307" s="2" t="s">
        <v>17</v>
      </c>
      <c r="G307" s="7" t="str">
        <f aca="false">HYPERLINK("https://mncourtfraud.com/file/MCRO_27-CR-21-5179_Returned Mail_2022-06-21_20251126165510.pdf","MCRO_27-CR-21-5179_Returned Mail_2022-06-21_20251126165510.pdf")</f>
        <v>MCRO_27-CR-21-5179_Returned Mail_2022-06-21_20251126165510.pdf</v>
      </c>
      <c r="H307" s="2" t="s">
        <v>328</v>
      </c>
      <c r="I307" s="7" t="str">
        <f aca="false">HYPERLINK("https://mncourtfraud.com/file/MCRO_27-CR-21-5179_Returned Mail_2022-06-21_20251126165510.pdf.ots","MCRO_27-CR-21-5179_Returned Mail_2022-06-21_20251126165510.pdf.ots")</f>
        <v>MCRO_27-CR-21-5179_Returned Mail_2022-06-21_20251126165510.pdf.ots</v>
      </c>
      <c r="J307" s="7" t="str">
        <f aca="false">HYPERLINK("https://mncourtfraud.com/file/MCRO_27-CR-21-5179_Returned Mail_2022-06-21_20251126165510_META.txt","MCRO_27-CR-21-5179_Returned Mail_2022-06-21_20251126165510_META.txt")</f>
        <v>MCRO_27-CR-21-5179_Returned Mail_2022-06-21_20251126165510_META.txt</v>
      </c>
      <c r="K307" s="7" t="str">
        <f aca="false">HYPERLINK("https://mncourtfraud.com/file/MCRO_27-CR-21-5179_Returned Mail_2022-06-21_20251126165510_PDFSIGS.txt","MCRO_27-CR-21-5179_Returned Mail_2022-06-21_20251126165510_PDFSIGS.txt")</f>
        <v>MCRO_27-CR-21-5179_Returned Mail_2022-06-21_20251126165510_PDFSIGS.txt</v>
      </c>
      <c r="L307" s="7" t="str">
        <f aca="false">HYPERLINK("https://mncourtfraud.com/file/MCRO_27-CR-21-5179_Returned_Mail_2022-06-21_20251126165510.zip","MCRO_27-CR-21-5179_Returned_Mail_2022-06-21_20251126165510.zip")</f>
        <v>MCRO_27-CR-21-5179_Returned_Mail_2022-06-21_20251126165510.zip</v>
      </c>
    </row>
    <row r="308" customFormat="false" ht="18.7" hidden="false" customHeight="true" outlineLevel="0" collapsed="false">
      <c r="A308" s="1" t="n">
        <v>307</v>
      </c>
      <c r="B308" s="7" t="str">
        <f aca="false">HYPERLINK("https://mncourtfraud.com/file/27-CR-21-5179.pdf","27-CR-21-5179")</f>
        <v>27-CR-21-5179</v>
      </c>
      <c r="C308" s="1" t="n">
        <v>5</v>
      </c>
      <c r="D308" s="2" t="s">
        <v>267</v>
      </c>
      <c r="E308" s="8" t="n">
        <v>44837</v>
      </c>
      <c r="F308" s="2" t="s">
        <v>17</v>
      </c>
      <c r="G308" s="7" t="str">
        <f aca="false">HYPERLINK("https://mncourtfraud.com/file/MCRO_27-CR-21-5179_Returned Mail_2022-10-03_20251126165520.pdf","MCRO_27-CR-21-5179_Returned Mail_2022-10-03_20251126165520.pdf")</f>
        <v>MCRO_27-CR-21-5179_Returned Mail_2022-10-03_20251126165520.pdf</v>
      </c>
      <c r="H308" s="2" t="s">
        <v>329</v>
      </c>
      <c r="I308" s="7" t="str">
        <f aca="false">HYPERLINK("https://mncourtfraud.com/file/MCRO_27-CR-21-5179_Returned Mail_2022-10-03_20251126165520.pdf.ots","MCRO_27-CR-21-5179_Returned Mail_2022-10-03_20251126165520.pdf.ots")</f>
        <v>MCRO_27-CR-21-5179_Returned Mail_2022-10-03_20251126165520.pdf.ots</v>
      </c>
      <c r="J308" s="7" t="str">
        <f aca="false">HYPERLINK("https://mncourtfraud.com/file/MCRO_27-CR-21-5179_Returned Mail_2022-10-03_20251126165520_META.txt","MCRO_27-CR-21-5179_Returned Mail_2022-10-03_20251126165520_META.txt")</f>
        <v>MCRO_27-CR-21-5179_Returned Mail_2022-10-03_20251126165520_META.txt</v>
      </c>
      <c r="K308" s="7" t="str">
        <f aca="false">HYPERLINK("https://mncourtfraud.com/file/MCRO_27-CR-21-5179_Returned Mail_2022-10-03_20251126165520_PDFSIGS.txt","MCRO_27-CR-21-5179_Returned Mail_2022-10-03_20251126165520_PDFSIGS.txt")</f>
        <v>MCRO_27-CR-21-5179_Returned Mail_2022-10-03_20251126165520_PDFSIGS.txt</v>
      </c>
      <c r="L308" s="7" t="str">
        <f aca="false">HYPERLINK("https://mncourtfraud.com/file/MCRO_27-CR-21-5179_Returned_Mail_2022-10-03_20251126165520.zip","MCRO_27-CR-21-5179_Returned_Mail_2022-10-03_20251126165520.zip")</f>
        <v>MCRO_27-CR-21-5179_Returned_Mail_2022-10-03_20251126165520.zip</v>
      </c>
    </row>
    <row r="309" customFormat="false" ht="18.7" hidden="false" customHeight="true" outlineLevel="0" collapsed="false">
      <c r="A309" s="1" t="n">
        <v>308</v>
      </c>
      <c r="B309" s="7" t="str">
        <f aca="false">HYPERLINK("https://mncourtfraud.com/file/27-CR-21-5179.pdf","27-CR-21-5179")</f>
        <v>27-CR-21-5179</v>
      </c>
      <c r="C309" s="1" t="n">
        <v>5</v>
      </c>
      <c r="D309" s="2" t="s">
        <v>267</v>
      </c>
      <c r="E309" s="8" t="n">
        <v>44873</v>
      </c>
      <c r="F309" s="2" t="s">
        <v>15</v>
      </c>
      <c r="G309" s="7" t="str">
        <f aca="false">HYPERLINK("https://mncourtfraud.com/file/MCRO_27-CR-21-5179_Order-Evaluation for Competency to Proceed (Rule 20.01)_2022-11-08_20251126165604.pdf","MCRO_27-CR-21-5179_Order-Evaluation for Competency to Proceed (Rule 20.01)_2022-11-08_20251126165604.pdf")</f>
        <v>MCRO_27-CR-21-5179_Order-Evaluation for Competency to Proceed (Rule 20.01)_2022-11-08_20251126165604.pdf</v>
      </c>
      <c r="H309" s="2" t="s">
        <v>330</v>
      </c>
      <c r="I309" s="7" t="str">
        <f aca="false">HYPERLINK("https://mncourtfraud.com/file/MCRO_27-CR-21-5179_Order-Evaluation for Competency to Proceed (Rule 20.01)_2022-11-08_20251126165604.pdf.ots","MCRO_27-CR-21-5179_Order-Evaluation for Competency to Proceed (Rule 20.01)_2022-11-08_20251126165604.pdf.ots")</f>
        <v>MCRO_27-CR-21-5179_Order-Evaluation for Competency to Proceed (Rule 20.01)_2022-11-08_20251126165604.pdf.ots</v>
      </c>
      <c r="J309" s="7" t="str">
        <f aca="false">HYPERLINK("https://mncourtfraud.com/file/MCRO_27-CR-21-5179_Order-Evaluation for Competency to Proceed (Rule 20.01)_2022-11-08_20251126165604_META.txt","MCRO_27-CR-21-5179_Order-Evaluation for Competency to Proceed (Rule 20.01)_2022-11-08_20251126165604_META.txt")</f>
        <v>MCRO_27-CR-21-5179_Order-Evaluation for Competency to Proceed (Rule 20.01)_2022-11-08_20251126165604_META.txt</v>
      </c>
      <c r="K309" s="7" t="str">
        <f aca="false">HYPERLINK("https://mncourtfraud.com/file/MCRO_27-CR-21-5179_Order-Evaluation for Competency to Proceed (Rule 20.01)_2022-11-08_20251126165604_PDFSIGS.txt","MCRO_27-CR-21-5179_Order-Evaluation for Competency to Proceed (Rule 20.01)_2022-11-08_20251126165604_PDFSIGS.txt")</f>
        <v>MCRO_27-CR-21-5179_Order-Evaluation for Competency to Proceed (Rule 20.01)_2022-11-08_20251126165604_PDFSIGS.txt</v>
      </c>
      <c r="L309" s="7" t="str">
        <f aca="false">HYPERLINK("https://mncourtfraud.com/file/MCRO_27-CR-21-5179_Order-Evaluation_for_Competency_to_Proceed_(Rule_20.01)_2022-11-08_20251126165604.zip","MCRO_27-CR-21-5179_Order-Evaluation_for_Competency_to_Proceed_(Rule_20.01)_2022-11-08_20251126165604.zip")</f>
        <v>MCRO_27-CR-21-5179_Order-Evaluation_for_Competency_to_Proceed_(Rule_20.01)_2022-11-08_20251126165604.zip</v>
      </c>
    </row>
    <row r="310" customFormat="false" ht="18.7" hidden="false" customHeight="true" outlineLevel="0" collapsed="false">
      <c r="A310" s="1" t="n">
        <v>309</v>
      </c>
      <c r="B310" s="7" t="str">
        <f aca="false">HYPERLINK("https://mncourtfraud.com/file/27-CR-21-5179.pdf","27-CR-21-5179")</f>
        <v>27-CR-21-5179</v>
      </c>
      <c r="C310" s="1" t="n">
        <v>5</v>
      </c>
      <c r="D310" s="2" t="s">
        <v>267</v>
      </c>
      <c r="E310" s="8" t="n">
        <v>45023</v>
      </c>
      <c r="F310" s="2" t="s">
        <v>15</v>
      </c>
      <c r="G310" s="7" t="str">
        <f aca="false">HYPERLINK("https://mncourtfraud.com/file/MCRO_27-CR-21-5179_Order-Evaluation for Competency to Proceed (Rule 20.01)_2023-04-07_20251126165613.pdf","MCRO_27-CR-21-5179_Order-Evaluation for Competency to Proceed (Rule 20.01)_2023-04-07_20251126165613.pdf")</f>
        <v>MCRO_27-CR-21-5179_Order-Evaluation for Competency to Proceed (Rule 20.01)_2023-04-07_20251126165613.pdf</v>
      </c>
      <c r="H310" s="2" t="s">
        <v>331</v>
      </c>
      <c r="I310" s="7" t="str">
        <f aca="false">HYPERLINK("https://mncourtfraud.com/file/MCRO_27-CR-21-5179_Order-Evaluation for Competency to Proceed (Rule 20.01)_2023-04-07_20251126165613.pdf.ots","MCRO_27-CR-21-5179_Order-Evaluation for Competency to Proceed (Rule 20.01)_2023-04-07_20251126165613.pdf.ots")</f>
        <v>MCRO_27-CR-21-5179_Order-Evaluation for Competency to Proceed (Rule 20.01)_2023-04-07_20251126165613.pdf.ots</v>
      </c>
      <c r="J310" s="7" t="str">
        <f aca="false">HYPERLINK("https://mncourtfraud.com/file/MCRO_27-CR-21-5179_Order-Evaluation for Competency to Proceed (Rule 20.01)_2023-04-07_20251126165613_META.txt","MCRO_27-CR-21-5179_Order-Evaluation for Competency to Proceed (Rule 20.01)_2023-04-07_20251126165613_META.txt")</f>
        <v>MCRO_27-CR-21-5179_Order-Evaluation for Competency to Proceed (Rule 20.01)_2023-04-07_20251126165613_META.txt</v>
      </c>
      <c r="K310" s="7" t="str">
        <f aca="false">HYPERLINK("https://mncourtfraud.com/file/MCRO_27-CR-21-5179_Order-Evaluation for Competency to Proceed (Rule 20.01)_2023-04-07_20251126165613_PDFSIGS.txt","MCRO_27-CR-21-5179_Order-Evaluation for Competency to Proceed (Rule 20.01)_2023-04-07_20251126165613_PDFSIGS.txt")</f>
        <v>MCRO_27-CR-21-5179_Order-Evaluation for Competency to Proceed (Rule 20.01)_2023-04-07_20251126165613_PDFSIGS.txt</v>
      </c>
      <c r="L310" s="7" t="str">
        <f aca="false">HYPERLINK("https://mncourtfraud.com/file/MCRO_27-CR-21-5179_Order-Evaluation_for_Competency_to_Proceed_(Rule_20.01)_2023-04-07_20251126165613.zip","MCRO_27-CR-21-5179_Order-Evaluation_for_Competency_to_Proceed_(Rule_20.01)_2023-04-07_20251126165613.zip")</f>
        <v>MCRO_27-CR-21-5179_Order-Evaluation_for_Competency_to_Proceed_(Rule_20.01)_2023-04-07_20251126165613.zip</v>
      </c>
    </row>
    <row r="311" customFormat="false" ht="18.7" hidden="false" customHeight="true" outlineLevel="0" collapsed="false">
      <c r="A311" s="1" t="n">
        <v>310</v>
      </c>
      <c r="B311" s="7" t="str">
        <f aca="false">HYPERLINK("https://mncourtfraud.com/file/27-CR-21-5179.pdf","27-CR-21-5179")</f>
        <v>27-CR-21-5179</v>
      </c>
      <c r="C311" s="1" t="n">
        <v>5</v>
      </c>
      <c r="D311" s="2" t="s">
        <v>267</v>
      </c>
      <c r="E311" s="8" t="n">
        <v>45194</v>
      </c>
      <c r="F311" s="2" t="s">
        <v>15</v>
      </c>
      <c r="G311" s="7" t="str">
        <f aca="false">HYPERLINK("https://mncourtfraud.com/file/MCRO_27-CR-21-5179_Order-Evaluation for Competency to Proceed (Rule 20.01)_2023-09-25_20251126165545.pdf","MCRO_27-CR-21-5179_Order-Evaluation for Competency to Proceed (Rule 20.01)_2023-09-25_20251126165545.pdf")</f>
        <v>MCRO_27-CR-21-5179_Order-Evaluation for Competency to Proceed (Rule 20.01)_2023-09-25_20251126165545.pdf</v>
      </c>
      <c r="H311" s="2" t="s">
        <v>332</v>
      </c>
      <c r="I311" s="7" t="str">
        <f aca="false">HYPERLINK("https://mncourtfraud.com/file/MCRO_27-CR-21-5179_Order-Evaluation for Competency to Proceed (Rule 20.01)_2023-09-25_20251126165545.pdf.ots","MCRO_27-CR-21-5179_Order-Evaluation for Competency to Proceed (Rule 20.01)_2023-09-25_20251126165545.pdf.ots")</f>
        <v>MCRO_27-CR-21-5179_Order-Evaluation for Competency to Proceed (Rule 20.01)_2023-09-25_20251126165545.pdf.ots</v>
      </c>
      <c r="J311" s="7" t="str">
        <f aca="false">HYPERLINK("https://mncourtfraud.com/file/MCRO_27-CR-21-5179_Order-Evaluation for Competency to Proceed (Rule 20.01)_2023-09-25_20251126165545_META.txt","MCRO_27-CR-21-5179_Order-Evaluation for Competency to Proceed (Rule 20.01)_2023-09-25_20251126165545_META.txt")</f>
        <v>MCRO_27-CR-21-5179_Order-Evaluation for Competency to Proceed (Rule 20.01)_2023-09-25_20251126165545_META.txt</v>
      </c>
      <c r="K311" s="7" t="str">
        <f aca="false">HYPERLINK("https://mncourtfraud.com/file/MCRO_27-CR-21-5179_Order-Evaluation for Competency to Proceed (Rule 20.01)_2023-09-25_20251126165545_PDFSIGS.txt","MCRO_27-CR-21-5179_Order-Evaluation for Competency to Proceed (Rule 20.01)_2023-09-25_20251126165545_PDFSIGS.txt")</f>
        <v>MCRO_27-CR-21-5179_Order-Evaluation for Competency to Proceed (Rule 20.01)_2023-09-25_20251126165545_PDFSIGS.txt</v>
      </c>
      <c r="L311" s="7" t="str">
        <f aca="false">HYPERLINK("https://mncourtfraud.com/file/MCRO_27-CR-21-5179_Order-Evaluation_for_Competency_to_Proceed_(Rule_20.01)_2023-09-25_20251126165545.zip","MCRO_27-CR-21-5179_Order-Evaluation_for_Competency_to_Proceed_(Rule_20.01)_2023-09-25_20251126165545.zip")</f>
        <v>MCRO_27-CR-21-5179_Order-Evaluation_for_Competency_to_Proceed_(Rule_20.01)_2023-09-25_20251126165545.zip</v>
      </c>
    </row>
    <row r="312" customFormat="false" ht="18.7" hidden="false" customHeight="true" outlineLevel="0" collapsed="false">
      <c r="A312" s="1" t="n">
        <v>311</v>
      </c>
      <c r="B312" s="7" t="str">
        <f aca="false">HYPERLINK("https://mncourtfraud.com/file/27-CR-22-10565.pdf","27-CR-22-10565")</f>
        <v>27-CR-22-10565</v>
      </c>
      <c r="C312" s="1" t="n">
        <v>5</v>
      </c>
      <c r="D312" s="2" t="s">
        <v>267</v>
      </c>
      <c r="E312" s="8" t="n">
        <v>44837</v>
      </c>
      <c r="F312" s="2" t="s">
        <v>17</v>
      </c>
      <c r="G312" s="7" t="str">
        <f aca="false">HYPERLINK("https://mncourtfraud.com/file/MCRO_27-CR-22-10565_Returned Mail_2022-10-03_20251126165716.pdf","MCRO_27-CR-22-10565_Returned Mail_2022-10-03_20251126165716.pdf")</f>
        <v>MCRO_27-CR-22-10565_Returned Mail_2022-10-03_20251126165716.pdf</v>
      </c>
      <c r="H312" s="2" t="s">
        <v>333</v>
      </c>
      <c r="I312" s="7" t="str">
        <f aca="false">HYPERLINK("https://mncourtfraud.com/file/MCRO_27-CR-22-10565_Returned Mail_2022-10-03_20251126165716.pdf.ots","MCRO_27-CR-22-10565_Returned Mail_2022-10-03_20251126165716.pdf.ots")</f>
        <v>MCRO_27-CR-22-10565_Returned Mail_2022-10-03_20251126165716.pdf.ots</v>
      </c>
      <c r="J312" s="7" t="str">
        <f aca="false">HYPERLINK("https://mncourtfraud.com/file/MCRO_27-CR-22-10565_Returned Mail_2022-10-03_20251126165716_META.txt","MCRO_27-CR-22-10565_Returned Mail_2022-10-03_20251126165716_META.txt")</f>
        <v>MCRO_27-CR-22-10565_Returned Mail_2022-10-03_20251126165716_META.txt</v>
      </c>
      <c r="K312" s="7" t="str">
        <f aca="false">HYPERLINK("https://mncourtfraud.com/file/MCRO_27-CR-22-10565_Returned Mail_2022-10-03_20251126165716_PDFSIGS.txt","MCRO_27-CR-22-10565_Returned Mail_2022-10-03_20251126165716_PDFSIGS.txt")</f>
        <v>MCRO_27-CR-22-10565_Returned Mail_2022-10-03_20251126165716_PDFSIGS.txt</v>
      </c>
      <c r="L312" s="7" t="str">
        <f aca="false">HYPERLINK("https://mncourtfraud.com/file/MCRO_27-CR-22-10565_Returned_Mail_2022-10-03_20251126165716.zip","MCRO_27-CR-22-10565_Returned_Mail_2022-10-03_20251126165716.zip")</f>
        <v>MCRO_27-CR-22-10565_Returned_Mail_2022-10-03_20251126165716.zip</v>
      </c>
    </row>
    <row r="313" customFormat="false" ht="18.7" hidden="false" customHeight="true" outlineLevel="0" collapsed="false">
      <c r="A313" s="1" t="n">
        <v>312</v>
      </c>
      <c r="B313" s="7" t="str">
        <f aca="false">HYPERLINK("https://mncourtfraud.com/file/27-CR-22-10565.pdf","27-CR-22-10565")</f>
        <v>27-CR-22-10565</v>
      </c>
      <c r="C313" s="1" t="n">
        <v>5</v>
      </c>
      <c r="D313" s="2" t="s">
        <v>267</v>
      </c>
      <c r="E313" s="8" t="n">
        <v>44873</v>
      </c>
      <c r="F313" s="2" t="s">
        <v>15</v>
      </c>
      <c r="G313" s="7" t="str">
        <f aca="false">HYPERLINK("https://mncourtfraud.com/file/MCRO_27-CR-22-10565_Order-Evaluation for Competency to Proceed (Rule 20.01)_2022-11-08_20251126165641.pdf","MCRO_27-CR-22-10565_Order-Evaluation for Competency to Proceed (Rule 20.01)_2022-11-08_20251126165641.pdf")</f>
        <v>MCRO_27-CR-22-10565_Order-Evaluation for Competency to Proceed (Rule 20.01)_2022-11-08_20251126165641.pdf</v>
      </c>
      <c r="H313" s="2" t="s">
        <v>334</v>
      </c>
      <c r="I313" s="7" t="str">
        <f aca="false">HYPERLINK("https://mncourtfraud.com/file/MCRO_27-CR-22-10565_Order-Evaluation for Competency to Proceed (Rule 20.01)_2022-11-08_20251126165641.pdf.ots","MCRO_27-CR-22-10565_Order-Evaluation for Competency to Proceed (Rule 20.01)_2022-11-08_20251126165641.pdf.ots")</f>
        <v>MCRO_27-CR-22-10565_Order-Evaluation for Competency to Proceed (Rule 20.01)_2022-11-08_20251126165641.pdf.ots</v>
      </c>
      <c r="J313" s="7" t="str">
        <f aca="false">HYPERLINK("https://mncourtfraud.com/file/MCRO_27-CR-22-10565_Order-Evaluation for Competency to Proceed (Rule 20.01)_2022-11-08_20251126165641_META.txt","MCRO_27-CR-22-10565_Order-Evaluation for Competency to Proceed (Rule 20.01)_2022-11-08_20251126165641_META.txt")</f>
        <v>MCRO_27-CR-22-10565_Order-Evaluation for Competency to Proceed (Rule 20.01)_2022-11-08_20251126165641_META.txt</v>
      </c>
      <c r="K313" s="7" t="str">
        <f aca="false">HYPERLINK("https://mncourtfraud.com/file/MCRO_27-CR-22-10565_Order-Evaluation for Competency to Proceed (Rule 20.01)_2022-11-08_20251126165641_PDFSIGS.txt","MCRO_27-CR-22-10565_Order-Evaluation for Competency to Proceed (Rule 20.01)_2022-11-08_20251126165641_PDFSIGS.txt")</f>
        <v>MCRO_27-CR-22-10565_Order-Evaluation for Competency to Proceed (Rule 20.01)_2022-11-08_20251126165641_PDFSIGS.txt</v>
      </c>
      <c r="L313" s="7" t="str">
        <f aca="false">HYPERLINK("https://mncourtfraud.com/file/MCRO_27-CR-22-10565_Order-Evaluation_for_Competency_to_Proceed_(Rule_20.01)_2022-11-08_20251126165641.zip","MCRO_27-CR-22-10565_Order-Evaluation_for_Competency_to_Proceed_(Rule_20.01)_2022-11-08_20251126165641.zip")</f>
        <v>MCRO_27-CR-22-10565_Order-Evaluation_for_Competency_to_Proceed_(Rule_20.01)_2022-11-08_20251126165641.zip</v>
      </c>
    </row>
    <row r="314" customFormat="false" ht="18.7" hidden="false" customHeight="true" outlineLevel="0" collapsed="false">
      <c r="A314" s="1" t="n">
        <v>313</v>
      </c>
      <c r="B314" s="7" t="str">
        <f aca="false">HYPERLINK("https://mncourtfraud.com/file/27-CR-22-10565.pdf","27-CR-22-10565")</f>
        <v>27-CR-22-10565</v>
      </c>
      <c r="C314" s="1" t="n">
        <v>5</v>
      </c>
      <c r="D314" s="2" t="s">
        <v>267</v>
      </c>
      <c r="E314" s="8" t="n">
        <v>45023</v>
      </c>
      <c r="F314" s="2" t="s">
        <v>15</v>
      </c>
      <c r="G314" s="7" t="str">
        <f aca="false">HYPERLINK("https://mncourtfraud.com/file/MCRO_27-CR-22-10565_Order-Evaluation for Competency to Proceed (Rule 20.01)_2023-04-07_20251126165651.pdf","MCRO_27-CR-22-10565_Order-Evaluation for Competency to Proceed (Rule 20.01)_2023-04-07_20251126165651.pdf")</f>
        <v>MCRO_27-CR-22-10565_Order-Evaluation for Competency to Proceed (Rule 20.01)_2023-04-07_20251126165651.pdf</v>
      </c>
      <c r="H314" s="2" t="s">
        <v>335</v>
      </c>
      <c r="I314" s="7" t="str">
        <f aca="false">HYPERLINK("https://mncourtfraud.com/file/MCRO_27-CR-22-10565_Order-Evaluation for Competency to Proceed (Rule 20.01)_2023-04-07_20251126165651.pdf.ots","MCRO_27-CR-22-10565_Order-Evaluation for Competency to Proceed (Rule 20.01)_2023-04-07_20251126165651.pdf.ots")</f>
        <v>MCRO_27-CR-22-10565_Order-Evaluation for Competency to Proceed (Rule 20.01)_2023-04-07_20251126165651.pdf.ots</v>
      </c>
      <c r="J314" s="7" t="str">
        <f aca="false">HYPERLINK("https://mncourtfraud.com/file/MCRO_27-CR-22-10565_Order-Evaluation for Competency to Proceed (Rule 20.01)_2023-04-07_20251126165651_META.txt","MCRO_27-CR-22-10565_Order-Evaluation for Competency to Proceed (Rule 20.01)_2023-04-07_20251126165651_META.txt")</f>
        <v>MCRO_27-CR-22-10565_Order-Evaluation for Competency to Proceed (Rule 20.01)_2023-04-07_20251126165651_META.txt</v>
      </c>
      <c r="K314" s="7" t="str">
        <f aca="false">HYPERLINK("https://mncourtfraud.com/file/MCRO_27-CR-22-10565_Order-Evaluation for Competency to Proceed (Rule 20.01)_2023-04-07_20251126165651_PDFSIGS.txt","MCRO_27-CR-22-10565_Order-Evaluation for Competency to Proceed (Rule 20.01)_2023-04-07_20251126165651_PDFSIGS.txt")</f>
        <v>MCRO_27-CR-22-10565_Order-Evaluation for Competency to Proceed (Rule 20.01)_2023-04-07_20251126165651_PDFSIGS.txt</v>
      </c>
      <c r="L314" s="7" t="str">
        <f aca="false">HYPERLINK("https://mncourtfraud.com/file/MCRO_27-CR-22-10565_Order-Evaluation_for_Competency_to_Proceed_(Rule_20.01)_2023-04-07_20251126165651.zip","MCRO_27-CR-22-10565_Order-Evaluation_for_Competency_to_Proceed_(Rule_20.01)_2023-04-07_20251126165651.zip")</f>
        <v>MCRO_27-CR-22-10565_Order-Evaluation_for_Competency_to_Proceed_(Rule_20.01)_2023-04-07_20251126165651.zip</v>
      </c>
    </row>
    <row r="315" customFormat="false" ht="18.7" hidden="false" customHeight="true" outlineLevel="0" collapsed="false">
      <c r="A315" s="1" t="n">
        <v>314</v>
      </c>
      <c r="B315" s="7" t="str">
        <f aca="false">HYPERLINK("https://mncourtfraud.com/file/27-CR-22-10565.pdf","27-CR-22-10565")</f>
        <v>27-CR-22-10565</v>
      </c>
      <c r="C315" s="1" t="n">
        <v>5</v>
      </c>
      <c r="D315" s="2" t="s">
        <v>267</v>
      </c>
      <c r="E315" s="8" t="n">
        <v>45194</v>
      </c>
      <c r="F315" s="2" t="s">
        <v>15</v>
      </c>
      <c r="G315" s="7" t="str">
        <f aca="false">HYPERLINK("https://mncourtfraud.com/file/MCRO_27-CR-22-10565_Order-Evaluation for Competency to Proceed (Rule 20.01)_2023-09-25_20251126165659.pdf","MCRO_27-CR-22-10565_Order-Evaluation for Competency to Proceed (Rule 20.01)_2023-09-25_20251126165659.pdf")</f>
        <v>MCRO_27-CR-22-10565_Order-Evaluation for Competency to Proceed (Rule 20.01)_2023-09-25_20251126165659.pdf</v>
      </c>
      <c r="H315" s="2" t="s">
        <v>336</v>
      </c>
      <c r="I315" s="7" t="str">
        <f aca="false">HYPERLINK("https://mncourtfraud.com/file/MCRO_27-CR-22-10565_Order-Evaluation for Competency to Proceed (Rule 20.01)_2023-09-25_20251126165659.pdf.ots","MCRO_27-CR-22-10565_Order-Evaluation for Competency to Proceed (Rule 20.01)_2023-09-25_20251126165659.pdf.ots")</f>
        <v>MCRO_27-CR-22-10565_Order-Evaluation for Competency to Proceed (Rule 20.01)_2023-09-25_20251126165659.pdf.ots</v>
      </c>
      <c r="J315" s="7" t="str">
        <f aca="false">HYPERLINK("https://mncourtfraud.com/file/MCRO_27-CR-22-10565_Order-Evaluation for Competency to Proceed (Rule 20.01)_2023-09-25_20251126165659_META.txt","MCRO_27-CR-22-10565_Order-Evaluation for Competency to Proceed (Rule 20.01)_2023-09-25_20251126165659_META.txt")</f>
        <v>MCRO_27-CR-22-10565_Order-Evaluation for Competency to Proceed (Rule 20.01)_2023-09-25_20251126165659_META.txt</v>
      </c>
      <c r="K315" s="7" t="str">
        <f aca="false">HYPERLINK("https://mncourtfraud.com/file/MCRO_27-CR-22-10565_Order-Evaluation for Competency to Proceed (Rule 20.01)_2023-09-25_20251126165659_PDFSIGS.txt","MCRO_27-CR-22-10565_Order-Evaluation for Competency to Proceed (Rule 20.01)_2023-09-25_20251126165659_PDFSIGS.txt")</f>
        <v>MCRO_27-CR-22-10565_Order-Evaluation for Competency to Proceed (Rule 20.01)_2023-09-25_20251126165659_PDFSIGS.txt</v>
      </c>
      <c r="L315" s="7" t="str">
        <f aca="false">HYPERLINK("https://mncourtfraud.com/file/MCRO_27-CR-22-10565_Order-Evaluation_for_Competency_to_Proceed_(Rule_20.01)_2023-09-25_20251126165659.zip","MCRO_27-CR-22-10565_Order-Evaluation_for_Competency_to_Proceed_(Rule_20.01)_2023-09-25_20251126165659.zip")</f>
        <v>MCRO_27-CR-22-10565_Order-Evaluation_for_Competency_to_Proceed_(Rule_20.01)_2023-09-25_20251126165659.zip</v>
      </c>
    </row>
    <row r="316" customFormat="false" ht="18.7" hidden="false" customHeight="true" outlineLevel="0" collapsed="false">
      <c r="A316" s="1" t="n">
        <v>315</v>
      </c>
      <c r="B316" s="7" t="str">
        <f aca="false">HYPERLINK("https://mncourtfraud.com/file/27-CR-22-11847.pdf","27-CR-22-11847")</f>
        <v>27-CR-22-11847</v>
      </c>
      <c r="C316" s="1" t="n">
        <v>1</v>
      </c>
      <c r="D316" s="2" t="s">
        <v>12</v>
      </c>
      <c r="E316" s="8" t="n">
        <v>44761</v>
      </c>
      <c r="F316" s="2" t="s">
        <v>15</v>
      </c>
      <c r="G316" s="7" t="str">
        <f aca="false">HYPERLINK("https://mncourtfraud.com/file/MCRO_27-CR-22-11847_Order-Evaluation for Competency to Proceed (Rule 20.01)_2022-07-19_20251126184637.pdf","MCRO_27-CR-22-11847_Order-Evaluation for Competency to Proceed (Rule 20.01)_2022-07-19_20251126184637.pdf")</f>
        <v>MCRO_27-CR-22-11847_Order-Evaluation for Competency to Proceed (Rule 20.01)_2022-07-19_20251126184637.pdf</v>
      </c>
      <c r="H316" s="2" t="s">
        <v>337</v>
      </c>
      <c r="I316" s="7" t="str">
        <f aca="false">HYPERLINK("https://mncourtfraud.com/file/MCRO_27-CR-22-11847_Order-Evaluation for Competency to Proceed (Rule 20.01)_2022-07-19_20251126184637.pdf.ots","MCRO_27-CR-22-11847_Order-Evaluation for Competency to Proceed (Rule 20.01)_2022-07-19_20251126184637.pdf.ots")</f>
        <v>MCRO_27-CR-22-11847_Order-Evaluation for Competency to Proceed (Rule 20.01)_2022-07-19_20251126184637.pdf.ots</v>
      </c>
      <c r="J316" s="7" t="str">
        <f aca="false">HYPERLINK("https://mncourtfraud.com/file/MCRO_27-CR-22-11847_Order-Evaluation for Competency to Proceed (Rule 20.01)_2022-07-19_20251126184637_META.txt","MCRO_27-CR-22-11847_Order-Evaluation for Competency to Proceed (Rule 20.01)_2022-07-19_20251126184637_META.txt")</f>
        <v>MCRO_27-CR-22-11847_Order-Evaluation for Competency to Proceed (Rule 20.01)_2022-07-19_20251126184637_META.txt</v>
      </c>
      <c r="K316" s="7" t="str">
        <f aca="false">HYPERLINK("https://mncourtfraud.com/file/MCRO_27-CR-22-11847_Order-Evaluation for Competency to Proceed (Rule 20.01)_2022-07-19_20251126184637_PDFSIGS.txt","MCRO_27-CR-22-11847_Order-Evaluation for Competency to Proceed (Rule 20.01)_2022-07-19_20251126184637_PDFSIGS.txt")</f>
        <v>MCRO_27-CR-22-11847_Order-Evaluation for Competency to Proceed (Rule 20.01)_2022-07-19_20251126184637_PDFSIGS.txt</v>
      </c>
      <c r="L316" s="7" t="str">
        <f aca="false">HYPERLINK("https://mncourtfraud.com/file/MCRO_27-CR-22-11847_Order-Evaluation_for_Competency_to_Proceed_(Rule_20.01)_2022-07-19_20251126184637.zip","MCRO_27-CR-22-11847_Order-Evaluation_for_Competency_to_Proceed_(Rule_20.01)_2022-07-19_20251126184637.zip")</f>
        <v>MCRO_27-CR-22-11847_Order-Evaluation_for_Competency_to_Proceed_(Rule_20.01)_2022-07-19_20251126184637.zip</v>
      </c>
    </row>
    <row r="317" customFormat="false" ht="18.7" hidden="false" customHeight="true" outlineLevel="0" collapsed="false">
      <c r="A317" s="1" t="n">
        <v>316</v>
      </c>
      <c r="B317" s="7" t="str">
        <f aca="false">HYPERLINK("https://mncourtfraud.com/file/27-CR-22-11847.pdf","27-CR-22-11847")</f>
        <v>27-CR-22-11847</v>
      </c>
      <c r="C317" s="1" t="n">
        <v>1</v>
      </c>
      <c r="D317" s="2" t="s">
        <v>12</v>
      </c>
      <c r="E317" s="8" t="n">
        <v>44895</v>
      </c>
      <c r="F317" s="2" t="s">
        <v>15</v>
      </c>
      <c r="G317" s="7" t="str">
        <f aca="false">HYPERLINK("https://mncourtfraud.com/file/MCRO_27-CR-22-11847_Order-Evaluation for Competency to Proceed (Rule 20.01)_2022-11-30_20251126184645.pdf","MCRO_27-CR-22-11847_Order-Evaluation for Competency to Proceed (Rule 20.01)_2022-11-30_20251126184645.pdf")</f>
        <v>MCRO_27-CR-22-11847_Order-Evaluation for Competency to Proceed (Rule 20.01)_2022-11-30_20251126184645.pdf</v>
      </c>
      <c r="H317" s="2" t="s">
        <v>338</v>
      </c>
      <c r="I317" s="7" t="str">
        <f aca="false">HYPERLINK("https://mncourtfraud.com/file/MCRO_27-CR-22-11847_Order-Evaluation for Competency to Proceed (Rule 20.01)_2022-11-30_20251126184645.pdf.ots","MCRO_27-CR-22-11847_Order-Evaluation for Competency to Proceed (Rule 20.01)_2022-11-30_20251126184645.pdf.ots")</f>
        <v>MCRO_27-CR-22-11847_Order-Evaluation for Competency to Proceed (Rule 20.01)_2022-11-30_20251126184645.pdf.ots</v>
      </c>
      <c r="J317" s="7" t="str">
        <f aca="false">HYPERLINK("https://mncourtfraud.com/file/MCRO_27-CR-22-11847_Order-Evaluation for Competency to Proceed (Rule 20.01)_2022-11-30_20251126184645_META.txt","MCRO_27-CR-22-11847_Order-Evaluation for Competency to Proceed (Rule 20.01)_2022-11-30_20251126184645_META.txt")</f>
        <v>MCRO_27-CR-22-11847_Order-Evaluation for Competency to Proceed (Rule 20.01)_2022-11-30_20251126184645_META.txt</v>
      </c>
      <c r="K317" s="7" t="str">
        <f aca="false">HYPERLINK("https://mncourtfraud.com/file/MCRO_27-CR-22-11847_Order-Evaluation for Competency to Proceed (Rule 20.01)_2022-11-30_20251126184645_PDFSIGS.txt","MCRO_27-CR-22-11847_Order-Evaluation for Competency to Proceed (Rule 20.01)_2022-11-30_20251126184645_PDFSIGS.txt")</f>
        <v>MCRO_27-CR-22-11847_Order-Evaluation for Competency to Proceed (Rule 20.01)_2022-11-30_20251126184645_PDFSIGS.txt</v>
      </c>
      <c r="L317" s="7" t="str">
        <f aca="false">HYPERLINK("https://mncourtfraud.com/file/MCRO_27-CR-22-11847_Order-Evaluation_for_Competency_to_Proceed_(Rule_20.01)_2022-11-30_20251126184645.zip","MCRO_27-CR-22-11847_Order-Evaluation_for_Competency_to_Proceed_(Rule_20.01)_2022-11-30_20251126184645.zip")</f>
        <v>MCRO_27-CR-22-11847_Order-Evaluation_for_Competency_to_Proceed_(Rule_20.01)_2022-11-30_20251126184645.zip</v>
      </c>
    </row>
    <row r="318" customFormat="false" ht="18.7" hidden="false" customHeight="true" outlineLevel="0" collapsed="false">
      <c r="A318" s="1" t="n">
        <v>317</v>
      </c>
      <c r="B318" s="7" t="str">
        <f aca="false">HYPERLINK("https://mncourtfraud.com/file/27-CR-22-11847.pdf","27-CR-22-11847")</f>
        <v>27-CR-22-11847</v>
      </c>
      <c r="C318" s="1" t="n">
        <v>1</v>
      </c>
      <c r="D318" s="2" t="s">
        <v>12</v>
      </c>
      <c r="E318" s="8" t="n">
        <v>44999</v>
      </c>
      <c r="F318" s="2" t="s">
        <v>17</v>
      </c>
      <c r="G318" s="7" t="str">
        <f aca="false">HYPERLINK("https://mncourtfraud.com/file/MCRO_27-CR-22-11847_Returned Mail_2023-03-14_20251126184709.pdf","MCRO_27-CR-22-11847_Returned Mail_2023-03-14_20251126184709.pdf")</f>
        <v>MCRO_27-CR-22-11847_Returned Mail_2023-03-14_20251126184709.pdf</v>
      </c>
      <c r="H318" s="2" t="s">
        <v>339</v>
      </c>
      <c r="I318" s="7" t="str">
        <f aca="false">HYPERLINK("https://mncourtfraud.com/file/MCRO_27-CR-22-11847_Returned Mail_2023-03-14_20251126184709.pdf.ots","MCRO_27-CR-22-11847_Returned Mail_2023-03-14_20251126184709.pdf.ots")</f>
        <v>MCRO_27-CR-22-11847_Returned Mail_2023-03-14_20251126184709.pdf.ots</v>
      </c>
      <c r="J318" s="7" t="str">
        <f aca="false">HYPERLINK("https://mncourtfraud.com/file/MCRO_27-CR-22-11847_Returned Mail_2023-03-14_20251126184709_META.txt","MCRO_27-CR-22-11847_Returned Mail_2023-03-14_20251126184709_META.txt")</f>
        <v>MCRO_27-CR-22-11847_Returned Mail_2023-03-14_20251126184709_META.txt</v>
      </c>
      <c r="K318" s="7" t="str">
        <f aca="false">HYPERLINK("https://mncourtfraud.com/file/MCRO_27-CR-22-11847_Returned Mail_2023-03-14_20251126184709_PDFSIGS.txt","MCRO_27-CR-22-11847_Returned Mail_2023-03-14_20251126184709_PDFSIGS.txt")</f>
        <v>MCRO_27-CR-22-11847_Returned Mail_2023-03-14_20251126184709_PDFSIGS.txt</v>
      </c>
      <c r="L318" s="7" t="str">
        <f aca="false">HYPERLINK("https://mncourtfraud.com/file/MCRO_27-CR-22-11847_Returned_Mail_2023-03-14_20251126184709.zip","MCRO_27-CR-22-11847_Returned_Mail_2023-03-14_20251126184709.zip")</f>
        <v>MCRO_27-CR-22-11847_Returned_Mail_2023-03-14_20251126184709.zip</v>
      </c>
    </row>
    <row r="319" customFormat="false" ht="18.7" hidden="false" customHeight="true" outlineLevel="0" collapsed="false">
      <c r="A319" s="1" t="n">
        <v>318</v>
      </c>
      <c r="B319" s="7" t="str">
        <f aca="false">HYPERLINK("https://mncourtfraud.com/file/27-CR-22-11847.pdf","27-CR-22-11847")</f>
        <v>27-CR-22-11847</v>
      </c>
      <c r="C319" s="1" t="n">
        <v>1</v>
      </c>
      <c r="D319" s="2" t="s">
        <v>12</v>
      </c>
      <c r="E319" s="8" t="n">
        <v>45048</v>
      </c>
      <c r="F319" s="2" t="s">
        <v>80</v>
      </c>
      <c r="G319" s="7" t="str">
        <f aca="false">HYPERLINK("https://mncourtfraud.com/file/MCRO_27-CR-22-11847_Finding of Incompetency and Order_2023-05-02_20251126184550.pdf","MCRO_27-CR-22-11847_Finding of Incompetency and Order_2023-05-02_20251126184550.pdf")</f>
        <v>MCRO_27-CR-22-11847_Finding of Incompetency and Order_2023-05-02_20251126184550.pdf</v>
      </c>
      <c r="H319" s="2" t="s">
        <v>340</v>
      </c>
      <c r="I319" s="7" t="str">
        <f aca="false">HYPERLINK("https://mncourtfraud.com/file/MCRO_27-CR-22-11847_Finding of Incompetency and Order_2023-05-02_20251126184550.pdf.ots","MCRO_27-CR-22-11847_Finding of Incompetency and Order_2023-05-02_20251126184550.pdf.ots")</f>
        <v>MCRO_27-CR-22-11847_Finding of Incompetency and Order_2023-05-02_20251126184550.pdf.ots</v>
      </c>
      <c r="J319" s="7" t="str">
        <f aca="false">HYPERLINK("https://mncourtfraud.com/file/MCRO_27-CR-22-11847_Finding of Incompetency and Order_2023-05-02_20251126184550_META.txt","MCRO_27-CR-22-11847_Finding of Incompetency and Order_2023-05-02_20251126184550_META.txt")</f>
        <v>MCRO_27-CR-22-11847_Finding of Incompetency and Order_2023-05-02_20251126184550_META.txt</v>
      </c>
      <c r="K319" s="7" t="str">
        <f aca="false">HYPERLINK("https://mncourtfraud.com/file/MCRO_27-CR-22-11847_Finding of Incompetency and Order_2023-05-02_20251126184550_PDFSIGS.txt","MCRO_27-CR-22-11847_Finding of Incompetency and Order_2023-05-02_20251126184550_PDFSIGS.txt")</f>
        <v>MCRO_27-CR-22-11847_Finding of Incompetency and Order_2023-05-02_20251126184550_PDFSIGS.txt</v>
      </c>
      <c r="L319" s="7" t="str">
        <f aca="false">HYPERLINK("https://mncourtfraud.com/file/MCRO_27-CR-22-11847_Finding_of_Incompetency_and_Order_2023-05-02_20251126184550.zip","MCRO_27-CR-22-11847_Finding_of_Incompetency_and_Order_2023-05-02_20251126184550.zip")</f>
        <v>MCRO_27-CR-22-11847_Finding_of_Incompetency_and_Order_2023-05-02_20251126184550.zip</v>
      </c>
    </row>
    <row r="320" customFormat="false" ht="18.7" hidden="false" customHeight="true" outlineLevel="0" collapsed="false">
      <c r="A320" s="1" t="n">
        <v>319</v>
      </c>
      <c r="B320" s="7" t="str">
        <f aca="false">HYPERLINK("https://mncourtfraud.com/file/27-CR-22-11847.pdf","27-CR-22-11847")</f>
        <v>27-CR-22-11847</v>
      </c>
      <c r="C320" s="1" t="n">
        <v>1</v>
      </c>
      <c r="D320" s="2" t="s">
        <v>12</v>
      </c>
      <c r="E320" s="8" t="n">
        <v>45093</v>
      </c>
      <c r="F320" s="2" t="s">
        <v>82</v>
      </c>
      <c r="G320" s="7" t="str">
        <f aca="false">HYPERLINK("https://mncourtfraud.com/file/MCRO_27-CR-22-11847_Notice of Case Reassignment_2023-06-16_20251126184603.pdf","MCRO_27-CR-22-11847_Notice of Case Reassignment_2023-06-16_20251126184603.pdf")</f>
        <v>MCRO_27-CR-22-11847_Notice of Case Reassignment_2023-06-16_20251126184603.pdf</v>
      </c>
      <c r="H320" s="2" t="s">
        <v>341</v>
      </c>
      <c r="I320" s="7" t="str">
        <f aca="false">HYPERLINK("https://mncourtfraud.com/file/MCRO_27-CR-22-11847_Notice of Case Reassignment_2023-06-16_20251126184603.pdf.ots","MCRO_27-CR-22-11847_Notice of Case Reassignment_2023-06-16_20251126184603.pdf.ots")</f>
        <v>MCRO_27-CR-22-11847_Notice of Case Reassignment_2023-06-16_20251126184603.pdf.ots</v>
      </c>
      <c r="J320" s="7" t="str">
        <f aca="false">HYPERLINK("https://mncourtfraud.com/file/MCRO_27-CR-22-11847_Notice of Case Reassignment_2023-06-16_20251126184603_META.txt","MCRO_27-CR-22-11847_Notice of Case Reassignment_2023-06-16_20251126184603_META.txt")</f>
        <v>MCRO_27-CR-22-11847_Notice of Case Reassignment_2023-06-16_20251126184603_META.txt</v>
      </c>
      <c r="K320" s="7" t="str">
        <f aca="false">HYPERLINK("https://mncourtfraud.com/file/MCRO_27-CR-22-11847_Notice of Case Reassignment_2023-06-16_20251126184603_PDFSIGS.txt","MCRO_27-CR-22-11847_Notice of Case Reassignment_2023-06-16_20251126184603_PDFSIGS.txt")</f>
        <v>MCRO_27-CR-22-11847_Notice of Case Reassignment_2023-06-16_20251126184603_PDFSIGS.txt</v>
      </c>
      <c r="L320" s="7" t="str">
        <f aca="false">HYPERLINK("https://mncourtfraud.com/file/MCRO_27-CR-22-11847_Notice_of_Case_Reassignment_2023-06-16_20251126184603.zip","MCRO_27-CR-22-11847_Notice_of_Case_Reassignment_2023-06-16_20251126184603.zip")</f>
        <v>MCRO_27-CR-22-11847_Notice_of_Case_Reassignment_2023-06-16_20251126184603.zip</v>
      </c>
    </row>
    <row r="321" customFormat="false" ht="18.7" hidden="false" customHeight="true" outlineLevel="0" collapsed="false">
      <c r="A321" s="1" t="n">
        <v>320</v>
      </c>
      <c r="B321" s="7" t="str">
        <f aca="false">HYPERLINK("https://mncourtfraud.com/file/27-CR-22-11847.pdf","27-CR-22-11847")</f>
        <v>27-CR-22-11847</v>
      </c>
      <c r="C321" s="1" t="n">
        <v>1</v>
      </c>
      <c r="D321" s="2" t="s">
        <v>12</v>
      </c>
      <c r="E321" s="8" t="n">
        <v>45160</v>
      </c>
      <c r="F321" s="2" t="s">
        <v>15</v>
      </c>
      <c r="G321" s="7" t="str">
        <f aca="false">HYPERLINK("https://mncourtfraud.com/file/MCRO_27-CR-22-11847_Order-Evaluation for Competency to Proceed (Rule 20.01)_2023-08-22_20251126184653.pdf","MCRO_27-CR-22-11847_Order-Evaluation for Competency to Proceed (Rule 20.01)_2023-08-22_20251126184653.pdf")</f>
        <v>MCRO_27-CR-22-11847_Order-Evaluation for Competency to Proceed (Rule 20.01)_2023-08-22_20251126184653.pdf</v>
      </c>
      <c r="H321" s="2" t="s">
        <v>342</v>
      </c>
      <c r="I321" s="7" t="str">
        <f aca="false">HYPERLINK("https://mncourtfraud.com/file/MCRO_27-CR-22-11847_Order-Evaluation for Competency to Proceed (Rule 20.01)_2023-08-22_20251126184653.pdf.ots","MCRO_27-CR-22-11847_Order-Evaluation for Competency to Proceed (Rule 20.01)_2023-08-22_20251126184653.pdf.ots")</f>
        <v>MCRO_27-CR-22-11847_Order-Evaluation for Competency to Proceed (Rule 20.01)_2023-08-22_20251126184653.pdf.ots</v>
      </c>
      <c r="J321" s="7" t="str">
        <f aca="false">HYPERLINK("https://mncourtfraud.com/file/MCRO_27-CR-22-11847_Order-Evaluation for Competency to Proceed (Rule 20.01)_2023-08-22_20251126184653_META.txt","MCRO_27-CR-22-11847_Order-Evaluation for Competency to Proceed (Rule 20.01)_2023-08-22_20251126184653_META.txt")</f>
        <v>MCRO_27-CR-22-11847_Order-Evaluation for Competency to Proceed (Rule 20.01)_2023-08-22_20251126184653_META.txt</v>
      </c>
      <c r="K321" s="7" t="str">
        <f aca="false">HYPERLINK("https://mncourtfraud.com/file/MCRO_27-CR-22-11847_Order-Evaluation for Competency to Proceed (Rule 20.01)_2023-08-22_20251126184653_PDFSIGS.txt","MCRO_27-CR-22-11847_Order-Evaluation for Competency to Proceed (Rule 20.01)_2023-08-22_20251126184653_PDFSIGS.txt")</f>
        <v>MCRO_27-CR-22-11847_Order-Evaluation for Competency to Proceed (Rule 20.01)_2023-08-22_20251126184653_PDFSIGS.txt</v>
      </c>
      <c r="L321" s="7" t="str">
        <f aca="false">HYPERLINK("https://mncourtfraud.com/file/MCRO_27-CR-22-11847_Order-Evaluation_for_Competency_to_Proceed_(Rule_20.01)_2023-08-22_20251126184653.zip","MCRO_27-CR-22-11847_Order-Evaluation_for_Competency_to_Proceed_(Rule_20.01)_2023-08-22_20251126184653.zip")</f>
        <v>MCRO_27-CR-22-11847_Order-Evaluation_for_Competency_to_Proceed_(Rule_20.01)_2023-08-22_20251126184653.zip</v>
      </c>
    </row>
    <row r="322" customFormat="false" ht="18.7" hidden="false" customHeight="true" outlineLevel="0" collapsed="false">
      <c r="A322" s="1" t="n">
        <v>321</v>
      </c>
      <c r="B322" s="7" t="str">
        <f aca="false">HYPERLINK("https://mncourtfraud.com/file/27-CR-22-11847.pdf","27-CR-22-11847")</f>
        <v>27-CR-22-11847</v>
      </c>
      <c r="C322" s="1" t="n">
        <v>1</v>
      </c>
      <c r="D322" s="2" t="s">
        <v>12</v>
      </c>
      <c r="E322" s="8" t="n">
        <v>45412</v>
      </c>
      <c r="F322" s="2" t="s">
        <v>24</v>
      </c>
      <c r="G322" s="7" t="str">
        <f aca="false">HYPERLINK("https://mncourtfraud.com/file/MCRO_27-CR-22-11847_Order for Conditional Release_2024-04-30_20251126184615.pdf","MCRO_27-CR-22-11847_Order for Conditional Release_2024-04-30_20251126184615.pdf")</f>
        <v>MCRO_27-CR-22-11847_Order for Conditional Release_2024-04-30_20251126184615.pdf</v>
      </c>
      <c r="H322" s="2" t="s">
        <v>343</v>
      </c>
      <c r="I322" s="7" t="str">
        <f aca="false">HYPERLINK("https://mncourtfraud.com/file/MCRO_27-CR-22-11847_Order for Conditional Release_2024-04-30_20251126184615.pdf.ots","MCRO_27-CR-22-11847_Order for Conditional Release_2024-04-30_20251126184615.pdf.ots")</f>
        <v>MCRO_27-CR-22-11847_Order for Conditional Release_2024-04-30_20251126184615.pdf.ots</v>
      </c>
      <c r="J322" s="7" t="str">
        <f aca="false">HYPERLINK("https://mncourtfraud.com/file/MCRO_27-CR-22-11847_Order for Conditional Release_2024-04-30_20251126184615_META.txt","MCRO_27-CR-22-11847_Order for Conditional Release_2024-04-30_20251126184615_META.txt")</f>
        <v>MCRO_27-CR-22-11847_Order for Conditional Release_2024-04-30_20251126184615_META.txt</v>
      </c>
      <c r="K322" s="7" t="str">
        <f aca="false">HYPERLINK("https://mncourtfraud.com/file/MCRO_27-CR-22-11847_Order for Conditional Release_2024-04-30_20251126184615_PDFSIGS.txt","MCRO_27-CR-22-11847_Order for Conditional Release_2024-04-30_20251126184615_PDFSIGS.txt")</f>
        <v>MCRO_27-CR-22-11847_Order for Conditional Release_2024-04-30_20251126184615_PDFSIGS.txt</v>
      </c>
      <c r="L322" s="7" t="str">
        <f aca="false">HYPERLINK("https://mncourtfraud.com/file/MCRO_27-CR-22-11847_Order_for_Conditional_Release_2024-04-30_20251126184615.zip","MCRO_27-CR-22-11847_Order_for_Conditional_Release_2024-04-30_20251126184615.zip")</f>
        <v>MCRO_27-CR-22-11847_Order_for_Conditional_Release_2024-04-30_20251126184615.zip</v>
      </c>
    </row>
    <row r="323" customFormat="false" ht="18.7" hidden="false" customHeight="true" outlineLevel="0" collapsed="false">
      <c r="A323" s="1" t="n">
        <v>322</v>
      </c>
      <c r="B323" s="7" t="str">
        <f aca="false">HYPERLINK("https://mncourtfraud.com/file/27-CR-22-11847.pdf","27-CR-22-11847")</f>
        <v>27-CR-22-11847</v>
      </c>
      <c r="C323" s="1" t="n">
        <v>1</v>
      </c>
      <c r="D323" s="2" t="s">
        <v>12</v>
      </c>
      <c r="E323" s="8" t="n">
        <v>45412</v>
      </c>
      <c r="F323" s="2" t="s">
        <v>15</v>
      </c>
      <c r="G323" s="7" t="str">
        <f aca="false">HYPERLINK("https://mncourtfraud.com/file/MCRO_27-CR-22-11847_Order-Evaluation for Competency to Proceed (Rule 20.01)_2024-04-30_20251126184629.pdf","MCRO_27-CR-22-11847_Order-Evaluation for Competency to Proceed (Rule 20.01)_2024-04-30_20251126184629.pdf")</f>
        <v>MCRO_27-CR-22-11847_Order-Evaluation for Competency to Proceed (Rule 20.01)_2024-04-30_20251126184629.pdf</v>
      </c>
      <c r="H323" s="2" t="s">
        <v>344</v>
      </c>
      <c r="I323" s="7" t="str">
        <f aca="false">HYPERLINK("https://mncourtfraud.com/file/MCRO_27-CR-22-11847_Order-Evaluation for Competency to Proceed (Rule 20.01)_2024-04-30_20251126184629.pdf.ots","MCRO_27-CR-22-11847_Order-Evaluation for Competency to Proceed (Rule 20.01)_2024-04-30_20251126184629.pdf.ots")</f>
        <v>MCRO_27-CR-22-11847_Order-Evaluation for Competency to Proceed (Rule 20.01)_2024-04-30_20251126184629.pdf.ots</v>
      </c>
      <c r="J323" s="7" t="str">
        <f aca="false">HYPERLINK("https://mncourtfraud.com/file/MCRO_27-CR-22-11847_Order-Evaluation for Competency to Proceed (Rule 20.01)_2024-04-30_20251126184629_META.txt","MCRO_27-CR-22-11847_Order-Evaluation for Competency to Proceed (Rule 20.01)_2024-04-30_20251126184629_META.txt")</f>
        <v>MCRO_27-CR-22-11847_Order-Evaluation for Competency to Proceed (Rule 20.01)_2024-04-30_20251126184629_META.txt</v>
      </c>
      <c r="K323" s="7" t="str">
        <f aca="false">HYPERLINK("https://mncourtfraud.com/file/MCRO_27-CR-22-11847_Order-Evaluation for Competency to Proceed (Rule 20.01)_2024-04-30_20251126184629_PDFSIGS.txt","MCRO_27-CR-22-11847_Order-Evaluation for Competency to Proceed (Rule 20.01)_2024-04-30_20251126184629_PDFSIGS.txt")</f>
        <v>MCRO_27-CR-22-11847_Order-Evaluation for Competency to Proceed (Rule 20.01)_2024-04-30_20251126184629_PDFSIGS.txt</v>
      </c>
      <c r="L323" s="7" t="str">
        <f aca="false">HYPERLINK("https://mncourtfraud.com/file/MCRO_27-CR-22-11847_Order-Evaluation_for_Competency_to_Proceed_(Rule_20.01)_2024-04-30_20251126184629.zip","MCRO_27-CR-22-11847_Order-Evaluation_for_Competency_to_Proceed_(Rule_20.01)_2024-04-30_20251126184629.zip")</f>
        <v>MCRO_27-CR-22-11847_Order-Evaluation_for_Competency_to_Proceed_(Rule_20.01)_2024-04-30_20251126184629.zip</v>
      </c>
    </row>
    <row r="324" customFormat="false" ht="18.7" hidden="false" customHeight="true" outlineLevel="0" collapsed="false">
      <c r="A324" s="1" t="n">
        <v>323</v>
      </c>
      <c r="B324" s="7" t="str">
        <f aca="false">HYPERLINK("https://mncourtfraud.com/file/27-CR-22-12695.pdf","27-CR-22-12695")</f>
        <v>27-CR-22-12695</v>
      </c>
      <c r="C324" s="1" t="n">
        <v>1</v>
      </c>
      <c r="D324" s="2" t="s">
        <v>12</v>
      </c>
      <c r="E324" s="8" t="n">
        <v>44761</v>
      </c>
      <c r="F324" s="2" t="s">
        <v>15</v>
      </c>
      <c r="G324" s="7" t="str">
        <f aca="false">HYPERLINK("https://mncourtfraud.com/file/MCRO_27-CR-22-12695_Order-Evaluation for Competency to Proceed (Rule 20.01)_2022-07-19_20251126184801.pdf","MCRO_27-CR-22-12695_Order-Evaluation for Competency to Proceed (Rule 20.01)_2022-07-19_20251126184801.pdf")</f>
        <v>MCRO_27-CR-22-12695_Order-Evaluation for Competency to Proceed (Rule 20.01)_2022-07-19_20251126184801.pdf</v>
      </c>
      <c r="H324" s="2" t="s">
        <v>345</v>
      </c>
      <c r="I324" s="7" t="str">
        <f aca="false">HYPERLINK("https://mncourtfraud.com/file/MCRO_27-CR-22-12695_Order-Evaluation for Competency to Proceed (Rule 20.01)_2022-07-19_20251126184801.pdf.ots","MCRO_27-CR-22-12695_Order-Evaluation for Competency to Proceed (Rule 20.01)_2022-07-19_20251126184801.pdf.ots")</f>
        <v>MCRO_27-CR-22-12695_Order-Evaluation for Competency to Proceed (Rule 20.01)_2022-07-19_20251126184801.pdf.ots</v>
      </c>
      <c r="J324" s="7" t="str">
        <f aca="false">HYPERLINK("https://mncourtfraud.com/file/MCRO_27-CR-22-12695_Order-Evaluation for Competency to Proceed (Rule 20.01)_2022-07-19_20251126184801_META.txt","MCRO_27-CR-22-12695_Order-Evaluation for Competency to Proceed (Rule 20.01)_2022-07-19_20251126184801_META.txt")</f>
        <v>MCRO_27-CR-22-12695_Order-Evaluation for Competency to Proceed (Rule 20.01)_2022-07-19_20251126184801_META.txt</v>
      </c>
      <c r="K324" s="7" t="str">
        <f aca="false">HYPERLINK("https://mncourtfraud.com/file/MCRO_27-CR-22-12695_Order-Evaluation for Competency to Proceed (Rule 20.01)_2022-07-19_20251126184801_PDFSIGS.txt","MCRO_27-CR-22-12695_Order-Evaluation for Competency to Proceed (Rule 20.01)_2022-07-19_20251126184801_PDFSIGS.txt")</f>
        <v>MCRO_27-CR-22-12695_Order-Evaluation for Competency to Proceed (Rule 20.01)_2022-07-19_20251126184801_PDFSIGS.txt</v>
      </c>
      <c r="L324" s="7" t="str">
        <f aca="false">HYPERLINK("https://mncourtfraud.com/file/MCRO_27-CR-22-12695_Order-Evaluation_for_Competency_to_Proceed_(Rule_20.01)_2022-07-19_20251126184801.zip","MCRO_27-CR-22-12695_Order-Evaluation_for_Competency_to_Proceed_(Rule_20.01)_2022-07-19_20251126184801.zip")</f>
        <v>MCRO_27-CR-22-12695_Order-Evaluation_for_Competency_to_Proceed_(Rule_20.01)_2022-07-19_20251126184801.zip</v>
      </c>
    </row>
    <row r="325" customFormat="false" ht="18.7" hidden="false" customHeight="true" outlineLevel="0" collapsed="false">
      <c r="A325" s="1" t="n">
        <v>324</v>
      </c>
      <c r="B325" s="7" t="str">
        <f aca="false">HYPERLINK("https://mncourtfraud.com/file/27-CR-22-12695.pdf","27-CR-22-12695")</f>
        <v>27-CR-22-12695</v>
      </c>
      <c r="C325" s="1" t="n">
        <v>1</v>
      </c>
      <c r="D325" s="2" t="s">
        <v>12</v>
      </c>
      <c r="E325" s="8" t="n">
        <v>44895</v>
      </c>
      <c r="F325" s="2" t="s">
        <v>15</v>
      </c>
      <c r="G325" s="7" t="str">
        <f aca="false">HYPERLINK("https://mncourtfraud.com/file/MCRO_27-CR-22-12695_Order-Evaluation for Competency to Proceed (Rule 20.01)_2022-11-30_20251126184750.pdf","MCRO_27-CR-22-12695_Order-Evaluation for Competency to Proceed (Rule 20.01)_2022-11-30_20251126184750.pdf")</f>
        <v>MCRO_27-CR-22-12695_Order-Evaluation for Competency to Proceed (Rule 20.01)_2022-11-30_20251126184750.pdf</v>
      </c>
      <c r="H325" s="2" t="s">
        <v>346</v>
      </c>
      <c r="I325" s="7" t="str">
        <f aca="false">HYPERLINK("https://mncourtfraud.com/file/MCRO_27-CR-22-12695_Order-Evaluation for Competency to Proceed (Rule 20.01)_2022-11-30_20251126184750.pdf.ots","MCRO_27-CR-22-12695_Order-Evaluation for Competency to Proceed (Rule 20.01)_2022-11-30_20251126184750.pdf.ots")</f>
        <v>MCRO_27-CR-22-12695_Order-Evaluation for Competency to Proceed (Rule 20.01)_2022-11-30_20251126184750.pdf.ots</v>
      </c>
      <c r="J325" s="7" t="str">
        <f aca="false">HYPERLINK("https://mncourtfraud.com/file/MCRO_27-CR-22-12695_Order-Evaluation for Competency to Proceed (Rule 20.01)_2022-11-30_20251126184750_META.txt","MCRO_27-CR-22-12695_Order-Evaluation for Competency to Proceed (Rule 20.01)_2022-11-30_20251126184750_META.txt")</f>
        <v>MCRO_27-CR-22-12695_Order-Evaluation for Competency to Proceed (Rule 20.01)_2022-11-30_20251126184750_META.txt</v>
      </c>
      <c r="K325" s="7" t="str">
        <f aca="false">HYPERLINK("https://mncourtfraud.com/file/MCRO_27-CR-22-12695_Order-Evaluation for Competency to Proceed (Rule 20.01)_2022-11-30_20251126184750_PDFSIGS.txt","MCRO_27-CR-22-12695_Order-Evaluation for Competency to Proceed (Rule 20.01)_2022-11-30_20251126184750_PDFSIGS.txt")</f>
        <v>MCRO_27-CR-22-12695_Order-Evaluation for Competency to Proceed (Rule 20.01)_2022-11-30_20251126184750_PDFSIGS.txt</v>
      </c>
      <c r="L325" s="7" t="str">
        <f aca="false">HYPERLINK("https://mncourtfraud.com/file/MCRO_27-CR-22-12695_Order-Evaluation_for_Competency_to_Proceed_(Rule_20.01)_2022-11-30_20251126184750.zip","MCRO_27-CR-22-12695_Order-Evaluation_for_Competency_to_Proceed_(Rule_20.01)_2022-11-30_20251126184750.zip")</f>
        <v>MCRO_27-CR-22-12695_Order-Evaluation_for_Competency_to_Proceed_(Rule_20.01)_2022-11-30_20251126184750.zip</v>
      </c>
    </row>
    <row r="326" customFormat="false" ht="18.7" hidden="false" customHeight="true" outlineLevel="0" collapsed="false">
      <c r="A326" s="1" t="n">
        <v>325</v>
      </c>
      <c r="B326" s="7" t="str">
        <f aca="false">HYPERLINK("https://mncourtfraud.com/file/27-CR-22-12695.pdf","27-CR-22-12695")</f>
        <v>27-CR-22-12695</v>
      </c>
      <c r="C326" s="1" t="n">
        <v>1</v>
      </c>
      <c r="D326" s="2" t="s">
        <v>12</v>
      </c>
      <c r="E326" s="8" t="n">
        <v>44999</v>
      </c>
      <c r="F326" s="2" t="s">
        <v>17</v>
      </c>
      <c r="G326" s="7" t="str">
        <f aca="false">HYPERLINK("https://mncourtfraud.com/file/MCRO_27-CR-22-12695_Returned Mail_2023-03-14_20251126184813.pdf","MCRO_27-CR-22-12695_Returned Mail_2023-03-14_20251126184813.pdf")</f>
        <v>MCRO_27-CR-22-12695_Returned Mail_2023-03-14_20251126184813.pdf</v>
      </c>
      <c r="H326" s="2" t="s">
        <v>347</v>
      </c>
      <c r="I326" s="7" t="str">
        <f aca="false">HYPERLINK("https://mncourtfraud.com/file/MCRO_27-CR-22-12695_Returned Mail_2023-03-14_20251126184813.pdf.ots","MCRO_27-CR-22-12695_Returned Mail_2023-03-14_20251126184813.pdf.ots")</f>
        <v>MCRO_27-CR-22-12695_Returned Mail_2023-03-14_20251126184813.pdf.ots</v>
      </c>
      <c r="J326" s="7" t="str">
        <f aca="false">HYPERLINK("https://mncourtfraud.com/file/MCRO_27-CR-22-12695_Returned Mail_2023-03-14_20251126184813_META.txt","MCRO_27-CR-22-12695_Returned Mail_2023-03-14_20251126184813_META.txt")</f>
        <v>MCRO_27-CR-22-12695_Returned Mail_2023-03-14_20251126184813_META.txt</v>
      </c>
      <c r="K326" s="7" t="str">
        <f aca="false">HYPERLINK("https://mncourtfraud.com/file/MCRO_27-CR-22-12695_Returned Mail_2023-03-14_20251126184813_PDFSIGS.txt","MCRO_27-CR-22-12695_Returned Mail_2023-03-14_20251126184813_PDFSIGS.txt")</f>
        <v>MCRO_27-CR-22-12695_Returned Mail_2023-03-14_20251126184813_PDFSIGS.txt</v>
      </c>
      <c r="L326" s="7" t="str">
        <f aca="false">HYPERLINK("https://mncourtfraud.com/file/MCRO_27-CR-22-12695_Returned_Mail_2023-03-14_20251126184813.zip","MCRO_27-CR-22-12695_Returned_Mail_2023-03-14_20251126184813.zip")</f>
        <v>MCRO_27-CR-22-12695_Returned_Mail_2023-03-14_20251126184813.zip</v>
      </c>
    </row>
    <row r="327" customFormat="false" ht="18.7" hidden="false" customHeight="true" outlineLevel="0" collapsed="false">
      <c r="A327" s="1" t="n">
        <v>326</v>
      </c>
      <c r="B327" s="7" t="str">
        <f aca="false">HYPERLINK("https://mncourtfraud.com/file/27-CR-22-12695.pdf","27-CR-22-12695")</f>
        <v>27-CR-22-12695</v>
      </c>
      <c r="C327" s="1" t="n">
        <v>1</v>
      </c>
      <c r="D327" s="2" t="s">
        <v>12</v>
      </c>
      <c r="E327" s="8" t="n">
        <v>45048</v>
      </c>
      <c r="F327" s="2" t="s">
        <v>80</v>
      </c>
      <c r="G327" s="7" t="str">
        <f aca="false">HYPERLINK("https://mncourtfraud.com/file/MCRO_27-CR-22-12695_Finding of Incompetency and Order_2023-05-02_20251126184737.pdf","MCRO_27-CR-22-12695_Finding of Incompetency and Order_2023-05-02_20251126184737.pdf")</f>
        <v>MCRO_27-CR-22-12695_Finding of Incompetency and Order_2023-05-02_20251126184737.pdf</v>
      </c>
      <c r="H327" s="2" t="s">
        <v>348</v>
      </c>
      <c r="I327" s="7" t="str">
        <f aca="false">HYPERLINK("https://mncourtfraud.com/file/MCRO_27-CR-22-12695_Finding of Incompetency and Order_2023-05-02_20251126184737.pdf.ots","MCRO_27-CR-22-12695_Finding of Incompetency and Order_2023-05-02_20251126184737.pdf.ots")</f>
        <v>MCRO_27-CR-22-12695_Finding of Incompetency and Order_2023-05-02_20251126184737.pdf.ots</v>
      </c>
      <c r="J327" s="7" t="str">
        <f aca="false">HYPERLINK("https://mncourtfraud.com/file/MCRO_27-CR-22-12695_Finding of Incompetency and Order_2023-05-02_20251126184737_META.txt","MCRO_27-CR-22-12695_Finding of Incompetency and Order_2023-05-02_20251126184737_META.txt")</f>
        <v>MCRO_27-CR-22-12695_Finding of Incompetency and Order_2023-05-02_20251126184737_META.txt</v>
      </c>
      <c r="K327" s="7" t="str">
        <f aca="false">HYPERLINK("https://mncourtfraud.com/file/MCRO_27-CR-22-12695_Finding of Incompetency and Order_2023-05-02_20251126184737_PDFSIGS.txt","MCRO_27-CR-22-12695_Finding of Incompetency and Order_2023-05-02_20251126184737_PDFSIGS.txt")</f>
        <v>MCRO_27-CR-22-12695_Finding of Incompetency and Order_2023-05-02_20251126184737_PDFSIGS.txt</v>
      </c>
      <c r="L327" s="7" t="str">
        <f aca="false">HYPERLINK("https://mncourtfraud.com/file/MCRO_27-CR-22-12695_Finding_of_Incompetency_and_Order_2023-05-02_20251126184737.zip","MCRO_27-CR-22-12695_Finding_of_Incompetency_and_Order_2023-05-02_20251126184737.zip")</f>
        <v>MCRO_27-CR-22-12695_Finding_of_Incompetency_and_Order_2023-05-02_20251126184737.zip</v>
      </c>
    </row>
    <row r="328" customFormat="false" ht="18.7" hidden="false" customHeight="true" outlineLevel="0" collapsed="false">
      <c r="A328" s="1" t="n">
        <v>327</v>
      </c>
      <c r="B328" s="7" t="str">
        <f aca="false">HYPERLINK("https://mncourtfraud.com/file/27-CR-22-13797.pdf","27-CR-22-13797")</f>
        <v>27-CR-22-13797</v>
      </c>
      <c r="C328" s="1" t="n">
        <v>1</v>
      </c>
      <c r="D328" s="2" t="s">
        <v>12</v>
      </c>
      <c r="E328" s="8" t="n">
        <v>44761</v>
      </c>
      <c r="F328" s="2" t="s">
        <v>15</v>
      </c>
      <c r="G328" s="7" t="str">
        <f aca="false">HYPERLINK("https://mncourtfraud.com/file/MCRO_27-CR-22-13797_Order-Evaluation for Competency to Proceed (Rule 20.01)_2022-07-19_20251126185033.pdf","MCRO_27-CR-22-13797_Order-Evaluation for Competency to Proceed (Rule 20.01)_2022-07-19_20251126185033.pdf")</f>
        <v>MCRO_27-CR-22-13797_Order-Evaluation for Competency to Proceed (Rule 20.01)_2022-07-19_20251126185033.pdf</v>
      </c>
      <c r="H328" s="2" t="s">
        <v>349</v>
      </c>
      <c r="I328" s="7" t="str">
        <f aca="false">HYPERLINK("https://mncourtfraud.com/file/MCRO_27-CR-22-13797_Order-Evaluation for Competency to Proceed (Rule 20.01)_2022-07-19_20251126185033.pdf.ots","MCRO_27-CR-22-13797_Order-Evaluation for Competency to Proceed (Rule 20.01)_2022-07-19_20251126185033.pdf.ots")</f>
        <v>MCRO_27-CR-22-13797_Order-Evaluation for Competency to Proceed (Rule 20.01)_2022-07-19_20251126185033.pdf.ots</v>
      </c>
      <c r="J328" s="7" t="str">
        <f aca="false">HYPERLINK("https://mncourtfraud.com/file/MCRO_27-CR-22-13797_Order-Evaluation for Competency to Proceed (Rule 20.01)_2022-07-19_20251126185033_META.txt","MCRO_27-CR-22-13797_Order-Evaluation for Competency to Proceed (Rule 20.01)_2022-07-19_20251126185033_META.txt")</f>
        <v>MCRO_27-CR-22-13797_Order-Evaluation for Competency to Proceed (Rule 20.01)_2022-07-19_20251126185033_META.txt</v>
      </c>
      <c r="K328" s="7" t="str">
        <f aca="false">HYPERLINK("https://mncourtfraud.com/file/MCRO_27-CR-22-13797_Order-Evaluation for Competency to Proceed (Rule 20.01)_2022-07-19_20251126185033_PDFSIGS.txt","MCRO_27-CR-22-13797_Order-Evaluation for Competency to Proceed (Rule 20.01)_2022-07-19_20251126185033_PDFSIGS.txt")</f>
        <v>MCRO_27-CR-22-13797_Order-Evaluation for Competency to Proceed (Rule 20.01)_2022-07-19_20251126185033_PDFSIGS.txt</v>
      </c>
      <c r="L328" s="7" t="str">
        <f aca="false">HYPERLINK("https://mncourtfraud.com/file/MCRO_27-CR-22-13797_Order-Evaluation_for_Competency_to_Proceed_(Rule_20.01)_2022-07-19_20251126185033.zip","MCRO_27-CR-22-13797_Order-Evaluation_for_Competency_to_Proceed_(Rule_20.01)_2022-07-19_20251126185033.zip")</f>
        <v>MCRO_27-CR-22-13797_Order-Evaluation_for_Competency_to_Proceed_(Rule_20.01)_2022-07-19_20251126185033.zip</v>
      </c>
    </row>
    <row r="329" customFormat="false" ht="18.7" hidden="false" customHeight="true" outlineLevel="0" collapsed="false">
      <c r="A329" s="1" t="n">
        <v>328</v>
      </c>
      <c r="B329" s="7" t="str">
        <f aca="false">HYPERLINK("https://mncourtfraud.com/file/27-CR-22-13797.pdf","27-CR-22-13797")</f>
        <v>27-CR-22-13797</v>
      </c>
      <c r="C329" s="1" t="n">
        <v>1</v>
      </c>
      <c r="D329" s="2" t="s">
        <v>12</v>
      </c>
      <c r="E329" s="8" t="n">
        <v>44895</v>
      </c>
      <c r="F329" s="2" t="s">
        <v>15</v>
      </c>
      <c r="G329" s="7" t="str">
        <f aca="false">HYPERLINK("https://mncourtfraud.com/file/MCRO_27-CR-22-13797_Order-Evaluation for Competency to Proceed (Rule 20.01)_2022-11-30_20251126185022.pdf","MCRO_27-CR-22-13797_Order-Evaluation for Competency to Proceed (Rule 20.01)_2022-11-30_20251126185022.pdf")</f>
        <v>MCRO_27-CR-22-13797_Order-Evaluation for Competency to Proceed (Rule 20.01)_2022-11-30_20251126185022.pdf</v>
      </c>
      <c r="H329" s="2" t="s">
        <v>350</v>
      </c>
      <c r="I329" s="7" t="str">
        <f aca="false">HYPERLINK("https://mncourtfraud.com/file/MCRO_27-CR-22-13797_Order-Evaluation for Competency to Proceed (Rule 20.01)_2022-11-30_20251126185022.pdf.ots","MCRO_27-CR-22-13797_Order-Evaluation for Competency to Proceed (Rule 20.01)_2022-11-30_20251126185022.pdf.ots")</f>
        <v>MCRO_27-CR-22-13797_Order-Evaluation for Competency to Proceed (Rule 20.01)_2022-11-30_20251126185022.pdf.ots</v>
      </c>
      <c r="J329" s="7" t="str">
        <f aca="false">HYPERLINK("https://mncourtfraud.com/file/MCRO_27-CR-22-13797_Order-Evaluation for Competency to Proceed (Rule 20.01)_2022-11-30_20251126185022_META.txt","MCRO_27-CR-22-13797_Order-Evaluation for Competency to Proceed (Rule 20.01)_2022-11-30_20251126185022_META.txt")</f>
        <v>MCRO_27-CR-22-13797_Order-Evaluation for Competency to Proceed (Rule 20.01)_2022-11-30_20251126185022_META.txt</v>
      </c>
      <c r="K329" s="7" t="str">
        <f aca="false">HYPERLINK("https://mncourtfraud.com/file/MCRO_27-CR-22-13797_Order-Evaluation for Competency to Proceed (Rule 20.01)_2022-11-30_20251126185022_PDFSIGS.txt","MCRO_27-CR-22-13797_Order-Evaluation for Competency to Proceed (Rule 20.01)_2022-11-30_20251126185022_PDFSIGS.txt")</f>
        <v>MCRO_27-CR-22-13797_Order-Evaluation for Competency to Proceed (Rule 20.01)_2022-11-30_20251126185022_PDFSIGS.txt</v>
      </c>
      <c r="L329" s="7" t="str">
        <f aca="false">HYPERLINK("https://mncourtfraud.com/file/MCRO_27-CR-22-13797_Order-Evaluation_for_Competency_to_Proceed_(Rule_20.01)_2022-11-30_20251126185022.zip","MCRO_27-CR-22-13797_Order-Evaluation_for_Competency_to_Proceed_(Rule_20.01)_2022-11-30_20251126185022.zip")</f>
        <v>MCRO_27-CR-22-13797_Order-Evaluation_for_Competency_to_Proceed_(Rule_20.01)_2022-11-30_20251126185022.zip</v>
      </c>
    </row>
    <row r="330" customFormat="false" ht="18.7" hidden="false" customHeight="true" outlineLevel="0" collapsed="false">
      <c r="A330" s="1" t="n">
        <v>329</v>
      </c>
      <c r="B330" s="7" t="str">
        <f aca="false">HYPERLINK("https://mncourtfraud.com/file/27-CR-22-13797.pdf","27-CR-22-13797")</f>
        <v>27-CR-22-13797</v>
      </c>
      <c r="C330" s="1" t="n">
        <v>1</v>
      </c>
      <c r="D330" s="2" t="s">
        <v>12</v>
      </c>
      <c r="E330" s="8" t="n">
        <v>45048</v>
      </c>
      <c r="F330" s="2" t="s">
        <v>80</v>
      </c>
      <c r="G330" s="7" t="str">
        <f aca="false">HYPERLINK("https://mncourtfraud.com/file/MCRO_27-CR-22-13797_Finding of Incompetency and Order_2023-05-02_20251126184840.pdf","MCRO_27-CR-22-13797_Finding of Incompetency and Order_2023-05-02_20251126184840.pdf")</f>
        <v>MCRO_27-CR-22-13797_Finding of Incompetency and Order_2023-05-02_20251126184840.pdf</v>
      </c>
      <c r="H330" s="2" t="s">
        <v>351</v>
      </c>
      <c r="I330" s="7" t="str">
        <f aca="false">HYPERLINK("https://mncourtfraud.com/file/MCRO_27-CR-22-13797_Finding of Incompetency and Order_2023-05-02_20251126184840.pdf.ots","MCRO_27-CR-22-13797_Finding of Incompetency and Order_2023-05-02_20251126184840.pdf.ots")</f>
        <v>MCRO_27-CR-22-13797_Finding of Incompetency and Order_2023-05-02_20251126184840.pdf.ots</v>
      </c>
      <c r="J330" s="7" t="str">
        <f aca="false">HYPERLINK("https://mncourtfraud.com/file/MCRO_27-CR-22-13797_Finding of Incompetency and Order_2023-05-02_20251126184840_META.txt","MCRO_27-CR-22-13797_Finding of Incompetency and Order_2023-05-02_20251126184840_META.txt")</f>
        <v>MCRO_27-CR-22-13797_Finding of Incompetency and Order_2023-05-02_20251126184840_META.txt</v>
      </c>
      <c r="K330" s="7" t="str">
        <f aca="false">HYPERLINK("https://mncourtfraud.com/file/MCRO_27-CR-22-13797_Finding of Incompetency and Order_2023-05-02_20251126184840_PDFSIGS.txt","MCRO_27-CR-22-13797_Finding of Incompetency and Order_2023-05-02_20251126184840_PDFSIGS.txt")</f>
        <v>MCRO_27-CR-22-13797_Finding of Incompetency and Order_2023-05-02_20251126184840_PDFSIGS.txt</v>
      </c>
      <c r="L330" s="7" t="str">
        <f aca="false">HYPERLINK("https://mncourtfraud.com/file/MCRO_27-CR-22-13797_Finding_of_Incompetency_and_Order_2023-05-02_20251126184840.zip","MCRO_27-CR-22-13797_Finding_of_Incompetency_and_Order_2023-05-02_20251126184840.zip")</f>
        <v>MCRO_27-CR-22-13797_Finding_of_Incompetency_and_Order_2023-05-02_20251126184840.zip</v>
      </c>
    </row>
    <row r="331" customFormat="false" ht="18.7" hidden="false" customHeight="true" outlineLevel="0" collapsed="false">
      <c r="A331" s="1" t="n">
        <v>330</v>
      </c>
      <c r="B331" s="7" t="str">
        <f aca="false">HYPERLINK("https://mncourtfraud.com/file/27-CR-22-14239.pdf","27-CR-22-14239")</f>
        <v>27-CR-22-14239</v>
      </c>
      <c r="C331" s="1" t="n">
        <v>5</v>
      </c>
      <c r="D331" s="2" t="s">
        <v>267</v>
      </c>
      <c r="E331" s="8" t="n">
        <v>44837</v>
      </c>
      <c r="F331" s="2" t="s">
        <v>17</v>
      </c>
      <c r="G331" s="7" t="str">
        <f aca="false">HYPERLINK("https://mncourtfraud.com/file/MCRO_27-CR-22-14239_Returned Mail_2022-10-03_20251126165740.pdf","MCRO_27-CR-22-14239_Returned Mail_2022-10-03_20251126165740.pdf")</f>
        <v>MCRO_27-CR-22-14239_Returned Mail_2022-10-03_20251126165740.pdf</v>
      </c>
      <c r="H331" s="2" t="s">
        <v>352</v>
      </c>
      <c r="I331" s="7" t="str">
        <f aca="false">HYPERLINK("https://mncourtfraud.com/file/MCRO_27-CR-22-14239_Returned Mail_2022-10-03_20251126165740.pdf.ots","MCRO_27-CR-22-14239_Returned Mail_2022-10-03_20251126165740.pdf.ots")</f>
        <v>MCRO_27-CR-22-14239_Returned Mail_2022-10-03_20251126165740.pdf.ots</v>
      </c>
      <c r="J331" s="7" t="str">
        <f aca="false">HYPERLINK("https://mncourtfraud.com/file/MCRO_27-CR-22-14239_Returned Mail_2022-10-03_20251126165740_META.txt","MCRO_27-CR-22-14239_Returned Mail_2022-10-03_20251126165740_META.txt")</f>
        <v>MCRO_27-CR-22-14239_Returned Mail_2022-10-03_20251126165740_META.txt</v>
      </c>
      <c r="K331" s="7" t="str">
        <f aca="false">HYPERLINK("https://mncourtfraud.com/file/MCRO_27-CR-22-14239_Returned Mail_2022-10-03_20251126165740_PDFSIGS.txt","MCRO_27-CR-22-14239_Returned Mail_2022-10-03_20251126165740_PDFSIGS.txt")</f>
        <v>MCRO_27-CR-22-14239_Returned Mail_2022-10-03_20251126165740_PDFSIGS.txt</v>
      </c>
      <c r="L331" s="7" t="str">
        <f aca="false">HYPERLINK("https://mncourtfraud.com/file/MCRO_27-CR-22-14239_Returned_Mail_2022-10-03_20251126165740.zip","MCRO_27-CR-22-14239_Returned_Mail_2022-10-03_20251126165740.zip")</f>
        <v>MCRO_27-CR-22-14239_Returned_Mail_2022-10-03_20251126165740.zip</v>
      </c>
    </row>
    <row r="332" customFormat="false" ht="18.7" hidden="false" customHeight="true" outlineLevel="0" collapsed="false">
      <c r="A332" s="1" t="n">
        <v>331</v>
      </c>
      <c r="B332" s="7" t="str">
        <f aca="false">HYPERLINK("https://mncourtfraud.com/file/27-CR-22-14239.pdf","27-CR-22-14239")</f>
        <v>27-CR-22-14239</v>
      </c>
      <c r="C332" s="1" t="n">
        <v>5</v>
      </c>
      <c r="D332" s="2" t="s">
        <v>267</v>
      </c>
      <c r="E332" s="8" t="n">
        <v>44873</v>
      </c>
      <c r="F332" s="2" t="s">
        <v>15</v>
      </c>
      <c r="G332" s="7" t="str">
        <f aca="false">HYPERLINK("https://mncourtfraud.com/file/MCRO_27-CR-22-14239_Order-Evaluation for Competency to Proceed (Rule 20.01)_2022-11-08_20251126165804.pdf","MCRO_27-CR-22-14239_Order-Evaluation for Competency to Proceed (Rule 20.01)_2022-11-08_20251126165804.pdf")</f>
        <v>MCRO_27-CR-22-14239_Order-Evaluation for Competency to Proceed (Rule 20.01)_2022-11-08_20251126165804.pdf</v>
      </c>
      <c r="H332" s="2" t="s">
        <v>353</v>
      </c>
      <c r="I332" s="7" t="str">
        <f aca="false">HYPERLINK("https://mncourtfraud.com/file/MCRO_27-CR-22-14239_Order-Evaluation for Competency to Proceed (Rule 20.01)_2022-11-08_20251126165804.pdf.ots","MCRO_27-CR-22-14239_Order-Evaluation for Competency to Proceed (Rule 20.01)_2022-11-08_20251126165804.pdf.ots")</f>
        <v>MCRO_27-CR-22-14239_Order-Evaluation for Competency to Proceed (Rule 20.01)_2022-11-08_20251126165804.pdf.ots</v>
      </c>
      <c r="J332" s="7" t="str">
        <f aca="false">HYPERLINK("https://mncourtfraud.com/file/MCRO_27-CR-22-14239_Order-Evaluation for Competency to Proceed (Rule 20.01)_2022-11-08_20251126165804_META.txt","MCRO_27-CR-22-14239_Order-Evaluation for Competency to Proceed (Rule 20.01)_2022-11-08_20251126165804_META.txt")</f>
        <v>MCRO_27-CR-22-14239_Order-Evaluation for Competency to Proceed (Rule 20.01)_2022-11-08_20251126165804_META.txt</v>
      </c>
      <c r="K332" s="7" t="str">
        <f aca="false">HYPERLINK("https://mncourtfraud.com/file/MCRO_27-CR-22-14239_Order-Evaluation for Competency to Proceed (Rule 20.01)_2022-11-08_20251126165804_PDFSIGS.txt","MCRO_27-CR-22-14239_Order-Evaluation for Competency to Proceed (Rule 20.01)_2022-11-08_20251126165804_PDFSIGS.txt")</f>
        <v>MCRO_27-CR-22-14239_Order-Evaluation for Competency to Proceed (Rule 20.01)_2022-11-08_20251126165804_PDFSIGS.txt</v>
      </c>
      <c r="L332" s="7" t="str">
        <f aca="false">HYPERLINK("https://mncourtfraud.com/file/MCRO_27-CR-22-14239_Order-Evaluation_for_Competency_to_Proceed_(Rule_20.01)_2022-11-08_20251126165804.zip","MCRO_27-CR-22-14239_Order-Evaluation_for_Competency_to_Proceed_(Rule_20.01)_2022-11-08_20251126165804.zip")</f>
        <v>MCRO_27-CR-22-14239_Order-Evaluation_for_Competency_to_Proceed_(Rule_20.01)_2022-11-08_20251126165804.zip</v>
      </c>
    </row>
    <row r="333" customFormat="false" ht="18.7" hidden="false" customHeight="true" outlineLevel="0" collapsed="false">
      <c r="A333" s="1" t="n">
        <v>332</v>
      </c>
      <c r="B333" s="7" t="str">
        <f aca="false">HYPERLINK("https://mncourtfraud.com/file/27-CR-22-14239.pdf","27-CR-22-14239")</f>
        <v>27-CR-22-14239</v>
      </c>
      <c r="C333" s="1" t="n">
        <v>5</v>
      </c>
      <c r="D333" s="2" t="s">
        <v>267</v>
      </c>
      <c r="E333" s="8" t="n">
        <v>45023</v>
      </c>
      <c r="F333" s="2" t="s">
        <v>15</v>
      </c>
      <c r="G333" s="7" t="str">
        <f aca="false">HYPERLINK("https://mncourtfraud.com/file/MCRO_27-CR-22-14239_Order-Evaluation for Competency to Proceed (Rule 20.01)_2023-04-07_20251126165814.pdf","MCRO_27-CR-22-14239_Order-Evaluation for Competency to Proceed (Rule 20.01)_2023-04-07_20251126165814.pdf")</f>
        <v>MCRO_27-CR-22-14239_Order-Evaluation for Competency to Proceed (Rule 20.01)_2023-04-07_20251126165814.pdf</v>
      </c>
      <c r="H333" s="2" t="s">
        <v>354</v>
      </c>
      <c r="I333" s="7" t="str">
        <f aca="false">HYPERLINK("https://mncourtfraud.com/file/MCRO_27-CR-22-14239_Order-Evaluation for Competency to Proceed (Rule 20.01)_2023-04-07_20251126165814.pdf.ots","MCRO_27-CR-22-14239_Order-Evaluation for Competency to Proceed (Rule 20.01)_2023-04-07_20251126165814.pdf.ots")</f>
        <v>MCRO_27-CR-22-14239_Order-Evaluation for Competency to Proceed (Rule 20.01)_2023-04-07_20251126165814.pdf.ots</v>
      </c>
      <c r="J333" s="7" t="str">
        <f aca="false">HYPERLINK("https://mncourtfraud.com/file/MCRO_27-CR-22-14239_Order-Evaluation for Competency to Proceed (Rule 20.01)_2023-04-07_20251126165814_META.txt","MCRO_27-CR-22-14239_Order-Evaluation for Competency to Proceed (Rule 20.01)_2023-04-07_20251126165814_META.txt")</f>
        <v>MCRO_27-CR-22-14239_Order-Evaluation for Competency to Proceed (Rule 20.01)_2023-04-07_20251126165814_META.txt</v>
      </c>
      <c r="K333" s="7" t="str">
        <f aca="false">HYPERLINK("https://mncourtfraud.com/file/MCRO_27-CR-22-14239_Order-Evaluation for Competency to Proceed (Rule 20.01)_2023-04-07_20251126165814_PDFSIGS.txt","MCRO_27-CR-22-14239_Order-Evaluation for Competency to Proceed (Rule 20.01)_2023-04-07_20251126165814_PDFSIGS.txt")</f>
        <v>MCRO_27-CR-22-14239_Order-Evaluation for Competency to Proceed (Rule 20.01)_2023-04-07_20251126165814_PDFSIGS.txt</v>
      </c>
      <c r="L333" s="7" t="str">
        <f aca="false">HYPERLINK("https://mncourtfraud.com/file/MCRO_27-CR-22-14239_Order-Evaluation_for_Competency_to_Proceed_(Rule_20.01)_2023-04-07_20251126165814.zip","MCRO_27-CR-22-14239_Order-Evaluation_for_Competency_to_Proceed_(Rule_20.01)_2023-04-07_20251126165814.zip")</f>
        <v>MCRO_27-CR-22-14239_Order-Evaluation_for_Competency_to_Proceed_(Rule_20.01)_2023-04-07_20251126165814.zip</v>
      </c>
    </row>
    <row r="334" customFormat="false" ht="18.7" hidden="false" customHeight="true" outlineLevel="0" collapsed="false">
      <c r="A334" s="1" t="n">
        <v>333</v>
      </c>
      <c r="B334" s="7" t="str">
        <f aca="false">HYPERLINK("https://mncourtfraud.com/file/27-CR-22-14239.pdf","27-CR-22-14239")</f>
        <v>27-CR-22-14239</v>
      </c>
      <c r="C334" s="1" t="n">
        <v>5</v>
      </c>
      <c r="D334" s="2" t="s">
        <v>267</v>
      </c>
      <c r="E334" s="8" t="n">
        <v>45194</v>
      </c>
      <c r="F334" s="2" t="s">
        <v>15</v>
      </c>
      <c r="G334" s="7" t="str">
        <f aca="false">HYPERLINK("https://mncourtfraud.com/file/MCRO_27-CR-22-14239_Order-Evaluation for Competency to Proceed (Rule 20.01)_2023-09-25_20251126165753.pdf","MCRO_27-CR-22-14239_Order-Evaluation for Competency to Proceed (Rule 20.01)_2023-09-25_20251126165753.pdf")</f>
        <v>MCRO_27-CR-22-14239_Order-Evaluation for Competency to Proceed (Rule 20.01)_2023-09-25_20251126165753.pdf</v>
      </c>
      <c r="H334" s="2" t="s">
        <v>355</v>
      </c>
      <c r="I334" s="7" t="str">
        <f aca="false">HYPERLINK("https://mncourtfraud.com/file/MCRO_27-CR-22-14239_Order-Evaluation for Competency to Proceed (Rule 20.01)_2023-09-25_20251126165753.pdf.ots","MCRO_27-CR-22-14239_Order-Evaluation for Competency to Proceed (Rule 20.01)_2023-09-25_20251126165753.pdf.ots")</f>
        <v>MCRO_27-CR-22-14239_Order-Evaluation for Competency to Proceed (Rule 20.01)_2023-09-25_20251126165753.pdf.ots</v>
      </c>
      <c r="J334" s="7" t="str">
        <f aca="false">HYPERLINK("https://mncourtfraud.com/file/MCRO_27-CR-22-14239_Order-Evaluation for Competency to Proceed (Rule 20.01)_2023-09-25_20251126165753_META.txt","MCRO_27-CR-22-14239_Order-Evaluation for Competency to Proceed (Rule 20.01)_2023-09-25_20251126165753_META.txt")</f>
        <v>MCRO_27-CR-22-14239_Order-Evaluation for Competency to Proceed (Rule 20.01)_2023-09-25_20251126165753_META.txt</v>
      </c>
      <c r="K334" s="7" t="str">
        <f aca="false">HYPERLINK("https://mncourtfraud.com/file/MCRO_27-CR-22-14239_Order-Evaluation for Competency to Proceed (Rule 20.01)_2023-09-25_20251126165753_PDFSIGS.txt","MCRO_27-CR-22-14239_Order-Evaluation for Competency to Proceed (Rule 20.01)_2023-09-25_20251126165753_PDFSIGS.txt")</f>
        <v>MCRO_27-CR-22-14239_Order-Evaluation for Competency to Proceed (Rule 20.01)_2023-09-25_20251126165753_PDFSIGS.txt</v>
      </c>
      <c r="L334" s="7" t="str">
        <f aca="false">HYPERLINK("https://mncourtfraud.com/file/MCRO_27-CR-22-14239_Order-Evaluation_for_Competency_to_Proceed_(Rule_20.01)_2023-09-25_20251126165753.zip","MCRO_27-CR-22-14239_Order-Evaluation_for_Competency_to_Proceed_(Rule_20.01)_2023-09-25_20251126165753.zip")</f>
        <v>MCRO_27-CR-22-14239_Order-Evaluation_for_Competency_to_Proceed_(Rule_20.01)_2023-09-25_20251126165753.zip</v>
      </c>
    </row>
    <row r="335" customFormat="false" ht="18.7" hidden="false" customHeight="true" outlineLevel="0" collapsed="false">
      <c r="A335" s="1" t="n">
        <v>334</v>
      </c>
      <c r="B335" s="7" t="str">
        <f aca="false">HYPERLINK("https://mncourtfraud.com/file/27-CR-22-1664.pdf","27-CR-22-1664")</f>
        <v>27-CR-22-1664</v>
      </c>
      <c r="C335" s="1" t="n">
        <v>5</v>
      </c>
      <c r="D335" s="2" t="s">
        <v>267</v>
      </c>
      <c r="E335" s="8" t="n">
        <v>44733</v>
      </c>
      <c r="F335" s="2" t="s">
        <v>17</v>
      </c>
      <c r="G335" s="7" t="str">
        <f aca="false">HYPERLINK("https://mncourtfraud.com/file/MCRO_27-CR-22-1664_Returned Mail_2022-06-21_20251126170019.pdf","MCRO_27-CR-22-1664_Returned Mail_2022-06-21_20251126170019.pdf")</f>
        <v>MCRO_27-CR-22-1664_Returned Mail_2022-06-21_20251126170019.pdf</v>
      </c>
      <c r="H335" s="2" t="s">
        <v>356</v>
      </c>
      <c r="I335" s="7" t="str">
        <f aca="false">HYPERLINK("https://mncourtfraud.com/file/MCRO_27-CR-22-1664_Returned Mail_2022-06-21_20251126170019.pdf.ots","MCRO_27-CR-22-1664_Returned Mail_2022-06-21_20251126170019.pdf.ots")</f>
        <v>MCRO_27-CR-22-1664_Returned Mail_2022-06-21_20251126170019.pdf.ots</v>
      </c>
      <c r="J335" s="7" t="str">
        <f aca="false">HYPERLINK("https://mncourtfraud.com/file/MCRO_27-CR-22-1664_Returned Mail_2022-06-21_20251126170019_META.txt","MCRO_27-CR-22-1664_Returned Mail_2022-06-21_20251126170019_META.txt")</f>
        <v>MCRO_27-CR-22-1664_Returned Mail_2022-06-21_20251126170019_META.txt</v>
      </c>
      <c r="K335" s="7" t="str">
        <f aca="false">HYPERLINK("https://mncourtfraud.com/file/MCRO_27-CR-22-1664_Returned Mail_2022-06-21_20251126170019_PDFSIGS.txt","MCRO_27-CR-22-1664_Returned Mail_2022-06-21_20251126170019_PDFSIGS.txt")</f>
        <v>MCRO_27-CR-22-1664_Returned Mail_2022-06-21_20251126170019_PDFSIGS.txt</v>
      </c>
      <c r="L335" s="7" t="str">
        <f aca="false">HYPERLINK("https://mncourtfraud.com/file/MCRO_27-CR-22-1664_Returned_Mail_2022-06-21_20251126170019.zip","MCRO_27-CR-22-1664_Returned_Mail_2022-06-21_20251126170019.zip")</f>
        <v>MCRO_27-CR-22-1664_Returned_Mail_2022-06-21_20251126170019.zip</v>
      </c>
    </row>
    <row r="336" customFormat="false" ht="18.7" hidden="false" customHeight="true" outlineLevel="0" collapsed="false">
      <c r="A336" s="1" t="n">
        <v>335</v>
      </c>
      <c r="B336" s="7" t="str">
        <f aca="false">HYPERLINK("https://mncourtfraud.com/file/27-CR-22-1664.pdf","27-CR-22-1664")</f>
        <v>27-CR-22-1664</v>
      </c>
      <c r="C336" s="1" t="n">
        <v>5</v>
      </c>
      <c r="D336" s="2" t="s">
        <v>267</v>
      </c>
      <c r="E336" s="8" t="n">
        <v>44733</v>
      </c>
      <c r="F336" s="2" t="s">
        <v>17</v>
      </c>
      <c r="G336" s="7" t="str">
        <f aca="false">HYPERLINK("https://mncourtfraud.com/file/MCRO_27-CR-22-1664_Returned Mail_2022-06-21_20251126170027.pdf","MCRO_27-CR-22-1664_Returned Mail_2022-06-21_20251126170027.pdf")</f>
        <v>MCRO_27-CR-22-1664_Returned Mail_2022-06-21_20251126170027.pdf</v>
      </c>
      <c r="H336" s="2" t="s">
        <v>357</v>
      </c>
      <c r="I336" s="7" t="str">
        <f aca="false">HYPERLINK("https://mncourtfraud.com/file/MCRO_27-CR-22-1664_Returned Mail_2022-06-21_20251126170027.pdf.ots","MCRO_27-CR-22-1664_Returned Mail_2022-06-21_20251126170027.pdf.ots")</f>
        <v>MCRO_27-CR-22-1664_Returned Mail_2022-06-21_20251126170027.pdf.ots</v>
      </c>
      <c r="J336" s="7" t="str">
        <f aca="false">HYPERLINK("https://mncourtfraud.com/file/MCRO_27-CR-22-1664_Returned Mail_2022-06-21_20251126170027_META.txt","MCRO_27-CR-22-1664_Returned Mail_2022-06-21_20251126170027_META.txt")</f>
        <v>MCRO_27-CR-22-1664_Returned Mail_2022-06-21_20251126170027_META.txt</v>
      </c>
      <c r="K336" s="7" t="str">
        <f aca="false">HYPERLINK("https://mncourtfraud.com/file/MCRO_27-CR-22-1664_Returned Mail_2022-06-21_20251126170027_PDFSIGS.txt","MCRO_27-CR-22-1664_Returned Mail_2022-06-21_20251126170027_PDFSIGS.txt")</f>
        <v>MCRO_27-CR-22-1664_Returned Mail_2022-06-21_20251126170027_PDFSIGS.txt</v>
      </c>
      <c r="L336" s="7" t="str">
        <f aca="false">HYPERLINK("https://mncourtfraud.com/file/MCRO_27-CR-22-1664_Returned_Mail_2022-06-21_20251126170027.zip","MCRO_27-CR-22-1664_Returned_Mail_2022-06-21_20251126170027.zip")</f>
        <v>MCRO_27-CR-22-1664_Returned_Mail_2022-06-21_20251126170027.zip</v>
      </c>
    </row>
    <row r="337" customFormat="false" ht="18.7" hidden="false" customHeight="true" outlineLevel="0" collapsed="false">
      <c r="A337" s="1" t="n">
        <v>336</v>
      </c>
      <c r="B337" s="7" t="str">
        <f aca="false">HYPERLINK("https://mncourtfraud.com/file/27-CR-22-1664.pdf","27-CR-22-1664")</f>
        <v>27-CR-22-1664</v>
      </c>
      <c r="C337" s="1" t="n">
        <v>5</v>
      </c>
      <c r="D337" s="2" t="s">
        <v>267</v>
      </c>
      <c r="E337" s="8" t="n">
        <v>44733</v>
      </c>
      <c r="F337" s="2" t="s">
        <v>17</v>
      </c>
      <c r="G337" s="7" t="str">
        <f aca="false">HYPERLINK("https://mncourtfraud.com/file/MCRO_27-CR-22-1664_Returned Mail_2022-06-21_20251126170031.pdf","MCRO_27-CR-22-1664_Returned Mail_2022-06-21_20251126170031.pdf")</f>
        <v>MCRO_27-CR-22-1664_Returned Mail_2022-06-21_20251126170031.pdf</v>
      </c>
      <c r="H337" s="2" t="s">
        <v>358</v>
      </c>
      <c r="I337" s="7" t="str">
        <f aca="false">HYPERLINK("https://mncourtfraud.com/file/MCRO_27-CR-22-1664_Returned Mail_2022-06-21_20251126170031.pdf.ots","MCRO_27-CR-22-1664_Returned Mail_2022-06-21_20251126170031.pdf.ots")</f>
        <v>MCRO_27-CR-22-1664_Returned Mail_2022-06-21_20251126170031.pdf.ots</v>
      </c>
      <c r="J337" s="7" t="str">
        <f aca="false">HYPERLINK("https://mncourtfraud.com/file/MCRO_27-CR-22-1664_Returned Mail_2022-06-21_20251126170031_META.txt","MCRO_27-CR-22-1664_Returned Mail_2022-06-21_20251126170031_META.txt")</f>
        <v>MCRO_27-CR-22-1664_Returned Mail_2022-06-21_20251126170031_META.txt</v>
      </c>
      <c r="K337" s="7" t="str">
        <f aca="false">HYPERLINK("https://mncourtfraud.com/file/MCRO_27-CR-22-1664_Returned Mail_2022-06-21_20251126170031_PDFSIGS.txt","MCRO_27-CR-22-1664_Returned Mail_2022-06-21_20251126170031_PDFSIGS.txt")</f>
        <v>MCRO_27-CR-22-1664_Returned Mail_2022-06-21_20251126170031_PDFSIGS.txt</v>
      </c>
      <c r="L337" s="7" t="str">
        <f aca="false">HYPERLINK("https://mncourtfraud.com/file/MCRO_27-CR-22-1664_Returned_Mail_2022-06-21_20251126170031.zip","MCRO_27-CR-22-1664_Returned_Mail_2022-06-21_20251126170031.zip")</f>
        <v>MCRO_27-CR-22-1664_Returned_Mail_2022-06-21_20251126170031.zip</v>
      </c>
    </row>
    <row r="338" customFormat="false" ht="18.7" hidden="false" customHeight="true" outlineLevel="0" collapsed="false">
      <c r="A338" s="1" t="n">
        <v>337</v>
      </c>
      <c r="B338" s="7" t="str">
        <f aca="false">HYPERLINK("https://mncourtfraud.com/file/27-CR-22-1664.pdf","27-CR-22-1664")</f>
        <v>27-CR-22-1664</v>
      </c>
      <c r="C338" s="1" t="n">
        <v>5</v>
      </c>
      <c r="D338" s="2" t="s">
        <v>267</v>
      </c>
      <c r="E338" s="8" t="n">
        <v>44837</v>
      </c>
      <c r="F338" s="2" t="s">
        <v>17</v>
      </c>
      <c r="G338" s="7" t="str">
        <f aca="false">HYPERLINK("https://mncourtfraud.com/file/MCRO_27-CR-22-1664_Returned Mail_2022-10-03_20251126165936.pdf","MCRO_27-CR-22-1664_Returned Mail_2022-10-03_20251126165936.pdf")</f>
        <v>MCRO_27-CR-22-1664_Returned Mail_2022-10-03_20251126165936.pdf</v>
      </c>
      <c r="H338" s="2" t="s">
        <v>359</v>
      </c>
      <c r="I338" s="7" t="str">
        <f aca="false">HYPERLINK("https://mncourtfraud.com/file/MCRO_27-CR-22-1664_Returned Mail_2022-10-03_20251126165936.pdf.ots","MCRO_27-CR-22-1664_Returned Mail_2022-10-03_20251126165936.pdf.ots")</f>
        <v>MCRO_27-CR-22-1664_Returned Mail_2022-10-03_20251126165936.pdf.ots</v>
      </c>
      <c r="J338" s="7" t="str">
        <f aca="false">HYPERLINK("https://mncourtfraud.com/file/MCRO_27-CR-22-1664_Returned Mail_2022-10-03_20251126165936_META.txt","MCRO_27-CR-22-1664_Returned Mail_2022-10-03_20251126165936_META.txt")</f>
        <v>MCRO_27-CR-22-1664_Returned Mail_2022-10-03_20251126165936_META.txt</v>
      </c>
      <c r="K338" s="7" t="str">
        <f aca="false">HYPERLINK("https://mncourtfraud.com/file/MCRO_27-CR-22-1664_Returned Mail_2022-10-03_20251126165936_PDFSIGS.txt","MCRO_27-CR-22-1664_Returned Mail_2022-10-03_20251126165936_PDFSIGS.txt")</f>
        <v>MCRO_27-CR-22-1664_Returned Mail_2022-10-03_20251126165936_PDFSIGS.txt</v>
      </c>
      <c r="L338" s="7" t="str">
        <f aca="false">HYPERLINK("https://mncourtfraud.com/file/MCRO_27-CR-22-1664_Returned_Mail_2022-10-03_20251126165936.zip","MCRO_27-CR-22-1664_Returned_Mail_2022-10-03_20251126165936.zip")</f>
        <v>MCRO_27-CR-22-1664_Returned_Mail_2022-10-03_20251126165936.zip</v>
      </c>
    </row>
    <row r="339" customFormat="false" ht="18.7" hidden="false" customHeight="true" outlineLevel="0" collapsed="false">
      <c r="A339" s="1" t="n">
        <v>338</v>
      </c>
      <c r="B339" s="7" t="str">
        <f aca="false">HYPERLINK("https://mncourtfraud.com/file/27-CR-22-1664.pdf","27-CR-22-1664")</f>
        <v>27-CR-22-1664</v>
      </c>
      <c r="C339" s="1" t="n">
        <v>5</v>
      </c>
      <c r="D339" s="2" t="s">
        <v>267</v>
      </c>
      <c r="E339" s="8" t="n">
        <v>44873</v>
      </c>
      <c r="F339" s="2" t="s">
        <v>15</v>
      </c>
      <c r="G339" s="7" t="str">
        <f aca="false">HYPERLINK("https://mncourtfraud.com/file/MCRO_27-CR-22-1664_Order-Evaluation for Competency to Proceed (Rule 20.01)_2022-11-08_20251126165858.pdf","MCRO_27-CR-22-1664_Order-Evaluation for Competency to Proceed (Rule 20.01)_2022-11-08_20251126165858.pdf")</f>
        <v>MCRO_27-CR-22-1664_Order-Evaluation for Competency to Proceed (Rule 20.01)_2022-11-08_20251126165858.pdf</v>
      </c>
      <c r="H339" s="2" t="s">
        <v>360</v>
      </c>
      <c r="I339" s="7" t="str">
        <f aca="false">HYPERLINK("https://mncourtfraud.com/file/MCRO_27-CR-22-1664_Order-Evaluation for Competency to Proceed (Rule 20.01)_2022-11-08_20251126165858.pdf.ots","MCRO_27-CR-22-1664_Order-Evaluation for Competency to Proceed (Rule 20.01)_2022-11-08_20251126165858.pdf.ots")</f>
        <v>MCRO_27-CR-22-1664_Order-Evaluation for Competency to Proceed (Rule 20.01)_2022-11-08_20251126165858.pdf.ots</v>
      </c>
      <c r="J339" s="7" t="str">
        <f aca="false">HYPERLINK("https://mncourtfraud.com/file/MCRO_27-CR-22-1664_Order-Evaluation for Competency to Proceed (Rule 20.01)_2022-11-08_20251126165858_META.txt","MCRO_27-CR-22-1664_Order-Evaluation for Competency to Proceed (Rule 20.01)_2022-11-08_20251126165858_META.txt")</f>
        <v>MCRO_27-CR-22-1664_Order-Evaluation for Competency to Proceed (Rule 20.01)_2022-11-08_20251126165858_META.txt</v>
      </c>
      <c r="K339" s="7" t="str">
        <f aca="false">HYPERLINK("https://mncourtfraud.com/file/MCRO_27-CR-22-1664_Order-Evaluation for Competency to Proceed (Rule 20.01)_2022-11-08_20251126165858_PDFSIGS.txt","MCRO_27-CR-22-1664_Order-Evaluation for Competency to Proceed (Rule 20.01)_2022-11-08_20251126165858_PDFSIGS.txt")</f>
        <v>MCRO_27-CR-22-1664_Order-Evaluation for Competency to Proceed (Rule 20.01)_2022-11-08_20251126165858_PDFSIGS.txt</v>
      </c>
      <c r="L339" s="7" t="str">
        <f aca="false">HYPERLINK("https://mncourtfraud.com/file/MCRO_27-CR-22-1664_Order-Evaluation_for_Competency_to_Proceed_(Rule_20.01)_2022-11-08_20251126165858.zip","MCRO_27-CR-22-1664_Order-Evaluation_for_Competency_to_Proceed_(Rule_20.01)_2022-11-08_20251126165858.zip")</f>
        <v>MCRO_27-CR-22-1664_Order-Evaluation_for_Competency_to_Proceed_(Rule_20.01)_2022-11-08_20251126165858.zip</v>
      </c>
    </row>
    <row r="340" customFormat="false" ht="18.7" hidden="false" customHeight="true" outlineLevel="0" collapsed="false">
      <c r="A340" s="1" t="n">
        <v>339</v>
      </c>
      <c r="B340" s="7" t="str">
        <f aca="false">HYPERLINK("https://mncourtfraud.com/file/27-CR-22-1664.pdf","27-CR-22-1664")</f>
        <v>27-CR-22-1664</v>
      </c>
      <c r="C340" s="1" t="n">
        <v>5</v>
      </c>
      <c r="D340" s="2" t="s">
        <v>267</v>
      </c>
      <c r="E340" s="8" t="n">
        <v>45023</v>
      </c>
      <c r="F340" s="2" t="s">
        <v>15</v>
      </c>
      <c r="G340" s="7" t="str">
        <f aca="false">HYPERLINK("https://mncourtfraud.com/file/MCRO_27-CR-22-1664_Order-Evaluation for Competency to Proceed (Rule 20.01)_2023-04-07_20251126165909.pdf","MCRO_27-CR-22-1664_Order-Evaluation for Competency to Proceed (Rule 20.01)_2023-04-07_20251126165909.pdf")</f>
        <v>MCRO_27-CR-22-1664_Order-Evaluation for Competency to Proceed (Rule 20.01)_2023-04-07_20251126165909.pdf</v>
      </c>
      <c r="H340" s="2" t="s">
        <v>361</v>
      </c>
      <c r="I340" s="7" t="str">
        <f aca="false">HYPERLINK("https://mncourtfraud.com/file/MCRO_27-CR-22-1664_Order-Evaluation for Competency to Proceed (Rule 20.01)_2023-04-07_20251126165909.pdf.ots","MCRO_27-CR-22-1664_Order-Evaluation for Competency to Proceed (Rule 20.01)_2023-04-07_20251126165909.pdf.ots")</f>
        <v>MCRO_27-CR-22-1664_Order-Evaluation for Competency to Proceed (Rule 20.01)_2023-04-07_20251126165909.pdf.ots</v>
      </c>
      <c r="J340" s="7" t="str">
        <f aca="false">HYPERLINK("https://mncourtfraud.com/file/MCRO_27-CR-22-1664_Order-Evaluation for Competency to Proceed (Rule 20.01)_2023-04-07_20251126165909_META.txt","MCRO_27-CR-22-1664_Order-Evaluation for Competency to Proceed (Rule 20.01)_2023-04-07_20251126165909_META.txt")</f>
        <v>MCRO_27-CR-22-1664_Order-Evaluation for Competency to Proceed (Rule 20.01)_2023-04-07_20251126165909_META.txt</v>
      </c>
      <c r="K340" s="7" t="str">
        <f aca="false">HYPERLINK("https://mncourtfraud.com/file/MCRO_27-CR-22-1664_Order-Evaluation for Competency to Proceed (Rule 20.01)_2023-04-07_20251126165909_PDFSIGS.txt","MCRO_27-CR-22-1664_Order-Evaluation for Competency to Proceed (Rule 20.01)_2023-04-07_20251126165909_PDFSIGS.txt")</f>
        <v>MCRO_27-CR-22-1664_Order-Evaluation for Competency to Proceed (Rule 20.01)_2023-04-07_20251126165909_PDFSIGS.txt</v>
      </c>
      <c r="L340" s="7" t="str">
        <f aca="false">HYPERLINK("https://mncourtfraud.com/file/MCRO_27-CR-22-1664_Order-Evaluation_for_Competency_to_Proceed_(Rule_20.01)_2023-04-07_20251126165909.zip","MCRO_27-CR-22-1664_Order-Evaluation_for_Competency_to_Proceed_(Rule_20.01)_2023-04-07_20251126165909.zip")</f>
        <v>MCRO_27-CR-22-1664_Order-Evaluation_for_Competency_to_Proceed_(Rule_20.01)_2023-04-07_20251126165909.zip</v>
      </c>
    </row>
    <row r="341" customFormat="false" ht="18.7" hidden="false" customHeight="true" outlineLevel="0" collapsed="false">
      <c r="A341" s="1" t="n">
        <v>340</v>
      </c>
      <c r="B341" s="7" t="str">
        <f aca="false">HYPERLINK("https://mncourtfraud.com/file/27-CR-22-1664.pdf","27-CR-22-1664")</f>
        <v>27-CR-22-1664</v>
      </c>
      <c r="C341" s="1" t="n">
        <v>5</v>
      </c>
      <c r="D341" s="2" t="s">
        <v>267</v>
      </c>
      <c r="E341" s="8" t="n">
        <v>45194</v>
      </c>
      <c r="F341" s="2" t="s">
        <v>15</v>
      </c>
      <c r="G341" s="7" t="str">
        <f aca="false">HYPERLINK("https://mncourtfraud.com/file/MCRO_27-CR-22-1664_Order-Evaluation for Competency to Proceed (Rule 20.01)_2023-09-25_20251126165920.pdf","MCRO_27-CR-22-1664_Order-Evaluation for Competency to Proceed (Rule 20.01)_2023-09-25_20251126165920.pdf")</f>
        <v>MCRO_27-CR-22-1664_Order-Evaluation for Competency to Proceed (Rule 20.01)_2023-09-25_20251126165920.pdf</v>
      </c>
      <c r="H341" s="2" t="s">
        <v>362</v>
      </c>
      <c r="I341" s="7" t="str">
        <f aca="false">HYPERLINK("https://mncourtfraud.com/file/MCRO_27-CR-22-1664_Order-Evaluation for Competency to Proceed (Rule 20.01)_2023-09-25_20251126165920.pdf.ots","MCRO_27-CR-22-1664_Order-Evaluation for Competency to Proceed (Rule 20.01)_2023-09-25_20251126165920.pdf.ots")</f>
        <v>MCRO_27-CR-22-1664_Order-Evaluation for Competency to Proceed (Rule 20.01)_2023-09-25_20251126165920.pdf.ots</v>
      </c>
      <c r="J341" s="7" t="str">
        <f aca="false">HYPERLINK("https://mncourtfraud.com/file/MCRO_27-CR-22-1664_Order-Evaluation for Competency to Proceed (Rule 20.01)_2023-09-25_20251126165920_META.txt","MCRO_27-CR-22-1664_Order-Evaluation for Competency to Proceed (Rule 20.01)_2023-09-25_20251126165920_META.txt")</f>
        <v>MCRO_27-CR-22-1664_Order-Evaluation for Competency to Proceed (Rule 20.01)_2023-09-25_20251126165920_META.txt</v>
      </c>
      <c r="K341" s="7" t="str">
        <f aca="false">HYPERLINK("https://mncourtfraud.com/file/MCRO_27-CR-22-1664_Order-Evaluation for Competency to Proceed (Rule 20.01)_2023-09-25_20251126165920_PDFSIGS.txt","MCRO_27-CR-22-1664_Order-Evaluation for Competency to Proceed (Rule 20.01)_2023-09-25_20251126165920_PDFSIGS.txt")</f>
        <v>MCRO_27-CR-22-1664_Order-Evaluation for Competency to Proceed (Rule 20.01)_2023-09-25_20251126165920_PDFSIGS.txt</v>
      </c>
      <c r="L341" s="7" t="str">
        <f aca="false">HYPERLINK("https://mncourtfraud.com/file/MCRO_27-CR-22-1664_Order-Evaluation_for_Competency_to_Proceed_(Rule_20.01)_2023-09-25_20251126165920.zip","MCRO_27-CR-22-1664_Order-Evaluation_for_Competency_to_Proceed_(Rule_20.01)_2023-09-25_20251126165920.zip")</f>
        <v>MCRO_27-CR-22-1664_Order-Evaluation_for_Competency_to_Proceed_(Rule_20.01)_2023-09-25_20251126165920.zip</v>
      </c>
    </row>
    <row r="342" customFormat="false" ht="18.7" hidden="false" customHeight="true" outlineLevel="0" collapsed="false">
      <c r="A342" s="1" t="n">
        <v>341</v>
      </c>
      <c r="B342" s="7" t="str">
        <f aca="false">HYPERLINK("https://mncourtfraud.com/file/27-CR-22-18472.pdf","27-CR-22-18472")</f>
        <v>27-CR-22-18472</v>
      </c>
      <c r="C342" s="1" t="n">
        <v>5</v>
      </c>
      <c r="D342" s="2" t="s">
        <v>267</v>
      </c>
      <c r="E342" s="8" t="n">
        <v>44873</v>
      </c>
      <c r="F342" s="2" t="s">
        <v>15</v>
      </c>
      <c r="G342" s="7" t="str">
        <f aca="false">HYPERLINK("https://mncourtfraud.com/file/MCRO_27-CR-22-18472_Order-Evaluation for Competency to Proceed (Rule 20.01)_2022-11-08_20251126170119.pdf","MCRO_27-CR-22-18472_Order-Evaluation for Competency to Proceed (Rule 20.01)_2022-11-08_20251126170119.pdf")</f>
        <v>MCRO_27-CR-22-18472_Order-Evaluation for Competency to Proceed (Rule 20.01)_2022-11-08_20251126170119.pdf</v>
      </c>
      <c r="H342" s="2" t="s">
        <v>363</v>
      </c>
      <c r="I342" s="7" t="str">
        <f aca="false">HYPERLINK("https://mncourtfraud.com/file/MCRO_27-CR-22-18472_Order-Evaluation for Competency to Proceed (Rule 20.01)_2022-11-08_20251126170119.pdf.ots","MCRO_27-CR-22-18472_Order-Evaluation for Competency to Proceed (Rule 20.01)_2022-11-08_20251126170119.pdf.ots")</f>
        <v>MCRO_27-CR-22-18472_Order-Evaluation for Competency to Proceed (Rule 20.01)_2022-11-08_20251126170119.pdf.ots</v>
      </c>
      <c r="J342" s="7" t="str">
        <f aca="false">HYPERLINK("https://mncourtfraud.com/file/MCRO_27-CR-22-18472_Order-Evaluation for Competency to Proceed (Rule 20.01)_2022-11-08_20251126170119_META.txt","MCRO_27-CR-22-18472_Order-Evaluation for Competency to Proceed (Rule 20.01)_2022-11-08_20251126170119_META.txt")</f>
        <v>MCRO_27-CR-22-18472_Order-Evaluation for Competency to Proceed (Rule 20.01)_2022-11-08_20251126170119_META.txt</v>
      </c>
      <c r="K342" s="7" t="str">
        <f aca="false">HYPERLINK("https://mncourtfraud.com/file/MCRO_27-CR-22-18472_Order-Evaluation for Competency to Proceed (Rule 20.01)_2022-11-08_20251126170119_PDFSIGS.txt","MCRO_27-CR-22-18472_Order-Evaluation for Competency to Proceed (Rule 20.01)_2022-11-08_20251126170119_PDFSIGS.txt")</f>
        <v>MCRO_27-CR-22-18472_Order-Evaluation for Competency to Proceed (Rule 20.01)_2022-11-08_20251126170119_PDFSIGS.txt</v>
      </c>
      <c r="L342" s="7" t="str">
        <f aca="false">HYPERLINK("https://mncourtfraud.com/file/MCRO_27-CR-22-18472_Order-Evaluation_for_Competency_to_Proceed_(Rule_20.01)_2022-11-08_20251126170119.zip","MCRO_27-CR-22-18472_Order-Evaluation_for_Competency_to_Proceed_(Rule_20.01)_2022-11-08_20251126170119.zip")</f>
        <v>MCRO_27-CR-22-18472_Order-Evaluation_for_Competency_to_Proceed_(Rule_20.01)_2022-11-08_20251126170119.zip</v>
      </c>
    </row>
    <row r="343" customFormat="false" ht="18.7" hidden="false" customHeight="true" outlineLevel="0" collapsed="false">
      <c r="A343" s="1" t="n">
        <v>342</v>
      </c>
      <c r="B343" s="7" t="str">
        <f aca="false">HYPERLINK("https://mncourtfraud.com/file/27-CR-22-18472.pdf","27-CR-22-18472")</f>
        <v>27-CR-22-18472</v>
      </c>
      <c r="C343" s="1" t="n">
        <v>5</v>
      </c>
      <c r="D343" s="2" t="s">
        <v>267</v>
      </c>
      <c r="E343" s="8" t="n">
        <v>45023</v>
      </c>
      <c r="F343" s="2" t="s">
        <v>15</v>
      </c>
      <c r="G343" s="7" t="str">
        <f aca="false">HYPERLINK("https://mncourtfraud.com/file/MCRO_27-CR-22-18472_Order-Evaluation for Competency to Proceed (Rule 20.01)_2023-04-07_20251126170128.pdf","MCRO_27-CR-22-18472_Order-Evaluation for Competency to Proceed (Rule 20.01)_2023-04-07_20251126170128.pdf")</f>
        <v>MCRO_27-CR-22-18472_Order-Evaluation for Competency to Proceed (Rule 20.01)_2023-04-07_20251126170128.pdf</v>
      </c>
      <c r="H343" s="2" t="s">
        <v>364</v>
      </c>
      <c r="I343" s="7" t="str">
        <f aca="false">HYPERLINK("https://mncourtfraud.com/file/MCRO_27-CR-22-18472_Order-Evaluation for Competency to Proceed (Rule 20.01)_2023-04-07_20251126170128.pdf.ots","MCRO_27-CR-22-18472_Order-Evaluation for Competency to Proceed (Rule 20.01)_2023-04-07_20251126170128.pdf.ots")</f>
        <v>MCRO_27-CR-22-18472_Order-Evaluation for Competency to Proceed (Rule 20.01)_2023-04-07_20251126170128.pdf.ots</v>
      </c>
      <c r="J343" s="7" t="str">
        <f aca="false">HYPERLINK("https://mncourtfraud.com/file/MCRO_27-CR-22-18472_Order-Evaluation for Competency to Proceed (Rule 20.01)_2023-04-07_20251126170128_META.txt","MCRO_27-CR-22-18472_Order-Evaluation for Competency to Proceed (Rule 20.01)_2023-04-07_20251126170128_META.txt")</f>
        <v>MCRO_27-CR-22-18472_Order-Evaluation for Competency to Proceed (Rule 20.01)_2023-04-07_20251126170128_META.txt</v>
      </c>
      <c r="K343" s="7" t="str">
        <f aca="false">HYPERLINK("https://mncourtfraud.com/file/MCRO_27-CR-22-18472_Order-Evaluation for Competency to Proceed (Rule 20.01)_2023-04-07_20251126170128_PDFSIGS.txt","MCRO_27-CR-22-18472_Order-Evaluation for Competency to Proceed (Rule 20.01)_2023-04-07_20251126170128_PDFSIGS.txt")</f>
        <v>MCRO_27-CR-22-18472_Order-Evaluation for Competency to Proceed (Rule 20.01)_2023-04-07_20251126170128_PDFSIGS.txt</v>
      </c>
      <c r="L343" s="7" t="str">
        <f aca="false">HYPERLINK("https://mncourtfraud.com/file/MCRO_27-CR-22-18472_Order-Evaluation_for_Competency_to_Proceed_(Rule_20.01)_2023-04-07_20251126170128.zip","MCRO_27-CR-22-18472_Order-Evaluation_for_Competency_to_Proceed_(Rule_20.01)_2023-04-07_20251126170128.zip")</f>
        <v>MCRO_27-CR-22-18472_Order-Evaluation_for_Competency_to_Proceed_(Rule_20.01)_2023-04-07_20251126170128.zip</v>
      </c>
    </row>
    <row r="344" customFormat="false" ht="18.7" hidden="false" customHeight="true" outlineLevel="0" collapsed="false">
      <c r="A344" s="1" t="n">
        <v>343</v>
      </c>
      <c r="B344" s="7" t="str">
        <f aca="false">HYPERLINK("https://mncourtfraud.com/file/27-CR-22-18472.pdf","27-CR-22-18472")</f>
        <v>27-CR-22-18472</v>
      </c>
      <c r="C344" s="1" t="n">
        <v>5</v>
      </c>
      <c r="D344" s="2" t="s">
        <v>267</v>
      </c>
      <c r="E344" s="8" t="n">
        <v>45194</v>
      </c>
      <c r="F344" s="2" t="s">
        <v>15</v>
      </c>
      <c r="G344" s="7" t="str">
        <f aca="false">HYPERLINK("https://mncourtfraud.com/file/MCRO_27-CR-22-18472_Order-Evaluation for Competency to Proceed (Rule 20.01)_2023-09-25_20251126170110.pdf","MCRO_27-CR-22-18472_Order-Evaluation for Competency to Proceed (Rule 20.01)_2023-09-25_20251126170110.pdf")</f>
        <v>MCRO_27-CR-22-18472_Order-Evaluation for Competency to Proceed (Rule 20.01)_2023-09-25_20251126170110.pdf</v>
      </c>
      <c r="H344" s="2" t="s">
        <v>365</v>
      </c>
      <c r="I344" s="7" t="str">
        <f aca="false">HYPERLINK("https://mncourtfraud.com/file/MCRO_27-CR-22-18472_Order-Evaluation for Competency to Proceed (Rule 20.01)_2023-09-25_20251126170110.pdf.ots","MCRO_27-CR-22-18472_Order-Evaluation for Competency to Proceed (Rule 20.01)_2023-09-25_20251126170110.pdf.ots")</f>
        <v>MCRO_27-CR-22-18472_Order-Evaluation for Competency to Proceed (Rule 20.01)_2023-09-25_20251126170110.pdf.ots</v>
      </c>
      <c r="J344" s="7" t="str">
        <f aca="false">HYPERLINK("https://mncourtfraud.com/file/MCRO_27-CR-22-18472_Order-Evaluation for Competency to Proceed (Rule 20.01)_2023-09-25_20251126170110_META.txt","MCRO_27-CR-22-18472_Order-Evaluation for Competency to Proceed (Rule 20.01)_2023-09-25_20251126170110_META.txt")</f>
        <v>MCRO_27-CR-22-18472_Order-Evaluation for Competency to Proceed (Rule 20.01)_2023-09-25_20251126170110_META.txt</v>
      </c>
      <c r="K344" s="7" t="str">
        <f aca="false">HYPERLINK("https://mncourtfraud.com/file/MCRO_27-CR-22-18472_Order-Evaluation for Competency to Proceed (Rule 20.01)_2023-09-25_20251126170110_PDFSIGS.txt","MCRO_27-CR-22-18472_Order-Evaluation for Competency to Proceed (Rule 20.01)_2023-09-25_20251126170110_PDFSIGS.txt")</f>
        <v>MCRO_27-CR-22-18472_Order-Evaluation for Competency to Proceed (Rule 20.01)_2023-09-25_20251126170110_PDFSIGS.txt</v>
      </c>
      <c r="L344" s="7" t="str">
        <f aca="false">HYPERLINK("https://mncourtfraud.com/file/MCRO_27-CR-22-18472_Order-Evaluation_for_Competency_to_Proceed_(Rule_20.01)_2023-09-25_20251126170110.zip","MCRO_27-CR-22-18472_Order-Evaluation_for_Competency_to_Proceed_(Rule_20.01)_2023-09-25_20251126170110.zip")</f>
        <v>MCRO_27-CR-22-18472_Order-Evaluation_for_Competency_to_Proceed_(Rule_20.01)_2023-09-25_20251126170110.zip</v>
      </c>
    </row>
    <row r="345" customFormat="false" ht="18.7" hidden="false" customHeight="true" outlineLevel="0" collapsed="false">
      <c r="A345" s="1" t="n">
        <v>344</v>
      </c>
      <c r="B345" s="7" t="str">
        <f aca="false">HYPERLINK("https://mncourtfraud.com/file/27-CR-22-2444.pdf","27-CR-22-2444")</f>
        <v>27-CR-22-2444</v>
      </c>
      <c r="C345" s="1" t="n">
        <v>5</v>
      </c>
      <c r="D345" s="2" t="s">
        <v>267</v>
      </c>
      <c r="E345" s="8" t="n">
        <v>44733</v>
      </c>
      <c r="F345" s="2" t="s">
        <v>17</v>
      </c>
      <c r="G345" s="7" t="str">
        <f aca="false">HYPERLINK("https://mncourtfraud.com/file/MCRO_27-CR-22-2444_Returned Mail_2022-06-21_20251126170235.pdf","MCRO_27-CR-22-2444_Returned Mail_2022-06-21_20251126170235.pdf")</f>
        <v>MCRO_27-CR-22-2444_Returned Mail_2022-06-21_20251126170235.pdf</v>
      </c>
      <c r="H345" s="2" t="s">
        <v>366</v>
      </c>
      <c r="I345" s="7" t="str">
        <f aca="false">HYPERLINK("https://mncourtfraud.com/file/MCRO_27-CR-22-2444_Returned Mail_2022-06-21_20251126170235.pdf.ots","MCRO_27-CR-22-2444_Returned Mail_2022-06-21_20251126170235.pdf.ots")</f>
        <v>MCRO_27-CR-22-2444_Returned Mail_2022-06-21_20251126170235.pdf.ots</v>
      </c>
      <c r="J345" s="7" t="str">
        <f aca="false">HYPERLINK("https://mncourtfraud.com/file/MCRO_27-CR-22-2444_Returned Mail_2022-06-21_20251126170235_META.txt","MCRO_27-CR-22-2444_Returned Mail_2022-06-21_20251126170235_META.txt")</f>
        <v>MCRO_27-CR-22-2444_Returned Mail_2022-06-21_20251126170235_META.txt</v>
      </c>
      <c r="K345" s="7" t="str">
        <f aca="false">HYPERLINK("https://mncourtfraud.com/file/MCRO_27-CR-22-2444_Returned Mail_2022-06-21_20251126170235_PDFSIGS.txt","MCRO_27-CR-22-2444_Returned Mail_2022-06-21_20251126170235_PDFSIGS.txt")</f>
        <v>MCRO_27-CR-22-2444_Returned Mail_2022-06-21_20251126170235_PDFSIGS.txt</v>
      </c>
      <c r="L345" s="7" t="str">
        <f aca="false">HYPERLINK("https://mncourtfraud.com/file/MCRO_27-CR-22-2444_Returned_Mail_2022-06-21_20251126170235.zip","MCRO_27-CR-22-2444_Returned_Mail_2022-06-21_20251126170235.zip")</f>
        <v>MCRO_27-CR-22-2444_Returned_Mail_2022-06-21_20251126170235.zip</v>
      </c>
    </row>
    <row r="346" customFormat="false" ht="18.7" hidden="false" customHeight="true" outlineLevel="0" collapsed="false">
      <c r="A346" s="1" t="n">
        <v>345</v>
      </c>
      <c r="B346" s="7" t="str">
        <f aca="false">HYPERLINK("https://mncourtfraud.com/file/27-CR-22-2444.pdf","27-CR-22-2444")</f>
        <v>27-CR-22-2444</v>
      </c>
      <c r="C346" s="1" t="n">
        <v>5</v>
      </c>
      <c r="D346" s="2" t="s">
        <v>267</v>
      </c>
      <c r="E346" s="8" t="n">
        <v>44837</v>
      </c>
      <c r="F346" s="2" t="s">
        <v>17</v>
      </c>
      <c r="G346" s="7" t="str">
        <f aca="false">HYPERLINK("https://mncourtfraud.com/file/MCRO_27-CR-22-2444_Returned Mail_2022-10-03_20251126170225.pdf","MCRO_27-CR-22-2444_Returned Mail_2022-10-03_20251126170225.pdf")</f>
        <v>MCRO_27-CR-22-2444_Returned Mail_2022-10-03_20251126170225.pdf</v>
      </c>
      <c r="H346" s="2" t="s">
        <v>367</v>
      </c>
      <c r="I346" s="7" t="str">
        <f aca="false">HYPERLINK("https://mncourtfraud.com/file/MCRO_27-CR-22-2444_Returned Mail_2022-10-03_20251126170225.pdf.ots","MCRO_27-CR-22-2444_Returned Mail_2022-10-03_20251126170225.pdf.ots")</f>
        <v>MCRO_27-CR-22-2444_Returned Mail_2022-10-03_20251126170225.pdf.ots</v>
      </c>
      <c r="J346" s="7" t="str">
        <f aca="false">HYPERLINK("https://mncourtfraud.com/file/MCRO_27-CR-22-2444_Returned Mail_2022-10-03_20251126170225_META.txt","MCRO_27-CR-22-2444_Returned Mail_2022-10-03_20251126170225_META.txt")</f>
        <v>MCRO_27-CR-22-2444_Returned Mail_2022-10-03_20251126170225_META.txt</v>
      </c>
      <c r="K346" s="7" t="str">
        <f aca="false">HYPERLINK("https://mncourtfraud.com/file/MCRO_27-CR-22-2444_Returned Mail_2022-10-03_20251126170225_PDFSIGS.txt","MCRO_27-CR-22-2444_Returned Mail_2022-10-03_20251126170225_PDFSIGS.txt")</f>
        <v>MCRO_27-CR-22-2444_Returned Mail_2022-10-03_20251126170225_PDFSIGS.txt</v>
      </c>
      <c r="L346" s="7" t="str">
        <f aca="false">HYPERLINK("https://mncourtfraud.com/file/MCRO_27-CR-22-2444_Returned_Mail_2022-10-03_20251126170225.zip","MCRO_27-CR-22-2444_Returned_Mail_2022-10-03_20251126170225.zip")</f>
        <v>MCRO_27-CR-22-2444_Returned_Mail_2022-10-03_20251126170225.zip</v>
      </c>
    </row>
    <row r="347" customFormat="false" ht="18.7" hidden="false" customHeight="true" outlineLevel="0" collapsed="false">
      <c r="A347" s="1" t="n">
        <v>346</v>
      </c>
      <c r="B347" s="7" t="str">
        <f aca="false">HYPERLINK("https://mncourtfraud.com/file/27-CR-22-2444.pdf","27-CR-22-2444")</f>
        <v>27-CR-22-2444</v>
      </c>
      <c r="C347" s="1" t="n">
        <v>5</v>
      </c>
      <c r="D347" s="2" t="s">
        <v>267</v>
      </c>
      <c r="E347" s="8" t="n">
        <v>44873</v>
      </c>
      <c r="F347" s="2" t="s">
        <v>15</v>
      </c>
      <c r="G347" s="7" t="str">
        <f aca="false">HYPERLINK("https://mncourtfraud.com/file/MCRO_27-CR-22-2444_Order-Evaluation for Competency to Proceed (Rule 20.01)_2022-11-08_20251126170154.pdf","MCRO_27-CR-22-2444_Order-Evaluation for Competency to Proceed (Rule 20.01)_2022-11-08_20251126170154.pdf")</f>
        <v>MCRO_27-CR-22-2444_Order-Evaluation for Competency to Proceed (Rule 20.01)_2022-11-08_20251126170154.pdf</v>
      </c>
      <c r="H347" s="2" t="s">
        <v>368</v>
      </c>
      <c r="I347" s="7" t="str">
        <f aca="false">HYPERLINK("https://mncourtfraud.com/file/MCRO_27-CR-22-2444_Order-Evaluation for Competency to Proceed (Rule 20.01)_2022-11-08_20251126170154.pdf.ots","MCRO_27-CR-22-2444_Order-Evaluation for Competency to Proceed (Rule 20.01)_2022-11-08_20251126170154.pdf.ots")</f>
        <v>MCRO_27-CR-22-2444_Order-Evaluation for Competency to Proceed (Rule 20.01)_2022-11-08_20251126170154.pdf.ots</v>
      </c>
      <c r="J347" s="7" t="str">
        <f aca="false">HYPERLINK("https://mncourtfraud.com/file/MCRO_27-CR-22-2444_Order-Evaluation for Competency to Proceed (Rule 20.01)_2022-11-08_20251126170154_META.txt","MCRO_27-CR-22-2444_Order-Evaluation for Competency to Proceed (Rule 20.01)_2022-11-08_20251126170154_META.txt")</f>
        <v>MCRO_27-CR-22-2444_Order-Evaluation for Competency to Proceed (Rule 20.01)_2022-11-08_20251126170154_META.txt</v>
      </c>
      <c r="K347" s="7" t="str">
        <f aca="false">HYPERLINK("https://mncourtfraud.com/file/MCRO_27-CR-22-2444_Order-Evaluation for Competency to Proceed (Rule 20.01)_2022-11-08_20251126170154_PDFSIGS.txt","MCRO_27-CR-22-2444_Order-Evaluation for Competency to Proceed (Rule 20.01)_2022-11-08_20251126170154_PDFSIGS.txt")</f>
        <v>MCRO_27-CR-22-2444_Order-Evaluation for Competency to Proceed (Rule 20.01)_2022-11-08_20251126170154_PDFSIGS.txt</v>
      </c>
      <c r="L347" s="7" t="str">
        <f aca="false">HYPERLINK("https://mncourtfraud.com/file/MCRO_27-CR-22-2444_Order-Evaluation_for_Competency_to_Proceed_(Rule_20.01)_2022-11-08_20251126170154.zip","MCRO_27-CR-22-2444_Order-Evaluation_for_Competency_to_Proceed_(Rule_20.01)_2022-11-08_20251126170154.zip")</f>
        <v>MCRO_27-CR-22-2444_Order-Evaluation_for_Competency_to_Proceed_(Rule_20.01)_2022-11-08_20251126170154.zip</v>
      </c>
    </row>
    <row r="348" customFormat="false" ht="18.7" hidden="false" customHeight="true" outlineLevel="0" collapsed="false">
      <c r="A348" s="1" t="n">
        <v>347</v>
      </c>
      <c r="B348" s="7" t="str">
        <f aca="false">HYPERLINK("https://mncourtfraud.com/file/27-CR-22-2444.pdf","27-CR-22-2444")</f>
        <v>27-CR-22-2444</v>
      </c>
      <c r="C348" s="1" t="n">
        <v>5</v>
      </c>
      <c r="D348" s="2" t="s">
        <v>267</v>
      </c>
      <c r="E348" s="8" t="n">
        <v>45023</v>
      </c>
      <c r="F348" s="2" t="s">
        <v>15</v>
      </c>
      <c r="G348" s="7" t="str">
        <f aca="false">HYPERLINK("https://mncourtfraud.com/file/MCRO_27-CR-22-2444_Order-Evaluation for Competency to Proceed (Rule 20.01)_2023-04-07_20251126170204.pdf","MCRO_27-CR-22-2444_Order-Evaluation for Competency to Proceed (Rule 20.01)_2023-04-07_20251126170204.pdf")</f>
        <v>MCRO_27-CR-22-2444_Order-Evaluation for Competency to Proceed (Rule 20.01)_2023-04-07_20251126170204.pdf</v>
      </c>
      <c r="H348" s="2" t="s">
        <v>369</v>
      </c>
      <c r="I348" s="7" t="str">
        <f aca="false">HYPERLINK("https://mncourtfraud.com/file/MCRO_27-CR-22-2444_Order-Evaluation for Competency to Proceed (Rule 20.01)_2023-04-07_20251126170204.pdf.ots","MCRO_27-CR-22-2444_Order-Evaluation for Competency to Proceed (Rule 20.01)_2023-04-07_20251126170204.pdf.ots")</f>
        <v>MCRO_27-CR-22-2444_Order-Evaluation for Competency to Proceed (Rule 20.01)_2023-04-07_20251126170204.pdf.ots</v>
      </c>
      <c r="J348" s="7" t="str">
        <f aca="false">HYPERLINK("https://mncourtfraud.com/file/MCRO_27-CR-22-2444_Order-Evaluation for Competency to Proceed (Rule 20.01)_2023-04-07_20251126170204_META.txt","MCRO_27-CR-22-2444_Order-Evaluation for Competency to Proceed (Rule 20.01)_2023-04-07_20251126170204_META.txt")</f>
        <v>MCRO_27-CR-22-2444_Order-Evaluation for Competency to Proceed (Rule 20.01)_2023-04-07_20251126170204_META.txt</v>
      </c>
      <c r="K348" s="7" t="str">
        <f aca="false">HYPERLINK("https://mncourtfraud.com/file/MCRO_27-CR-22-2444_Order-Evaluation for Competency to Proceed (Rule 20.01)_2023-04-07_20251126170204_PDFSIGS.txt","MCRO_27-CR-22-2444_Order-Evaluation for Competency to Proceed (Rule 20.01)_2023-04-07_20251126170204_PDFSIGS.txt")</f>
        <v>MCRO_27-CR-22-2444_Order-Evaluation for Competency to Proceed (Rule 20.01)_2023-04-07_20251126170204_PDFSIGS.txt</v>
      </c>
      <c r="L348" s="7" t="str">
        <f aca="false">HYPERLINK("https://mncourtfraud.com/file/MCRO_27-CR-22-2444_Order-Evaluation_for_Competency_to_Proceed_(Rule_20.01)_2023-04-07_20251126170204.zip","MCRO_27-CR-22-2444_Order-Evaluation_for_Competency_to_Proceed_(Rule_20.01)_2023-04-07_20251126170204.zip")</f>
        <v>MCRO_27-CR-22-2444_Order-Evaluation_for_Competency_to_Proceed_(Rule_20.01)_2023-04-07_20251126170204.zip</v>
      </c>
    </row>
    <row r="349" customFormat="false" ht="18.7" hidden="false" customHeight="true" outlineLevel="0" collapsed="false">
      <c r="A349" s="1" t="n">
        <v>348</v>
      </c>
      <c r="B349" s="7" t="str">
        <f aca="false">HYPERLINK("https://mncourtfraud.com/file/27-CR-22-2444.pdf","27-CR-22-2444")</f>
        <v>27-CR-22-2444</v>
      </c>
      <c r="C349" s="1" t="n">
        <v>5</v>
      </c>
      <c r="D349" s="2" t="s">
        <v>267</v>
      </c>
      <c r="E349" s="8" t="n">
        <v>45194</v>
      </c>
      <c r="F349" s="2" t="s">
        <v>15</v>
      </c>
      <c r="G349" s="7" t="str">
        <f aca="false">HYPERLINK("https://mncourtfraud.com/file/MCRO_27-CR-22-2444_Order-Evaluation for Competency to Proceed (Rule 20.01)_2023-09-25_20251126170213.pdf","MCRO_27-CR-22-2444_Order-Evaluation for Competency to Proceed (Rule 20.01)_2023-09-25_20251126170213.pdf")</f>
        <v>MCRO_27-CR-22-2444_Order-Evaluation for Competency to Proceed (Rule 20.01)_2023-09-25_20251126170213.pdf</v>
      </c>
      <c r="H349" s="2" t="s">
        <v>370</v>
      </c>
      <c r="I349" s="7" t="str">
        <f aca="false">HYPERLINK("https://mncourtfraud.com/file/MCRO_27-CR-22-2444_Order-Evaluation for Competency to Proceed (Rule 20.01)_2023-09-25_20251126170213.pdf.ots","MCRO_27-CR-22-2444_Order-Evaluation for Competency to Proceed (Rule 20.01)_2023-09-25_20251126170213.pdf.ots")</f>
        <v>MCRO_27-CR-22-2444_Order-Evaluation for Competency to Proceed (Rule 20.01)_2023-09-25_20251126170213.pdf.ots</v>
      </c>
      <c r="J349" s="7" t="str">
        <f aca="false">HYPERLINK("https://mncourtfraud.com/file/MCRO_27-CR-22-2444_Order-Evaluation for Competency to Proceed (Rule 20.01)_2023-09-25_20251126170213_META.txt","MCRO_27-CR-22-2444_Order-Evaluation for Competency to Proceed (Rule 20.01)_2023-09-25_20251126170213_META.txt")</f>
        <v>MCRO_27-CR-22-2444_Order-Evaluation for Competency to Proceed (Rule 20.01)_2023-09-25_20251126170213_META.txt</v>
      </c>
      <c r="K349" s="7" t="str">
        <f aca="false">HYPERLINK("https://mncourtfraud.com/file/MCRO_27-CR-22-2444_Order-Evaluation for Competency to Proceed (Rule 20.01)_2023-09-25_20251126170213_PDFSIGS.txt","MCRO_27-CR-22-2444_Order-Evaluation for Competency to Proceed (Rule 20.01)_2023-09-25_20251126170213_PDFSIGS.txt")</f>
        <v>MCRO_27-CR-22-2444_Order-Evaluation for Competency to Proceed (Rule 20.01)_2023-09-25_20251126170213_PDFSIGS.txt</v>
      </c>
      <c r="L349" s="7" t="str">
        <f aca="false">HYPERLINK("https://mncourtfraud.com/file/MCRO_27-CR-22-2444_Order-Evaluation_for_Competency_to_Proceed_(Rule_20.01)_2023-09-25_20251126170213.zip","MCRO_27-CR-22-2444_Order-Evaluation_for_Competency_to_Proceed_(Rule_20.01)_2023-09-25_20251126170213.zip")</f>
        <v>MCRO_27-CR-22-2444_Order-Evaluation_for_Competency_to_Proceed_(Rule_20.01)_2023-09-25_20251126170213.zip</v>
      </c>
    </row>
    <row r="350" customFormat="false" ht="18.7" hidden="false" customHeight="true" outlineLevel="0" collapsed="false">
      <c r="A350" s="1" t="n">
        <v>349</v>
      </c>
      <c r="B350" s="7" t="str">
        <f aca="false">HYPERLINK("https://mncourtfraud.com/file/27-CR-22-25069.pdf","27-CR-22-25069")</f>
        <v>27-CR-22-25069</v>
      </c>
      <c r="C350" s="1" t="n">
        <v>1</v>
      </c>
      <c r="D350" s="2" t="s">
        <v>12</v>
      </c>
      <c r="E350" s="8" t="n">
        <v>44999</v>
      </c>
      <c r="F350" s="2" t="s">
        <v>17</v>
      </c>
      <c r="G350" s="7" t="str">
        <f aca="false">HYPERLINK("https://mncourtfraud.com/file/MCRO_27-CR-22-25069_Returned Mail_2023-03-14_20251126185437.pdf","MCRO_27-CR-22-25069_Returned Mail_2023-03-14_20251126185437.pdf")</f>
        <v>MCRO_27-CR-22-25069_Returned Mail_2023-03-14_20251126185437.pdf</v>
      </c>
      <c r="H350" s="2" t="s">
        <v>371</v>
      </c>
      <c r="I350" s="7" t="str">
        <f aca="false">HYPERLINK("https://mncourtfraud.com/file/MCRO_27-CR-22-25069_Returned Mail_2023-03-14_20251126185437.pdf.ots","MCRO_27-CR-22-25069_Returned Mail_2023-03-14_20251126185437.pdf.ots")</f>
        <v>MCRO_27-CR-22-25069_Returned Mail_2023-03-14_20251126185437.pdf.ots</v>
      </c>
      <c r="J350" s="7" t="str">
        <f aca="false">HYPERLINK("https://mncourtfraud.com/file/MCRO_27-CR-22-25069_Returned Mail_2023-03-14_20251126185437_META.txt","MCRO_27-CR-22-25069_Returned Mail_2023-03-14_20251126185437_META.txt")</f>
        <v>MCRO_27-CR-22-25069_Returned Mail_2023-03-14_20251126185437_META.txt</v>
      </c>
      <c r="K350" s="7" t="str">
        <f aca="false">HYPERLINK("https://mncourtfraud.com/file/MCRO_27-CR-22-25069_Returned Mail_2023-03-14_20251126185437_PDFSIGS.txt","MCRO_27-CR-22-25069_Returned Mail_2023-03-14_20251126185437_PDFSIGS.txt")</f>
        <v>MCRO_27-CR-22-25069_Returned Mail_2023-03-14_20251126185437_PDFSIGS.txt</v>
      </c>
      <c r="L350" s="7" t="str">
        <f aca="false">HYPERLINK("https://mncourtfraud.com/file/MCRO_27-CR-22-25069_Returned_Mail_2023-03-14_20251126185437.zip","MCRO_27-CR-22-25069_Returned_Mail_2023-03-14_20251126185437.zip")</f>
        <v>MCRO_27-CR-22-25069_Returned_Mail_2023-03-14_20251126185437.zip</v>
      </c>
    </row>
    <row r="351" customFormat="false" ht="18.7" hidden="false" customHeight="true" outlineLevel="0" collapsed="false">
      <c r="A351" s="1" t="n">
        <v>350</v>
      </c>
      <c r="B351" s="7" t="str">
        <f aca="false">HYPERLINK("https://mncourtfraud.com/file/27-CR-22-25069.pdf","27-CR-22-25069")</f>
        <v>27-CR-22-25069</v>
      </c>
      <c r="C351" s="1" t="n">
        <v>1</v>
      </c>
      <c r="D351" s="2" t="s">
        <v>12</v>
      </c>
      <c r="E351" s="8" t="n">
        <v>45048</v>
      </c>
      <c r="F351" s="2" t="s">
        <v>80</v>
      </c>
      <c r="G351" s="7" t="str">
        <f aca="false">HYPERLINK("https://mncourtfraud.com/file/MCRO_27-CR-22-25069_Finding of Incompetency and Order_2023-05-02_20251126185303.pdf","MCRO_27-CR-22-25069_Finding of Incompetency and Order_2023-05-02_20251126185303.pdf")</f>
        <v>MCRO_27-CR-22-25069_Finding of Incompetency and Order_2023-05-02_20251126185303.pdf</v>
      </c>
      <c r="H351" s="2" t="s">
        <v>372</v>
      </c>
      <c r="I351" s="7" t="str">
        <f aca="false">HYPERLINK("https://mncourtfraud.com/file/MCRO_27-CR-22-25069_Finding of Incompetency and Order_2023-05-02_20251126185303.pdf.ots","MCRO_27-CR-22-25069_Finding of Incompetency and Order_2023-05-02_20251126185303.pdf.ots")</f>
        <v>MCRO_27-CR-22-25069_Finding of Incompetency and Order_2023-05-02_20251126185303.pdf.ots</v>
      </c>
      <c r="J351" s="7" t="str">
        <f aca="false">HYPERLINK("https://mncourtfraud.com/file/MCRO_27-CR-22-25069_Finding of Incompetency and Order_2023-05-02_20251126185303_META.txt","MCRO_27-CR-22-25069_Finding of Incompetency and Order_2023-05-02_20251126185303_META.txt")</f>
        <v>MCRO_27-CR-22-25069_Finding of Incompetency and Order_2023-05-02_20251126185303_META.txt</v>
      </c>
      <c r="K351" s="7" t="str">
        <f aca="false">HYPERLINK("https://mncourtfraud.com/file/MCRO_27-CR-22-25069_Finding of Incompetency and Order_2023-05-02_20251126185303_PDFSIGS.txt","MCRO_27-CR-22-25069_Finding of Incompetency and Order_2023-05-02_20251126185303_PDFSIGS.txt")</f>
        <v>MCRO_27-CR-22-25069_Finding of Incompetency and Order_2023-05-02_20251126185303_PDFSIGS.txt</v>
      </c>
      <c r="L351" s="7" t="str">
        <f aca="false">HYPERLINK("https://mncourtfraud.com/file/MCRO_27-CR-22-25069_Finding_of_Incompetency_and_Order_2023-05-02_20251126185303.zip","MCRO_27-CR-22-25069_Finding_of_Incompetency_and_Order_2023-05-02_20251126185303.zip")</f>
        <v>MCRO_27-CR-22-25069_Finding_of_Incompetency_and_Order_2023-05-02_20251126185303.zip</v>
      </c>
    </row>
    <row r="352" customFormat="false" ht="18.7" hidden="false" customHeight="true" outlineLevel="0" collapsed="false">
      <c r="A352" s="1" t="n">
        <v>351</v>
      </c>
      <c r="B352" s="7" t="str">
        <f aca="false">HYPERLINK("https://mncourtfraud.com/file/27-CR-22-25069.pdf","27-CR-22-25069")</f>
        <v>27-CR-22-25069</v>
      </c>
      <c r="C352" s="1" t="n">
        <v>1</v>
      </c>
      <c r="D352" s="2" t="s">
        <v>12</v>
      </c>
      <c r="E352" s="8" t="n">
        <v>45093</v>
      </c>
      <c r="F352" s="2" t="s">
        <v>82</v>
      </c>
      <c r="G352" s="7" t="str">
        <f aca="false">HYPERLINK("https://mncourtfraud.com/file/MCRO_27-CR-22-25069_Notice of Case Reassignment_2023-06-16_20251126185315.pdf","MCRO_27-CR-22-25069_Notice of Case Reassignment_2023-06-16_20251126185315.pdf")</f>
        <v>MCRO_27-CR-22-25069_Notice of Case Reassignment_2023-06-16_20251126185315.pdf</v>
      </c>
      <c r="H352" s="2" t="s">
        <v>373</v>
      </c>
      <c r="I352" s="7" t="str">
        <f aca="false">HYPERLINK("https://mncourtfraud.com/file/MCRO_27-CR-22-25069_Notice of Case Reassignment_2023-06-16_20251126185315.pdf.ots","MCRO_27-CR-22-25069_Notice of Case Reassignment_2023-06-16_20251126185315.pdf.ots")</f>
        <v>MCRO_27-CR-22-25069_Notice of Case Reassignment_2023-06-16_20251126185315.pdf.ots</v>
      </c>
      <c r="J352" s="7" t="str">
        <f aca="false">HYPERLINK("https://mncourtfraud.com/file/MCRO_27-CR-22-25069_Notice of Case Reassignment_2023-06-16_20251126185315_META.txt","MCRO_27-CR-22-25069_Notice of Case Reassignment_2023-06-16_20251126185315_META.txt")</f>
        <v>MCRO_27-CR-22-25069_Notice of Case Reassignment_2023-06-16_20251126185315_META.txt</v>
      </c>
      <c r="K352" s="7" t="str">
        <f aca="false">HYPERLINK("https://mncourtfraud.com/file/MCRO_27-CR-22-25069_Notice of Case Reassignment_2023-06-16_20251126185315_PDFSIGS.txt","MCRO_27-CR-22-25069_Notice of Case Reassignment_2023-06-16_20251126185315_PDFSIGS.txt")</f>
        <v>MCRO_27-CR-22-25069_Notice of Case Reassignment_2023-06-16_20251126185315_PDFSIGS.txt</v>
      </c>
      <c r="L352" s="7" t="str">
        <f aca="false">HYPERLINK("https://mncourtfraud.com/file/MCRO_27-CR-22-25069_Notice_of_Case_Reassignment_2023-06-16_20251126185315.zip","MCRO_27-CR-22-25069_Notice_of_Case_Reassignment_2023-06-16_20251126185315.zip")</f>
        <v>MCRO_27-CR-22-25069_Notice_of_Case_Reassignment_2023-06-16_20251126185315.zip</v>
      </c>
    </row>
    <row r="353" customFormat="false" ht="18.7" hidden="false" customHeight="true" outlineLevel="0" collapsed="false">
      <c r="A353" s="1" t="n">
        <v>352</v>
      </c>
      <c r="B353" s="7" t="str">
        <f aca="false">HYPERLINK("https://mncourtfraud.com/file/27-CR-22-25069.pdf","27-CR-22-25069")</f>
        <v>27-CR-22-25069</v>
      </c>
      <c r="C353" s="1" t="n">
        <v>1</v>
      </c>
      <c r="D353" s="2" t="s">
        <v>12</v>
      </c>
      <c r="E353" s="8" t="n">
        <v>45160</v>
      </c>
      <c r="F353" s="2" t="s">
        <v>15</v>
      </c>
      <c r="G353" s="7" t="str">
        <f aca="false">HYPERLINK("https://mncourtfraud.com/file/MCRO_27-CR-22-25069_Order-Evaluation for Competency to Proceed (Rule 20.01)_2023-08-22_20251126185424.pdf","MCRO_27-CR-22-25069_Order-Evaluation for Competency to Proceed (Rule 20.01)_2023-08-22_20251126185424.pdf")</f>
        <v>MCRO_27-CR-22-25069_Order-Evaluation for Competency to Proceed (Rule 20.01)_2023-08-22_20251126185424.pdf</v>
      </c>
      <c r="H353" s="2" t="s">
        <v>374</v>
      </c>
      <c r="I353" s="7" t="str">
        <f aca="false">HYPERLINK("https://mncourtfraud.com/file/MCRO_27-CR-22-25069_Order-Evaluation for Competency to Proceed (Rule 20.01)_2023-08-22_20251126185424.pdf.ots","MCRO_27-CR-22-25069_Order-Evaluation for Competency to Proceed (Rule 20.01)_2023-08-22_20251126185424.pdf.ots")</f>
        <v>MCRO_27-CR-22-25069_Order-Evaluation for Competency to Proceed (Rule 20.01)_2023-08-22_20251126185424.pdf.ots</v>
      </c>
      <c r="J353" s="7" t="str">
        <f aca="false">HYPERLINK("https://mncourtfraud.com/file/MCRO_27-CR-22-25069_Order-Evaluation for Competency to Proceed (Rule 20.01)_2023-08-22_20251126185424_META.txt","MCRO_27-CR-22-25069_Order-Evaluation for Competency to Proceed (Rule 20.01)_2023-08-22_20251126185424_META.txt")</f>
        <v>MCRO_27-CR-22-25069_Order-Evaluation for Competency to Proceed (Rule 20.01)_2023-08-22_20251126185424_META.txt</v>
      </c>
      <c r="K353" s="7" t="str">
        <f aca="false">HYPERLINK("https://mncourtfraud.com/file/MCRO_27-CR-22-25069_Order-Evaluation for Competency to Proceed (Rule 20.01)_2023-08-22_20251126185424_PDFSIGS.txt","MCRO_27-CR-22-25069_Order-Evaluation for Competency to Proceed (Rule 20.01)_2023-08-22_20251126185424_PDFSIGS.txt")</f>
        <v>MCRO_27-CR-22-25069_Order-Evaluation for Competency to Proceed (Rule 20.01)_2023-08-22_20251126185424_PDFSIGS.txt</v>
      </c>
      <c r="L353" s="7" t="str">
        <f aca="false">HYPERLINK("https://mncourtfraud.com/file/MCRO_27-CR-22-25069_Order-Evaluation_for_Competency_to_Proceed_(Rule_20.01)_2023-08-22_20251126185424.zip","MCRO_27-CR-22-25069_Order-Evaluation_for_Competency_to_Proceed_(Rule_20.01)_2023-08-22_20251126185424.zip")</f>
        <v>MCRO_27-CR-22-25069_Order-Evaluation_for_Competency_to_Proceed_(Rule_20.01)_2023-08-22_20251126185424.zip</v>
      </c>
    </row>
    <row r="354" customFormat="false" ht="18.7" hidden="false" customHeight="true" outlineLevel="0" collapsed="false">
      <c r="A354" s="1" t="n">
        <v>353</v>
      </c>
      <c r="B354" s="7" t="str">
        <f aca="false">HYPERLINK("https://mncourtfraud.com/file/27-CR-22-25069.pdf","27-CR-22-25069")</f>
        <v>27-CR-22-25069</v>
      </c>
      <c r="C354" s="1" t="n">
        <v>1</v>
      </c>
      <c r="D354" s="2" t="s">
        <v>12</v>
      </c>
      <c r="E354" s="8" t="n">
        <v>45412</v>
      </c>
      <c r="F354" s="2" t="s">
        <v>24</v>
      </c>
      <c r="G354" s="7" t="str">
        <f aca="false">HYPERLINK("https://mncourtfraud.com/file/MCRO_27-CR-22-25069_Order for Conditional Release_2024-04-30_20251126185327.pdf","MCRO_27-CR-22-25069_Order for Conditional Release_2024-04-30_20251126185327.pdf")</f>
        <v>MCRO_27-CR-22-25069_Order for Conditional Release_2024-04-30_20251126185327.pdf</v>
      </c>
      <c r="H354" s="2" t="s">
        <v>375</v>
      </c>
      <c r="I354" s="7" t="str">
        <f aca="false">HYPERLINK("https://mncourtfraud.com/file/MCRO_27-CR-22-25069_Order for Conditional Release_2024-04-30_20251126185327.pdf.ots","MCRO_27-CR-22-25069_Order for Conditional Release_2024-04-30_20251126185327.pdf.ots")</f>
        <v>MCRO_27-CR-22-25069_Order for Conditional Release_2024-04-30_20251126185327.pdf.ots</v>
      </c>
      <c r="J354" s="7" t="str">
        <f aca="false">HYPERLINK("https://mncourtfraud.com/file/MCRO_27-CR-22-25069_Order for Conditional Release_2024-04-30_20251126185327_META.txt","MCRO_27-CR-22-25069_Order for Conditional Release_2024-04-30_20251126185327_META.txt")</f>
        <v>MCRO_27-CR-22-25069_Order for Conditional Release_2024-04-30_20251126185327_META.txt</v>
      </c>
      <c r="K354" s="7" t="str">
        <f aca="false">HYPERLINK("https://mncourtfraud.com/file/MCRO_27-CR-22-25069_Order for Conditional Release_2024-04-30_20251126185327_PDFSIGS.txt","MCRO_27-CR-22-25069_Order for Conditional Release_2024-04-30_20251126185327_PDFSIGS.txt")</f>
        <v>MCRO_27-CR-22-25069_Order for Conditional Release_2024-04-30_20251126185327_PDFSIGS.txt</v>
      </c>
      <c r="L354" s="7" t="str">
        <f aca="false">HYPERLINK("https://mncourtfraud.com/file/MCRO_27-CR-22-25069_Order_for_Conditional_Release_2024-04-30_20251126185327.zip","MCRO_27-CR-22-25069_Order_for_Conditional_Release_2024-04-30_20251126185327.zip")</f>
        <v>MCRO_27-CR-22-25069_Order_for_Conditional_Release_2024-04-30_20251126185327.zip</v>
      </c>
    </row>
    <row r="355" customFormat="false" ht="18.7" hidden="false" customHeight="true" outlineLevel="0" collapsed="false">
      <c r="A355" s="1" t="n">
        <v>354</v>
      </c>
      <c r="B355" s="7" t="str">
        <f aca="false">HYPERLINK("https://mncourtfraud.com/file/27-CR-22-25069.pdf","27-CR-22-25069")</f>
        <v>27-CR-22-25069</v>
      </c>
      <c r="C355" s="1" t="n">
        <v>1</v>
      </c>
      <c r="D355" s="2" t="s">
        <v>12</v>
      </c>
      <c r="E355" s="8" t="n">
        <v>45412</v>
      </c>
      <c r="F355" s="2" t="s">
        <v>15</v>
      </c>
      <c r="G355" s="7" t="str">
        <f aca="false">HYPERLINK("https://mncourtfraud.com/file/MCRO_27-CR-22-25069_Order-Evaluation for Competency to Proceed (Rule 20.01)_2024-04-30_20251126185403.pdf","MCRO_27-CR-22-25069_Order-Evaluation for Competency to Proceed (Rule 20.01)_2024-04-30_20251126185403.pdf")</f>
        <v>MCRO_27-CR-22-25069_Order-Evaluation for Competency to Proceed (Rule 20.01)_2024-04-30_20251126185403.pdf</v>
      </c>
      <c r="H355" s="2" t="s">
        <v>376</v>
      </c>
      <c r="I355" s="7" t="str">
        <f aca="false">HYPERLINK("https://mncourtfraud.com/file/MCRO_27-CR-22-25069_Order-Evaluation for Competency to Proceed (Rule 20.01)_2024-04-30_20251126185403.pdf.ots","MCRO_27-CR-22-25069_Order-Evaluation for Competency to Proceed (Rule 20.01)_2024-04-30_20251126185403.pdf.ots")</f>
        <v>MCRO_27-CR-22-25069_Order-Evaluation for Competency to Proceed (Rule 20.01)_2024-04-30_20251126185403.pdf.ots</v>
      </c>
      <c r="J355" s="7" t="str">
        <f aca="false">HYPERLINK("https://mncourtfraud.com/file/MCRO_27-CR-22-25069_Order-Evaluation for Competency to Proceed (Rule 20.01)_2024-04-30_20251126185403_META.txt","MCRO_27-CR-22-25069_Order-Evaluation for Competency to Proceed (Rule 20.01)_2024-04-30_20251126185403_META.txt")</f>
        <v>MCRO_27-CR-22-25069_Order-Evaluation for Competency to Proceed (Rule 20.01)_2024-04-30_20251126185403_META.txt</v>
      </c>
      <c r="K355" s="7" t="str">
        <f aca="false">HYPERLINK("https://mncourtfraud.com/file/MCRO_27-CR-22-25069_Order-Evaluation for Competency to Proceed (Rule 20.01)_2024-04-30_20251126185403_PDFSIGS.txt","MCRO_27-CR-22-25069_Order-Evaluation for Competency to Proceed (Rule 20.01)_2024-04-30_20251126185403_PDFSIGS.txt")</f>
        <v>MCRO_27-CR-22-25069_Order-Evaluation for Competency to Proceed (Rule 20.01)_2024-04-30_20251126185403_PDFSIGS.txt</v>
      </c>
      <c r="L355" s="7" t="str">
        <f aca="false">HYPERLINK("https://mncourtfraud.com/file/MCRO_27-CR-22-25069_Order-Evaluation_for_Competency_to_Proceed_(Rule_20.01)_2024-04-30_20251126185403.zip","MCRO_27-CR-22-25069_Order-Evaluation_for_Competency_to_Proceed_(Rule_20.01)_2024-04-30_20251126185403.zip")</f>
        <v>MCRO_27-CR-22-25069_Order-Evaluation_for_Competency_to_Proceed_(Rule_20.01)_2024-04-30_20251126185403.zip</v>
      </c>
    </row>
    <row r="356" customFormat="false" ht="18.7" hidden="false" customHeight="true" outlineLevel="0" collapsed="false">
      <c r="A356" s="1" t="n">
        <v>355</v>
      </c>
      <c r="B356" s="7" t="str">
        <f aca="false">HYPERLINK("https://mncourtfraud.com/file/27-CR-22-3864.pdf","27-CR-22-3864")</f>
        <v>27-CR-22-3864</v>
      </c>
      <c r="C356" s="1" t="n">
        <v>1</v>
      </c>
      <c r="D356" s="2" t="s">
        <v>12</v>
      </c>
      <c r="E356" s="8" t="n">
        <v>44761</v>
      </c>
      <c r="F356" s="2" t="s">
        <v>15</v>
      </c>
      <c r="G356" s="7" t="str">
        <f aca="false">HYPERLINK("https://mncourtfraud.com/file/MCRO_27-CR-22-3864_Order-Evaluation for Competency to Proceed (Rule 20.01)_2022-07-19_20251126185540.pdf","MCRO_27-CR-22-3864_Order-Evaluation for Competency to Proceed (Rule 20.01)_2022-07-19_20251126185540.pdf")</f>
        <v>MCRO_27-CR-22-3864_Order-Evaluation for Competency to Proceed (Rule 20.01)_2022-07-19_20251126185540.pdf</v>
      </c>
      <c r="H356" s="2" t="s">
        <v>377</v>
      </c>
      <c r="I356" s="7" t="str">
        <f aca="false">HYPERLINK("https://mncourtfraud.com/file/MCRO_27-CR-22-3864_Order-Evaluation for Competency to Proceed (Rule 20.01)_2022-07-19_20251126185540.pdf.ots","MCRO_27-CR-22-3864_Order-Evaluation for Competency to Proceed (Rule 20.01)_2022-07-19_20251126185540.pdf.ots")</f>
        <v>MCRO_27-CR-22-3864_Order-Evaluation for Competency to Proceed (Rule 20.01)_2022-07-19_20251126185540.pdf.ots</v>
      </c>
      <c r="J356" s="7" t="str">
        <f aca="false">HYPERLINK("https://mncourtfraud.com/file/MCRO_27-CR-22-3864_Order-Evaluation for Competency to Proceed (Rule 20.01)_2022-07-19_20251126185540_META.txt","MCRO_27-CR-22-3864_Order-Evaluation for Competency to Proceed (Rule 20.01)_2022-07-19_20251126185540_META.txt")</f>
        <v>MCRO_27-CR-22-3864_Order-Evaluation for Competency to Proceed (Rule 20.01)_2022-07-19_20251126185540_META.txt</v>
      </c>
      <c r="K356" s="7" t="str">
        <f aca="false">HYPERLINK("https://mncourtfraud.com/file/MCRO_27-CR-22-3864_Order-Evaluation for Competency to Proceed (Rule 20.01)_2022-07-19_20251126185540_PDFSIGS.txt","MCRO_27-CR-22-3864_Order-Evaluation for Competency to Proceed (Rule 20.01)_2022-07-19_20251126185540_PDFSIGS.txt")</f>
        <v>MCRO_27-CR-22-3864_Order-Evaluation for Competency to Proceed (Rule 20.01)_2022-07-19_20251126185540_PDFSIGS.txt</v>
      </c>
      <c r="L356" s="7" t="str">
        <f aca="false">HYPERLINK("https://mncourtfraud.com/file/MCRO_27-CR-22-3864_Order-Evaluation_for_Competency_to_Proceed_(Rule_20.01)_2022-07-19_20251126185540.zip","MCRO_27-CR-22-3864_Order-Evaluation_for_Competency_to_Proceed_(Rule_20.01)_2022-07-19_20251126185540.zip")</f>
        <v>MCRO_27-CR-22-3864_Order-Evaluation_for_Competency_to_Proceed_(Rule_20.01)_2022-07-19_20251126185540.zip</v>
      </c>
    </row>
    <row r="357" customFormat="false" ht="18.7" hidden="false" customHeight="true" outlineLevel="0" collapsed="false">
      <c r="A357" s="1" t="n">
        <v>356</v>
      </c>
      <c r="B357" s="7" t="str">
        <f aca="false">HYPERLINK("https://mncourtfraud.com/file/27-CR-22-3864.pdf","27-CR-22-3864")</f>
        <v>27-CR-22-3864</v>
      </c>
      <c r="C357" s="1" t="n">
        <v>1</v>
      </c>
      <c r="D357" s="2" t="s">
        <v>12</v>
      </c>
      <c r="E357" s="8" t="n">
        <v>44895</v>
      </c>
      <c r="F357" s="2" t="s">
        <v>15</v>
      </c>
      <c r="G357" s="7" t="str">
        <f aca="false">HYPERLINK("https://mncourtfraud.com/file/MCRO_27-CR-22-3864_Order-Evaluation for Competency to Proceed (Rule 20.01)_2022-11-30_20251126185532.pdf","MCRO_27-CR-22-3864_Order-Evaluation for Competency to Proceed (Rule 20.01)_2022-11-30_20251126185532.pdf")</f>
        <v>MCRO_27-CR-22-3864_Order-Evaluation for Competency to Proceed (Rule 20.01)_2022-11-30_20251126185532.pdf</v>
      </c>
      <c r="H357" s="2" t="s">
        <v>378</v>
      </c>
      <c r="I357" s="7" t="str">
        <f aca="false">HYPERLINK("https://mncourtfraud.com/file/MCRO_27-CR-22-3864_Order-Evaluation for Competency to Proceed (Rule 20.01)_2022-11-30_20251126185532.pdf.ots","MCRO_27-CR-22-3864_Order-Evaluation for Competency to Proceed (Rule 20.01)_2022-11-30_20251126185532.pdf.ots")</f>
        <v>MCRO_27-CR-22-3864_Order-Evaluation for Competency to Proceed (Rule 20.01)_2022-11-30_20251126185532.pdf.ots</v>
      </c>
      <c r="J357" s="7" t="str">
        <f aca="false">HYPERLINK("https://mncourtfraud.com/file/MCRO_27-CR-22-3864_Order-Evaluation for Competency to Proceed (Rule 20.01)_2022-11-30_20251126185532_META.txt","MCRO_27-CR-22-3864_Order-Evaluation for Competency to Proceed (Rule 20.01)_2022-11-30_20251126185532_META.txt")</f>
        <v>MCRO_27-CR-22-3864_Order-Evaluation for Competency to Proceed (Rule 20.01)_2022-11-30_20251126185532_META.txt</v>
      </c>
      <c r="K357" s="7" t="str">
        <f aca="false">HYPERLINK("https://mncourtfraud.com/file/MCRO_27-CR-22-3864_Order-Evaluation for Competency to Proceed (Rule 20.01)_2022-11-30_20251126185532_PDFSIGS.txt","MCRO_27-CR-22-3864_Order-Evaluation for Competency to Proceed (Rule 20.01)_2022-11-30_20251126185532_PDFSIGS.txt")</f>
        <v>MCRO_27-CR-22-3864_Order-Evaluation for Competency to Proceed (Rule 20.01)_2022-11-30_20251126185532_PDFSIGS.txt</v>
      </c>
      <c r="L357" s="7" t="str">
        <f aca="false">HYPERLINK("https://mncourtfraud.com/file/MCRO_27-CR-22-3864_Order-Evaluation_for_Competency_to_Proceed_(Rule_20.01)_2022-11-30_20251126185532.zip","MCRO_27-CR-22-3864_Order-Evaluation_for_Competency_to_Proceed_(Rule_20.01)_2022-11-30_20251126185532.zip")</f>
        <v>MCRO_27-CR-22-3864_Order-Evaluation_for_Competency_to_Proceed_(Rule_20.01)_2022-11-30_20251126185532.zip</v>
      </c>
    </row>
    <row r="358" customFormat="false" ht="18.7" hidden="false" customHeight="true" outlineLevel="0" collapsed="false">
      <c r="A358" s="1" t="n">
        <v>357</v>
      </c>
      <c r="B358" s="7" t="str">
        <f aca="false">HYPERLINK("https://mncourtfraud.com/file/27-CR-22-3864.pdf","27-CR-22-3864")</f>
        <v>27-CR-22-3864</v>
      </c>
      <c r="C358" s="1" t="n">
        <v>1</v>
      </c>
      <c r="D358" s="2" t="s">
        <v>12</v>
      </c>
      <c r="E358" s="8" t="n">
        <v>44999</v>
      </c>
      <c r="F358" s="2" t="s">
        <v>17</v>
      </c>
      <c r="G358" s="7" t="str">
        <f aca="false">HYPERLINK("https://mncourtfraud.com/file/MCRO_27-CR-22-3864_Returned Mail_2023-03-14_20251126185557.pdf","MCRO_27-CR-22-3864_Returned Mail_2023-03-14_20251126185557.pdf")</f>
        <v>MCRO_27-CR-22-3864_Returned Mail_2023-03-14_20251126185557.pdf</v>
      </c>
      <c r="H358" s="2" t="s">
        <v>379</v>
      </c>
      <c r="I358" s="7" t="str">
        <f aca="false">HYPERLINK("https://mncourtfraud.com/file/MCRO_27-CR-22-3864_Returned Mail_2023-03-14_20251126185557.pdf.ots","MCRO_27-CR-22-3864_Returned Mail_2023-03-14_20251126185557.pdf.ots")</f>
        <v>MCRO_27-CR-22-3864_Returned Mail_2023-03-14_20251126185557.pdf.ots</v>
      </c>
      <c r="J358" s="7" t="str">
        <f aca="false">HYPERLINK("https://mncourtfraud.com/file/MCRO_27-CR-22-3864_Returned Mail_2023-03-14_20251126185557_META.txt","MCRO_27-CR-22-3864_Returned Mail_2023-03-14_20251126185557_META.txt")</f>
        <v>MCRO_27-CR-22-3864_Returned Mail_2023-03-14_20251126185557_META.txt</v>
      </c>
      <c r="K358" s="7" t="str">
        <f aca="false">HYPERLINK("https://mncourtfraud.com/file/MCRO_27-CR-22-3864_Returned Mail_2023-03-14_20251126185557_PDFSIGS.txt","MCRO_27-CR-22-3864_Returned Mail_2023-03-14_20251126185557_PDFSIGS.txt")</f>
        <v>MCRO_27-CR-22-3864_Returned Mail_2023-03-14_20251126185557_PDFSIGS.txt</v>
      </c>
      <c r="L358" s="7" t="str">
        <f aca="false">HYPERLINK("https://mncourtfraud.com/file/MCRO_27-CR-22-3864_Returned_Mail_2023-03-14_20251126185557.zip","MCRO_27-CR-22-3864_Returned_Mail_2023-03-14_20251126185557.zip")</f>
        <v>MCRO_27-CR-22-3864_Returned_Mail_2023-03-14_20251126185557.zip</v>
      </c>
    </row>
    <row r="359" customFormat="false" ht="18.7" hidden="false" customHeight="true" outlineLevel="0" collapsed="false">
      <c r="A359" s="1" t="n">
        <v>358</v>
      </c>
      <c r="B359" s="7" t="str">
        <f aca="false">HYPERLINK("https://mncourtfraud.com/file/27-CR-22-3864.pdf","27-CR-22-3864")</f>
        <v>27-CR-22-3864</v>
      </c>
      <c r="C359" s="1" t="n">
        <v>1</v>
      </c>
      <c r="D359" s="2" t="s">
        <v>12</v>
      </c>
      <c r="E359" s="8" t="n">
        <v>45048</v>
      </c>
      <c r="F359" s="2" t="s">
        <v>80</v>
      </c>
      <c r="G359" s="7" t="str">
        <f aca="false">HYPERLINK("https://mncourtfraud.com/file/MCRO_27-CR-22-3864_Finding of Incompetency and Order_2023-05-02_20251126185519.pdf","MCRO_27-CR-22-3864_Finding of Incompetency and Order_2023-05-02_20251126185519.pdf")</f>
        <v>MCRO_27-CR-22-3864_Finding of Incompetency and Order_2023-05-02_20251126185519.pdf</v>
      </c>
      <c r="H359" s="2" t="s">
        <v>380</v>
      </c>
      <c r="I359" s="7" t="str">
        <f aca="false">HYPERLINK("https://mncourtfraud.com/file/MCRO_27-CR-22-3864_Finding of Incompetency and Order_2023-05-02_20251126185519.pdf.ots","MCRO_27-CR-22-3864_Finding of Incompetency and Order_2023-05-02_20251126185519.pdf.ots")</f>
        <v>MCRO_27-CR-22-3864_Finding of Incompetency and Order_2023-05-02_20251126185519.pdf.ots</v>
      </c>
      <c r="J359" s="7" t="str">
        <f aca="false">HYPERLINK("https://mncourtfraud.com/file/MCRO_27-CR-22-3864_Finding of Incompetency and Order_2023-05-02_20251126185519_META.txt","MCRO_27-CR-22-3864_Finding of Incompetency and Order_2023-05-02_20251126185519_META.txt")</f>
        <v>MCRO_27-CR-22-3864_Finding of Incompetency and Order_2023-05-02_20251126185519_META.txt</v>
      </c>
      <c r="K359" s="7" t="str">
        <f aca="false">HYPERLINK("https://mncourtfraud.com/file/MCRO_27-CR-22-3864_Finding of Incompetency and Order_2023-05-02_20251126185519_PDFSIGS.txt","MCRO_27-CR-22-3864_Finding of Incompetency and Order_2023-05-02_20251126185519_PDFSIGS.txt")</f>
        <v>MCRO_27-CR-22-3864_Finding of Incompetency and Order_2023-05-02_20251126185519_PDFSIGS.txt</v>
      </c>
      <c r="L359" s="7" t="str">
        <f aca="false">HYPERLINK("https://mncourtfraud.com/file/MCRO_27-CR-22-3864_Finding_of_Incompetency_and_Order_2023-05-02_20251126185519.zip","MCRO_27-CR-22-3864_Finding_of_Incompetency_and_Order_2023-05-02_20251126185519.zip")</f>
        <v>MCRO_27-CR-22-3864_Finding_of_Incompetency_and_Order_2023-05-02_20251126185519.zip</v>
      </c>
    </row>
    <row r="360" customFormat="false" ht="18.7" hidden="false" customHeight="true" outlineLevel="0" collapsed="false">
      <c r="A360" s="1" t="n">
        <v>359</v>
      </c>
      <c r="B360" s="7" t="str">
        <f aca="false">HYPERLINK("https://mncourtfraud.com/file/27-CR-22-6512.pdf","27-CR-22-6512")</f>
        <v>27-CR-22-6512</v>
      </c>
      <c r="C360" s="1" t="n">
        <v>5</v>
      </c>
      <c r="D360" s="2" t="s">
        <v>267</v>
      </c>
      <c r="E360" s="8" t="n">
        <v>44837</v>
      </c>
      <c r="F360" s="2" t="s">
        <v>17</v>
      </c>
      <c r="G360" s="7" t="str">
        <f aca="false">HYPERLINK("https://mncourtfraud.com/file/MCRO_27-CR-22-6512_Returned Mail_2022-10-03_20251126170305.pdf","MCRO_27-CR-22-6512_Returned Mail_2022-10-03_20251126170305.pdf")</f>
        <v>MCRO_27-CR-22-6512_Returned Mail_2022-10-03_20251126170305.pdf</v>
      </c>
      <c r="H360" s="2" t="s">
        <v>381</v>
      </c>
      <c r="I360" s="7" t="str">
        <f aca="false">HYPERLINK("https://mncourtfraud.com/file/MCRO_27-CR-22-6512_Returned Mail_2022-10-03_20251126170305.pdf.ots","MCRO_27-CR-22-6512_Returned Mail_2022-10-03_20251126170305.pdf.ots")</f>
        <v>MCRO_27-CR-22-6512_Returned Mail_2022-10-03_20251126170305.pdf.ots</v>
      </c>
      <c r="J360" s="7" t="str">
        <f aca="false">HYPERLINK("https://mncourtfraud.com/file/MCRO_27-CR-22-6512_Returned Mail_2022-10-03_20251126170305_META.txt","MCRO_27-CR-22-6512_Returned Mail_2022-10-03_20251126170305_META.txt")</f>
        <v>MCRO_27-CR-22-6512_Returned Mail_2022-10-03_20251126170305_META.txt</v>
      </c>
      <c r="K360" s="7" t="str">
        <f aca="false">HYPERLINK("https://mncourtfraud.com/file/MCRO_27-CR-22-6512_Returned Mail_2022-10-03_20251126170305_PDFSIGS.txt","MCRO_27-CR-22-6512_Returned Mail_2022-10-03_20251126170305_PDFSIGS.txt")</f>
        <v>MCRO_27-CR-22-6512_Returned Mail_2022-10-03_20251126170305_PDFSIGS.txt</v>
      </c>
      <c r="L360" s="7" t="str">
        <f aca="false">HYPERLINK("https://mncourtfraud.com/file/MCRO_27-CR-22-6512_Returned_Mail_2022-10-03_20251126170305.zip","MCRO_27-CR-22-6512_Returned_Mail_2022-10-03_20251126170305.zip")</f>
        <v>MCRO_27-CR-22-6512_Returned_Mail_2022-10-03_20251126170305.zip</v>
      </c>
    </row>
    <row r="361" customFormat="false" ht="18.7" hidden="false" customHeight="true" outlineLevel="0" collapsed="false">
      <c r="A361" s="1" t="n">
        <v>360</v>
      </c>
      <c r="B361" s="7" t="str">
        <f aca="false">HYPERLINK("https://mncourtfraud.com/file/27-CR-22-6512.pdf","27-CR-22-6512")</f>
        <v>27-CR-22-6512</v>
      </c>
      <c r="C361" s="1" t="n">
        <v>5</v>
      </c>
      <c r="D361" s="2" t="s">
        <v>267</v>
      </c>
      <c r="E361" s="8" t="n">
        <v>44873</v>
      </c>
      <c r="F361" s="2" t="s">
        <v>15</v>
      </c>
      <c r="G361" s="7" t="str">
        <f aca="false">HYPERLINK("https://mncourtfraud.com/file/MCRO_27-CR-22-6512_Order-Evaluation for Competency to Proceed (Rule 20.01)_2022-11-08_20251126170328.pdf","MCRO_27-CR-22-6512_Order-Evaluation for Competency to Proceed (Rule 20.01)_2022-11-08_20251126170328.pdf")</f>
        <v>MCRO_27-CR-22-6512_Order-Evaluation for Competency to Proceed (Rule 20.01)_2022-11-08_20251126170328.pdf</v>
      </c>
      <c r="H361" s="2" t="s">
        <v>382</v>
      </c>
      <c r="I361" s="7" t="str">
        <f aca="false">HYPERLINK("https://mncourtfraud.com/file/MCRO_27-CR-22-6512_Order-Evaluation for Competency to Proceed (Rule 20.01)_2022-11-08_20251126170328.pdf.ots","MCRO_27-CR-22-6512_Order-Evaluation for Competency to Proceed (Rule 20.01)_2022-11-08_20251126170328.pdf.ots")</f>
        <v>MCRO_27-CR-22-6512_Order-Evaluation for Competency to Proceed (Rule 20.01)_2022-11-08_20251126170328.pdf.ots</v>
      </c>
      <c r="J361" s="7" t="str">
        <f aca="false">HYPERLINK("https://mncourtfraud.com/file/MCRO_27-CR-22-6512_Order-Evaluation for Competency to Proceed (Rule 20.01)_2022-11-08_20251126170328_META.txt","MCRO_27-CR-22-6512_Order-Evaluation for Competency to Proceed (Rule 20.01)_2022-11-08_20251126170328_META.txt")</f>
        <v>MCRO_27-CR-22-6512_Order-Evaluation for Competency to Proceed (Rule 20.01)_2022-11-08_20251126170328_META.txt</v>
      </c>
      <c r="K361" s="7" t="str">
        <f aca="false">HYPERLINK("https://mncourtfraud.com/file/MCRO_27-CR-22-6512_Order-Evaluation for Competency to Proceed (Rule 20.01)_2022-11-08_20251126170328_PDFSIGS.txt","MCRO_27-CR-22-6512_Order-Evaluation for Competency to Proceed (Rule 20.01)_2022-11-08_20251126170328_PDFSIGS.txt")</f>
        <v>MCRO_27-CR-22-6512_Order-Evaluation for Competency to Proceed (Rule 20.01)_2022-11-08_20251126170328_PDFSIGS.txt</v>
      </c>
      <c r="L361" s="7" t="str">
        <f aca="false">HYPERLINK("https://mncourtfraud.com/file/MCRO_27-CR-22-6512_Order-Evaluation_for_Competency_to_Proceed_(Rule_20.01)_2022-11-08_20251126170328.zip","MCRO_27-CR-22-6512_Order-Evaluation_for_Competency_to_Proceed_(Rule_20.01)_2022-11-08_20251126170328.zip")</f>
        <v>MCRO_27-CR-22-6512_Order-Evaluation_for_Competency_to_Proceed_(Rule_20.01)_2022-11-08_20251126170328.zip</v>
      </c>
    </row>
    <row r="362" customFormat="false" ht="18.7" hidden="false" customHeight="true" outlineLevel="0" collapsed="false">
      <c r="A362" s="1" t="n">
        <v>361</v>
      </c>
      <c r="B362" s="7" t="str">
        <f aca="false">HYPERLINK("https://mncourtfraud.com/file/27-CR-22-6512.pdf","27-CR-22-6512")</f>
        <v>27-CR-22-6512</v>
      </c>
      <c r="C362" s="1" t="n">
        <v>5</v>
      </c>
      <c r="D362" s="2" t="s">
        <v>267</v>
      </c>
      <c r="E362" s="8" t="n">
        <v>45023</v>
      </c>
      <c r="F362" s="2" t="s">
        <v>15</v>
      </c>
      <c r="G362" s="7" t="str">
        <f aca="false">HYPERLINK("https://mncourtfraud.com/file/MCRO_27-CR-22-6512_Order-Evaluation for Competency to Proceed (Rule 20.01)_2023-04-07_20251126170337.pdf","MCRO_27-CR-22-6512_Order-Evaluation for Competency to Proceed (Rule 20.01)_2023-04-07_20251126170337.pdf")</f>
        <v>MCRO_27-CR-22-6512_Order-Evaluation for Competency to Proceed (Rule 20.01)_2023-04-07_20251126170337.pdf</v>
      </c>
      <c r="H362" s="2" t="s">
        <v>383</v>
      </c>
      <c r="I362" s="7" t="str">
        <f aca="false">HYPERLINK("https://mncourtfraud.com/file/MCRO_27-CR-22-6512_Order-Evaluation for Competency to Proceed (Rule 20.01)_2023-04-07_20251126170337.pdf.ots","MCRO_27-CR-22-6512_Order-Evaluation for Competency to Proceed (Rule 20.01)_2023-04-07_20251126170337.pdf.ots")</f>
        <v>MCRO_27-CR-22-6512_Order-Evaluation for Competency to Proceed (Rule 20.01)_2023-04-07_20251126170337.pdf.ots</v>
      </c>
      <c r="J362" s="7" t="str">
        <f aca="false">HYPERLINK("https://mncourtfraud.com/file/MCRO_27-CR-22-6512_Order-Evaluation for Competency to Proceed (Rule 20.01)_2023-04-07_20251126170337_META.txt","MCRO_27-CR-22-6512_Order-Evaluation for Competency to Proceed (Rule 20.01)_2023-04-07_20251126170337_META.txt")</f>
        <v>MCRO_27-CR-22-6512_Order-Evaluation for Competency to Proceed (Rule 20.01)_2023-04-07_20251126170337_META.txt</v>
      </c>
      <c r="K362" s="7" t="str">
        <f aca="false">HYPERLINK("https://mncourtfraud.com/file/MCRO_27-CR-22-6512_Order-Evaluation for Competency to Proceed (Rule 20.01)_2023-04-07_20251126170337_PDFSIGS.txt","MCRO_27-CR-22-6512_Order-Evaluation for Competency to Proceed (Rule 20.01)_2023-04-07_20251126170337_PDFSIGS.txt")</f>
        <v>MCRO_27-CR-22-6512_Order-Evaluation for Competency to Proceed (Rule 20.01)_2023-04-07_20251126170337_PDFSIGS.txt</v>
      </c>
      <c r="L362" s="7" t="str">
        <f aca="false">HYPERLINK("https://mncourtfraud.com/file/MCRO_27-CR-22-6512_Order-Evaluation_for_Competency_to_Proceed_(Rule_20.01)_2023-04-07_20251126170337.zip","MCRO_27-CR-22-6512_Order-Evaluation_for_Competency_to_Proceed_(Rule_20.01)_2023-04-07_20251126170337.zip")</f>
        <v>MCRO_27-CR-22-6512_Order-Evaluation_for_Competency_to_Proceed_(Rule_20.01)_2023-04-07_20251126170337.zip</v>
      </c>
    </row>
    <row r="363" customFormat="false" ht="18.7" hidden="false" customHeight="true" outlineLevel="0" collapsed="false">
      <c r="A363" s="1" t="n">
        <v>362</v>
      </c>
      <c r="B363" s="7" t="str">
        <f aca="false">HYPERLINK("https://mncourtfraud.com/file/27-CR-22-6512.pdf","27-CR-22-6512")</f>
        <v>27-CR-22-6512</v>
      </c>
      <c r="C363" s="1" t="n">
        <v>5</v>
      </c>
      <c r="D363" s="2" t="s">
        <v>267</v>
      </c>
      <c r="E363" s="8" t="n">
        <v>45194</v>
      </c>
      <c r="F363" s="2" t="s">
        <v>15</v>
      </c>
      <c r="G363" s="7" t="str">
        <f aca="false">HYPERLINK("https://mncourtfraud.com/file/MCRO_27-CR-22-6512_Order-Evaluation for Competency to Proceed (Rule 20.01)_2023-09-25_20251126170316.pdf","MCRO_27-CR-22-6512_Order-Evaluation for Competency to Proceed (Rule 20.01)_2023-09-25_20251126170316.pdf")</f>
        <v>MCRO_27-CR-22-6512_Order-Evaluation for Competency to Proceed (Rule 20.01)_2023-09-25_20251126170316.pdf</v>
      </c>
      <c r="H363" s="2" t="s">
        <v>384</v>
      </c>
      <c r="I363" s="7" t="str">
        <f aca="false">HYPERLINK("https://mncourtfraud.com/file/MCRO_27-CR-22-6512_Order-Evaluation for Competency to Proceed (Rule 20.01)_2023-09-25_20251126170316.pdf.ots","MCRO_27-CR-22-6512_Order-Evaluation for Competency to Proceed (Rule 20.01)_2023-09-25_20251126170316.pdf.ots")</f>
        <v>MCRO_27-CR-22-6512_Order-Evaluation for Competency to Proceed (Rule 20.01)_2023-09-25_20251126170316.pdf.ots</v>
      </c>
      <c r="J363" s="7" t="str">
        <f aca="false">HYPERLINK("https://mncourtfraud.com/file/MCRO_27-CR-22-6512_Order-Evaluation for Competency to Proceed (Rule 20.01)_2023-09-25_20251126170316_META.txt","MCRO_27-CR-22-6512_Order-Evaluation for Competency to Proceed (Rule 20.01)_2023-09-25_20251126170316_META.txt")</f>
        <v>MCRO_27-CR-22-6512_Order-Evaluation for Competency to Proceed (Rule 20.01)_2023-09-25_20251126170316_META.txt</v>
      </c>
      <c r="K363" s="7" t="str">
        <f aca="false">HYPERLINK("https://mncourtfraud.com/file/MCRO_27-CR-22-6512_Order-Evaluation for Competency to Proceed (Rule 20.01)_2023-09-25_20251126170316_PDFSIGS.txt","MCRO_27-CR-22-6512_Order-Evaluation for Competency to Proceed (Rule 20.01)_2023-09-25_20251126170316_PDFSIGS.txt")</f>
        <v>MCRO_27-CR-22-6512_Order-Evaluation for Competency to Proceed (Rule 20.01)_2023-09-25_20251126170316_PDFSIGS.txt</v>
      </c>
      <c r="L363" s="7" t="str">
        <f aca="false">HYPERLINK("https://mncourtfraud.com/file/MCRO_27-CR-22-6512_Order-Evaluation_for_Competency_to_Proceed_(Rule_20.01)_2023-09-25_20251126170316.zip","MCRO_27-CR-22-6512_Order-Evaluation_for_Competency_to_Proceed_(Rule_20.01)_2023-09-25_20251126170316.zip")</f>
        <v>MCRO_27-CR-22-6512_Order-Evaluation_for_Competency_to_Proceed_(Rule_20.01)_2023-09-25_20251126170316.zip</v>
      </c>
    </row>
    <row r="364" customFormat="false" ht="18.7" hidden="false" customHeight="true" outlineLevel="0" collapsed="false">
      <c r="A364" s="1" t="n">
        <v>363</v>
      </c>
      <c r="B364" s="7" t="str">
        <f aca="false">HYPERLINK("https://mncourtfraud.com/file/27-CR-22-6895.pdf","27-CR-22-6895")</f>
        <v>27-CR-22-6895</v>
      </c>
      <c r="C364" s="1" t="n">
        <v>5</v>
      </c>
      <c r="D364" s="2" t="s">
        <v>267</v>
      </c>
      <c r="E364" s="8" t="n">
        <v>44837</v>
      </c>
      <c r="F364" s="2" t="s">
        <v>17</v>
      </c>
      <c r="G364" s="7" t="str">
        <f aca="false">HYPERLINK("https://mncourtfraud.com/file/MCRO_27-CR-22-6895_Returned Mail_2022-10-03_20251126170447.pdf","MCRO_27-CR-22-6895_Returned Mail_2022-10-03_20251126170447.pdf")</f>
        <v>MCRO_27-CR-22-6895_Returned Mail_2022-10-03_20251126170447.pdf</v>
      </c>
      <c r="H364" s="2" t="s">
        <v>385</v>
      </c>
      <c r="I364" s="7" t="str">
        <f aca="false">HYPERLINK("https://mncourtfraud.com/file/MCRO_27-CR-22-6895_Returned Mail_2022-10-03_20251126170447.pdf.ots","MCRO_27-CR-22-6895_Returned Mail_2022-10-03_20251126170447.pdf.ots")</f>
        <v>MCRO_27-CR-22-6895_Returned Mail_2022-10-03_20251126170447.pdf.ots</v>
      </c>
      <c r="J364" s="7" t="str">
        <f aca="false">HYPERLINK("https://mncourtfraud.com/file/MCRO_27-CR-22-6895_Returned Mail_2022-10-03_20251126170447_META.txt","MCRO_27-CR-22-6895_Returned Mail_2022-10-03_20251126170447_META.txt")</f>
        <v>MCRO_27-CR-22-6895_Returned Mail_2022-10-03_20251126170447_META.txt</v>
      </c>
      <c r="K364" s="7" t="str">
        <f aca="false">HYPERLINK("https://mncourtfraud.com/file/MCRO_27-CR-22-6895_Returned Mail_2022-10-03_20251126170447_PDFSIGS.txt","MCRO_27-CR-22-6895_Returned Mail_2022-10-03_20251126170447_PDFSIGS.txt")</f>
        <v>MCRO_27-CR-22-6895_Returned Mail_2022-10-03_20251126170447_PDFSIGS.txt</v>
      </c>
      <c r="L364" s="7" t="str">
        <f aca="false">HYPERLINK("https://mncourtfraud.com/file/MCRO_27-CR-22-6895_Returned_Mail_2022-10-03_20251126170447.zip","MCRO_27-CR-22-6895_Returned_Mail_2022-10-03_20251126170447.zip")</f>
        <v>MCRO_27-CR-22-6895_Returned_Mail_2022-10-03_20251126170447.zip</v>
      </c>
    </row>
    <row r="365" customFormat="false" ht="18.7" hidden="false" customHeight="true" outlineLevel="0" collapsed="false">
      <c r="A365" s="1" t="n">
        <v>364</v>
      </c>
      <c r="B365" s="7" t="str">
        <f aca="false">HYPERLINK("https://mncourtfraud.com/file/27-CR-22-6895.pdf","27-CR-22-6895")</f>
        <v>27-CR-22-6895</v>
      </c>
      <c r="C365" s="1" t="n">
        <v>5</v>
      </c>
      <c r="D365" s="2" t="s">
        <v>267</v>
      </c>
      <c r="E365" s="8" t="n">
        <v>44873</v>
      </c>
      <c r="F365" s="2" t="s">
        <v>15</v>
      </c>
      <c r="G365" s="7" t="str">
        <f aca="false">HYPERLINK("https://mncourtfraud.com/file/MCRO_27-CR-22-6895_Order-Evaluation for Competency to Proceed (Rule 20.01)_2022-11-08_20251126170402.pdf","MCRO_27-CR-22-6895_Order-Evaluation for Competency to Proceed (Rule 20.01)_2022-11-08_20251126170402.pdf")</f>
        <v>MCRO_27-CR-22-6895_Order-Evaluation for Competency to Proceed (Rule 20.01)_2022-11-08_20251126170402.pdf</v>
      </c>
      <c r="H365" s="2" t="s">
        <v>386</v>
      </c>
      <c r="I365" s="7" t="str">
        <f aca="false">HYPERLINK("https://mncourtfraud.com/file/MCRO_27-CR-22-6895_Order-Evaluation for Competency to Proceed (Rule 20.01)_2022-11-08_20251126170402.pdf.ots","MCRO_27-CR-22-6895_Order-Evaluation for Competency to Proceed (Rule 20.01)_2022-11-08_20251126170402.pdf.ots")</f>
        <v>MCRO_27-CR-22-6895_Order-Evaluation for Competency to Proceed (Rule 20.01)_2022-11-08_20251126170402.pdf.ots</v>
      </c>
      <c r="J365" s="7" t="str">
        <f aca="false">HYPERLINK("https://mncourtfraud.com/file/MCRO_27-CR-22-6895_Order-Evaluation for Competency to Proceed (Rule 20.01)_2022-11-08_20251126170402_META.txt","MCRO_27-CR-22-6895_Order-Evaluation for Competency to Proceed (Rule 20.01)_2022-11-08_20251126170402_META.txt")</f>
        <v>MCRO_27-CR-22-6895_Order-Evaluation for Competency to Proceed (Rule 20.01)_2022-11-08_20251126170402_META.txt</v>
      </c>
      <c r="K365" s="7" t="str">
        <f aca="false">HYPERLINK("https://mncourtfraud.com/file/MCRO_27-CR-22-6895_Order-Evaluation for Competency to Proceed (Rule 20.01)_2022-11-08_20251126170402_PDFSIGS.txt","MCRO_27-CR-22-6895_Order-Evaluation for Competency to Proceed (Rule 20.01)_2022-11-08_20251126170402_PDFSIGS.txt")</f>
        <v>MCRO_27-CR-22-6895_Order-Evaluation for Competency to Proceed (Rule 20.01)_2022-11-08_20251126170402_PDFSIGS.txt</v>
      </c>
      <c r="L365" s="7" t="str">
        <f aca="false">HYPERLINK("https://mncourtfraud.com/file/MCRO_27-CR-22-6895_Order-Evaluation_for_Competency_to_Proceed_(Rule_20.01)_2022-11-08_20251126170402.zip","MCRO_27-CR-22-6895_Order-Evaluation_for_Competency_to_Proceed_(Rule_20.01)_2022-11-08_20251126170402.zip")</f>
        <v>MCRO_27-CR-22-6895_Order-Evaluation_for_Competency_to_Proceed_(Rule_20.01)_2022-11-08_20251126170402.zip</v>
      </c>
    </row>
    <row r="366" customFormat="false" ht="18.7" hidden="false" customHeight="true" outlineLevel="0" collapsed="false">
      <c r="A366" s="1" t="n">
        <v>365</v>
      </c>
      <c r="B366" s="7" t="str">
        <f aca="false">HYPERLINK("https://mncourtfraud.com/file/27-CR-22-6895.pdf","27-CR-22-6895")</f>
        <v>27-CR-22-6895</v>
      </c>
      <c r="C366" s="1" t="n">
        <v>5</v>
      </c>
      <c r="D366" s="2" t="s">
        <v>267</v>
      </c>
      <c r="E366" s="8" t="n">
        <v>45023</v>
      </c>
      <c r="F366" s="2" t="s">
        <v>15</v>
      </c>
      <c r="G366" s="7" t="str">
        <f aca="false">HYPERLINK("https://mncourtfraud.com/file/MCRO_27-CR-22-6895_Order-Evaluation for Competency to Proceed (Rule 20.01)_2023-04-07_20251126170421.pdf","MCRO_27-CR-22-6895_Order-Evaluation for Competency to Proceed (Rule 20.01)_2023-04-07_20251126170421.pdf")</f>
        <v>MCRO_27-CR-22-6895_Order-Evaluation for Competency to Proceed (Rule 20.01)_2023-04-07_20251126170421.pdf</v>
      </c>
      <c r="H366" s="2" t="s">
        <v>387</v>
      </c>
      <c r="I366" s="7" t="str">
        <f aca="false">HYPERLINK("https://mncourtfraud.com/file/MCRO_27-CR-22-6895_Order-Evaluation for Competency to Proceed (Rule 20.01)_2023-04-07_20251126170421.pdf.ots","MCRO_27-CR-22-6895_Order-Evaluation for Competency to Proceed (Rule 20.01)_2023-04-07_20251126170421.pdf.ots")</f>
        <v>MCRO_27-CR-22-6895_Order-Evaluation for Competency to Proceed (Rule 20.01)_2023-04-07_20251126170421.pdf.ots</v>
      </c>
      <c r="J366" s="7" t="str">
        <f aca="false">HYPERLINK("https://mncourtfraud.com/file/MCRO_27-CR-22-6895_Order-Evaluation for Competency to Proceed (Rule 20.01)_2023-04-07_20251126170421_META.txt","MCRO_27-CR-22-6895_Order-Evaluation for Competency to Proceed (Rule 20.01)_2023-04-07_20251126170421_META.txt")</f>
        <v>MCRO_27-CR-22-6895_Order-Evaluation for Competency to Proceed (Rule 20.01)_2023-04-07_20251126170421_META.txt</v>
      </c>
      <c r="K366" s="7" t="str">
        <f aca="false">HYPERLINK("https://mncourtfraud.com/file/MCRO_27-CR-22-6895_Order-Evaluation for Competency to Proceed (Rule 20.01)_2023-04-07_20251126170421_PDFSIGS.txt","MCRO_27-CR-22-6895_Order-Evaluation for Competency to Proceed (Rule 20.01)_2023-04-07_20251126170421_PDFSIGS.txt")</f>
        <v>MCRO_27-CR-22-6895_Order-Evaluation for Competency to Proceed (Rule 20.01)_2023-04-07_20251126170421_PDFSIGS.txt</v>
      </c>
      <c r="L366" s="7" t="str">
        <f aca="false">HYPERLINK("https://mncourtfraud.com/file/MCRO_27-CR-22-6895_Order-Evaluation_for_Competency_to_Proceed_(Rule_20.01)_2023-04-07_20251126170421.zip","MCRO_27-CR-22-6895_Order-Evaluation_for_Competency_to_Proceed_(Rule_20.01)_2023-04-07_20251126170421.zip")</f>
        <v>MCRO_27-CR-22-6895_Order-Evaluation_for_Competency_to_Proceed_(Rule_20.01)_2023-04-07_20251126170421.zip</v>
      </c>
    </row>
    <row r="367" customFormat="false" ht="18.7" hidden="false" customHeight="true" outlineLevel="0" collapsed="false">
      <c r="A367" s="1" t="n">
        <v>366</v>
      </c>
      <c r="B367" s="7" t="str">
        <f aca="false">HYPERLINK("https://mncourtfraud.com/file/27-CR-22-6895.pdf","27-CR-22-6895")</f>
        <v>27-CR-22-6895</v>
      </c>
      <c r="C367" s="1" t="n">
        <v>5</v>
      </c>
      <c r="D367" s="2" t="s">
        <v>267</v>
      </c>
      <c r="E367" s="8" t="n">
        <v>45194</v>
      </c>
      <c r="F367" s="2" t="s">
        <v>15</v>
      </c>
      <c r="G367" s="7" t="str">
        <f aca="false">HYPERLINK("https://mncourtfraud.com/file/MCRO_27-CR-22-6895_Order-Evaluation for Competency to Proceed (Rule 20.01)_2023-09-25_20251126170434.pdf","MCRO_27-CR-22-6895_Order-Evaluation for Competency to Proceed (Rule 20.01)_2023-09-25_20251126170434.pdf")</f>
        <v>MCRO_27-CR-22-6895_Order-Evaluation for Competency to Proceed (Rule 20.01)_2023-09-25_20251126170434.pdf</v>
      </c>
      <c r="H367" s="2" t="s">
        <v>388</v>
      </c>
      <c r="I367" s="7" t="str">
        <f aca="false">HYPERLINK("https://mncourtfraud.com/file/MCRO_27-CR-22-6895_Order-Evaluation for Competency to Proceed (Rule 20.01)_2023-09-25_20251126170434.pdf.ots","MCRO_27-CR-22-6895_Order-Evaluation for Competency to Proceed (Rule 20.01)_2023-09-25_20251126170434.pdf.ots")</f>
        <v>MCRO_27-CR-22-6895_Order-Evaluation for Competency to Proceed (Rule 20.01)_2023-09-25_20251126170434.pdf.ots</v>
      </c>
      <c r="J367" s="7" t="str">
        <f aca="false">HYPERLINK("https://mncourtfraud.com/file/MCRO_27-CR-22-6895_Order-Evaluation for Competency to Proceed (Rule 20.01)_2023-09-25_20251126170434_META.txt","MCRO_27-CR-22-6895_Order-Evaluation for Competency to Proceed (Rule 20.01)_2023-09-25_20251126170434_META.txt")</f>
        <v>MCRO_27-CR-22-6895_Order-Evaluation for Competency to Proceed (Rule 20.01)_2023-09-25_20251126170434_META.txt</v>
      </c>
      <c r="K367" s="7" t="str">
        <f aca="false">HYPERLINK("https://mncourtfraud.com/file/MCRO_27-CR-22-6895_Order-Evaluation for Competency to Proceed (Rule 20.01)_2023-09-25_20251126170434_PDFSIGS.txt","MCRO_27-CR-22-6895_Order-Evaluation for Competency to Proceed (Rule 20.01)_2023-09-25_20251126170434_PDFSIGS.txt")</f>
        <v>MCRO_27-CR-22-6895_Order-Evaluation for Competency to Proceed (Rule 20.01)_2023-09-25_20251126170434_PDFSIGS.txt</v>
      </c>
      <c r="L367" s="7" t="str">
        <f aca="false">HYPERLINK("https://mncourtfraud.com/file/MCRO_27-CR-22-6895_Order-Evaluation_for_Competency_to_Proceed_(Rule_20.01)_2023-09-25_20251126170434.zip","MCRO_27-CR-22-6895_Order-Evaluation_for_Competency_to_Proceed_(Rule_20.01)_2023-09-25_20251126170434.zip")</f>
        <v>MCRO_27-CR-22-6895_Order-Evaluation_for_Competency_to_Proceed_(Rule_20.01)_2023-09-25_20251126170434.zip</v>
      </c>
    </row>
    <row r="368" customFormat="false" ht="18.7" hidden="false" customHeight="true" outlineLevel="0" collapsed="false">
      <c r="A368" s="1" t="n">
        <v>367</v>
      </c>
      <c r="B368" s="7" t="str">
        <f aca="false">HYPERLINK("https://mncourtfraud.com/file/27-CR-22-7520.pdf","27-CR-22-7520")</f>
        <v>27-CR-22-7520</v>
      </c>
      <c r="C368" s="1" t="n">
        <v>5</v>
      </c>
      <c r="D368" s="2" t="s">
        <v>267</v>
      </c>
      <c r="E368" s="8" t="n">
        <v>44837</v>
      </c>
      <c r="F368" s="2" t="s">
        <v>17</v>
      </c>
      <c r="G368" s="7" t="str">
        <f aca="false">HYPERLINK("https://mncourtfraud.com/file/MCRO_27-CR-22-7520_Returned Mail_2022-10-03_20251126170511.pdf","MCRO_27-CR-22-7520_Returned Mail_2022-10-03_20251126170511.pdf")</f>
        <v>MCRO_27-CR-22-7520_Returned Mail_2022-10-03_20251126170511.pdf</v>
      </c>
      <c r="H368" s="2" t="s">
        <v>389</v>
      </c>
      <c r="I368" s="7" t="str">
        <f aca="false">HYPERLINK("https://mncourtfraud.com/file/MCRO_27-CR-22-7520_Returned Mail_2022-10-03_20251126170511.pdf.ots","MCRO_27-CR-22-7520_Returned Mail_2022-10-03_20251126170511.pdf.ots")</f>
        <v>MCRO_27-CR-22-7520_Returned Mail_2022-10-03_20251126170511.pdf.ots</v>
      </c>
      <c r="J368" s="7" t="str">
        <f aca="false">HYPERLINK("https://mncourtfraud.com/file/MCRO_27-CR-22-7520_Returned Mail_2022-10-03_20251126170511_META.txt","MCRO_27-CR-22-7520_Returned Mail_2022-10-03_20251126170511_META.txt")</f>
        <v>MCRO_27-CR-22-7520_Returned Mail_2022-10-03_20251126170511_META.txt</v>
      </c>
      <c r="K368" s="7" t="str">
        <f aca="false">HYPERLINK("https://mncourtfraud.com/file/MCRO_27-CR-22-7520_Returned Mail_2022-10-03_20251126170511_PDFSIGS.txt","MCRO_27-CR-22-7520_Returned Mail_2022-10-03_20251126170511_PDFSIGS.txt")</f>
        <v>MCRO_27-CR-22-7520_Returned Mail_2022-10-03_20251126170511_PDFSIGS.txt</v>
      </c>
      <c r="L368" s="7" t="str">
        <f aca="false">HYPERLINK("https://mncourtfraud.com/file/MCRO_27-CR-22-7520_Returned_Mail_2022-10-03_20251126170511.zip","MCRO_27-CR-22-7520_Returned_Mail_2022-10-03_20251126170511.zip")</f>
        <v>MCRO_27-CR-22-7520_Returned_Mail_2022-10-03_20251126170511.zip</v>
      </c>
    </row>
    <row r="369" customFormat="false" ht="18.7" hidden="false" customHeight="true" outlineLevel="0" collapsed="false">
      <c r="A369" s="1" t="n">
        <v>368</v>
      </c>
      <c r="B369" s="7" t="str">
        <f aca="false">HYPERLINK("https://mncourtfraud.com/file/27-CR-22-7520.pdf","27-CR-22-7520")</f>
        <v>27-CR-22-7520</v>
      </c>
      <c r="C369" s="1" t="n">
        <v>5</v>
      </c>
      <c r="D369" s="2" t="s">
        <v>267</v>
      </c>
      <c r="E369" s="8" t="n">
        <v>44873</v>
      </c>
      <c r="F369" s="2" t="s">
        <v>15</v>
      </c>
      <c r="G369" s="7" t="str">
        <f aca="false">HYPERLINK("https://mncourtfraud.com/file/MCRO_27-CR-22-7520_Order-Evaluation for Competency to Proceed (Rule 20.01)_2022-11-08_20251126170532.pdf","MCRO_27-CR-22-7520_Order-Evaluation for Competency to Proceed (Rule 20.01)_2022-11-08_20251126170532.pdf")</f>
        <v>MCRO_27-CR-22-7520_Order-Evaluation for Competency to Proceed (Rule 20.01)_2022-11-08_20251126170532.pdf</v>
      </c>
      <c r="H369" s="2" t="s">
        <v>390</v>
      </c>
      <c r="I369" s="7" t="str">
        <f aca="false">HYPERLINK("https://mncourtfraud.com/file/MCRO_27-CR-22-7520_Order-Evaluation for Competency to Proceed (Rule 20.01)_2022-11-08_20251126170532.pdf.ots","MCRO_27-CR-22-7520_Order-Evaluation for Competency to Proceed (Rule 20.01)_2022-11-08_20251126170532.pdf.ots")</f>
        <v>MCRO_27-CR-22-7520_Order-Evaluation for Competency to Proceed (Rule 20.01)_2022-11-08_20251126170532.pdf.ots</v>
      </c>
      <c r="J369" s="7" t="str">
        <f aca="false">HYPERLINK("https://mncourtfraud.com/file/MCRO_27-CR-22-7520_Order-Evaluation for Competency to Proceed (Rule 20.01)_2022-11-08_20251126170532_META.txt","MCRO_27-CR-22-7520_Order-Evaluation for Competency to Proceed (Rule 20.01)_2022-11-08_20251126170532_META.txt")</f>
        <v>MCRO_27-CR-22-7520_Order-Evaluation for Competency to Proceed (Rule 20.01)_2022-11-08_20251126170532_META.txt</v>
      </c>
      <c r="K369" s="7" t="str">
        <f aca="false">HYPERLINK("https://mncourtfraud.com/file/MCRO_27-CR-22-7520_Order-Evaluation for Competency to Proceed (Rule 20.01)_2022-11-08_20251126170532_PDFSIGS.txt","MCRO_27-CR-22-7520_Order-Evaluation for Competency to Proceed (Rule 20.01)_2022-11-08_20251126170532_PDFSIGS.txt")</f>
        <v>MCRO_27-CR-22-7520_Order-Evaluation for Competency to Proceed (Rule 20.01)_2022-11-08_20251126170532_PDFSIGS.txt</v>
      </c>
      <c r="L369" s="7" t="str">
        <f aca="false">HYPERLINK("https://mncourtfraud.com/file/MCRO_27-CR-22-7520_Order-Evaluation_for_Competency_to_Proceed_(Rule_20.01)_2022-11-08_20251126170532.zip","MCRO_27-CR-22-7520_Order-Evaluation_for_Competency_to_Proceed_(Rule_20.01)_2022-11-08_20251126170532.zip")</f>
        <v>MCRO_27-CR-22-7520_Order-Evaluation_for_Competency_to_Proceed_(Rule_20.01)_2022-11-08_20251126170532.zip</v>
      </c>
    </row>
    <row r="370" customFormat="false" ht="18.7" hidden="false" customHeight="true" outlineLevel="0" collapsed="false">
      <c r="A370" s="1" t="n">
        <v>369</v>
      </c>
      <c r="B370" s="7" t="str">
        <f aca="false">HYPERLINK("https://mncourtfraud.com/file/27-CR-22-7520.pdf","27-CR-22-7520")</f>
        <v>27-CR-22-7520</v>
      </c>
      <c r="C370" s="1" t="n">
        <v>5</v>
      </c>
      <c r="D370" s="2" t="s">
        <v>267</v>
      </c>
      <c r="E370" s="8" t="n">
        <v>45023</v>
      </c>
      <c r="F370" s="2" t="s">
        <v>15</v>
      </c>
      <c r="G370" s="7" t="str">
        <f aca="false">HYPERLINK("https://mncourtfraud.com/file/MCRO_27-CR-22-7520_Order-Evaluation for Competency to Proceed (Rule 20.01)_2023-04-07_20251126170542.pdf","MCRO_27-CR-22-7520_Order-Evaluation for Competency to Proceed (Rule 20.01)_2023-04-07_20251126170542.pdf")</f>
        <v>MCRO_27-CR-22-7520_Order-Evaluation for Competency to Proceed (Rule 20.01)_2023-04-07_20251126170542.pdf</v>
      </c>
      <c r="H370" s="2" t="s">
        <v>391</v>
      </c>
      <c r="I370" s="7" t="str">
        <f aca="false">HYPERLINK("https://mncourtfraud.com/file/MCRO_27-CR-22-7520_Order-Evaluation for Competency to Proceed (Rule 20.01)_2023-04-07_20251126170542.pdf.ots","MCRO_27-CR-22-7520_Order-Evaluation for Competency to Proceed (Rule 20.01)_2023-04-07_20251126170542.pdf.ots")</f>
        <v>MCRO_27-CR-22-7520_Order-Evaluation for Competency to Proceed (Rule 20.01)_2023-04-07_20251126170542.pdf.ots</v>
      </c>
      <c r="J370" s="7" t="str">
        <f aca="false">HYPERLINK("https://mncourtfraud.com/file/MCRO_27-CR-22-7520_Order-Evaluation for Competency to Proceed (Rule 20.01)_2023-04-07_20251126170542_META.txt","MCRO_27-CR-22-7520_Order-Evaluation for Competency to Proceed (Rule 20.01)_2023-04-07_20251126170542_META.txt")</f>
        <v>MCRO_27-CR-22-7520_Order-Evaluation for Competency to Proceed (Rule 20.01)_2023-04-07_20251126170542_META.txt</v>
      </c>
      <c r="K370" s="7" t="str">
        <f aca="false">HYPERLINK("https://mncourtfraud.com/file/MCRO_27-CR-22-7520_Order-Evaluation for Competency to Proceed (Rule 20.01)_2023-04-07_20251126170542_PDFSIGS.txt","MCRO_27-CR-22-7520_Order-Evaluation for Competency to Proceed (Rule 20.01)_2023-04-07_20251126170542_PDFSIGS.txt")</f>
        <v>MCRO_27-CR-22-7520_Order-Evaluation for Competency to Proceed (Rule 20.01)_2023-04-07_20251126170542_PDFSIGS.txt</v>
      </c>
      <c r="L370" s="7" t="str">
        <f aca="false">HYPERLINK("https://mncourtfraud.com/file/MCRO_27-CR-22-7520_Order-Evaluation_for_Competency_to_Proceed_(Rule_20.01)_2023-04-07_20251126170542.zip","MCRO_27-CR-22-7520_Order-Evaluation_for_Competency_to_Proceed_(Rule_20.01)_2023-04-07_20251126170542.zip")</f>
        <v>MCRO_27-CR-22-7520_Order-Evaluation_for_Competency_to_Proceed_(Rule_20.01)_2023-04-07_20251126170542.zip</v>
      </c>
    </row>
    <row r="371" customFormat="false" ht="18.7" hidden="false" customHeight="true" outlineLevel="0" collapsed="false">
      <c r="A371" s="1" t="n">
        <v>370</v>
      </c>
      <c r="B371" s="7" t="str">
        <f aca="false">HYPERLINK("https://mncourtfraud.com/file/27-CR-22-7520.pdf","27-CR-22-7520")</f>
        <v>27-CR-22-7520</v>
      </c>
      <c r="C371" s="1" t="n">
        <v>5</v>
      </c>
      <c r="D371" s="2" t="s">
        <v>267</v>
      </c>
      <c r="E371" s="8" t="n">
        <v>45194</v>
      </c>
      <c r="F371" s="2" t="s">
        <v>15</v>
      </c>
      <c r="G371" s="7" t="str">
        <f aca="false">HYPERLINK("https://mncourtfraud.com/file/MCRO_27-CR-22-7520_Order-Evaluation for Competency to Proceed (Rule 20.01)_2023-09-25_20251126170523.pdf","MCRO_27-CR-22-7520_Order-Evaluation for Competency to Proceed (Rule 20.01)_2023-09-25_20251126170523.pdf")</f>
        <v>MCRO_27-CR-22-7520_Order-Evaluation for Competency to Proceed (Rule 20.01)_2023-09-25_20251126170523.pdf</v>
      </c>
      <c r="H371" s="2" t="s">
        <v>392</v>
      </c>
      <c r="I371" s="7" t="str">
        <f aca="false">HYPERLINK("https://mncourtfraud.com/file/MCRO_27-CR-22-7520_Order-Evaluation for Competency to Proceed (Rule 20.01)_2023-09-25_20251126170523.pdf.ots","MCRO_27-CR-22-7520_Order-Evaluation for Competency to Proceed (Rule 20.01)_2023-09-25_20251126170523.pdf.ots")</f>
        <v>MCRO_27-CR-22-7520_Order-Evaluation for Competency to Proceed (Rule 20.01)_2023-09-25_20251126170523.pdf.ots</v>
      </c>
      <c r="J371" s="7" t="str">
        <f aca="false">HYPERLINK("https://mncourtfraud.com/file/MCRO_27-CR-22-7520_Order-Evaluation for Competency to Proceed (Rule 20.01)_2023-09-25_20251126170523_META.txt","MCRO_27-CR-22-7520_Order-Evaluation for Competency to Proceed (Rule 20.01)_2023-09-25_20251126170523_META.txt")</f>
        <v>MCRO_27-CR-22-7520_Order-Evaluation for Competency to Proceed (Rule 20.01)_2023-09-25_20251126170523_META.txt</v>
      </c>
      <c r="K371" s="7" t="str">
        <f aca="false">HYPERLINK("https://mncourtfraud.com/file/MCRO_27-CR-22-7520_Order-Evaluation for Competency to Proceed (Rule 20.01)_2023-09-25_20251126170523_PDFSIGS.txt","MCRO_27-CR-22-7520_Order-Evaluation for Competency to Proceed (Rule 20.01)_2023-09-25_20251126170523_PDFSIGS.txt")</f>
        <v>MCRO_27-CR-22-7520_Order-Evaluation for Competency to Proceed (Rule 20.01)_2023-09-25_20251126170523_PDFSIGS.txt</v>
      </c>
      <c r="L371" s="7" t="str">
        <f aca="false">HYPERLINK("https://mncourtfraud.com/file/MCRO_27-CR-22-7520_Order-Evaluation_for_Competency_to_Proceed_(Rule_20.01)_2023-09-25_20251126170523.zip","MCRO_27-CR-22-7520_Order-Evaluation_for_Competency_to_Proceed_(Rule_20.01)_2023-09-25_20251126170523.zip")</f>
        <v>MCRO_27-CR-22-7520_Order-Evaluation_for_Competency_to_Proceed_(Rule_20.01)_2023-09-25_20251126170523.zip</v>
      </c>
    </row>
    <row r="372" customFormat="false" ht="18.7" hidden="false" customHeight="true" outlineLevel="0" collapsed="false">
      <c r="A372" s="1" t="n">
        <v>371</v>
      </c>
      <c r="B372" s="7" t="str">
        <f aca="false">HYPERLINK("https://mncourtfraud.com/file/27-CR-22-8126.pdf","27-CR-22-8126")</f>
        <v>27-CR-22-8126</v>
      </c>
      <c r="C372" s="1" t="n">
        <v>1</v>
      </c>
      <c r="D372" s="2" t="s">
        <v>12</v>
      </c>
      <c r="E372" s="8" t="n">
        <v>44761</v>
      </c>
      <c r="F372" s="2" t="s">
        <v>15</v>
      </c>
      <c r="G372" s="7" t="str">
        <f aca="false">HYPERLINK("https://mncourtfraud.com/file/MCRO_27-CR-22-8126_Order-Evaluation for Competency to Proceed (Rule 20.01)_2022-07-19_20251126185733.pdf","MCRO_27-CR-22-8126_Order-Evaluation for Competency to Proceed (Rule 20.01)_2022-07-19_20251126185733.pdf")</f>
        <v>MCRO_27-CR-22-8126_Order-Evaluation for Competency to Proceed (Rule 20.01)_2022-07-19_20251126185733.pdf</v>
      </c>
      <c r="H372" s="2" t="s">
        <v>393</v>
      </c>
      <c r="I372" s="7" t="str">
        <f aca="false">HYPERLINK("https://mncourtfraud.com/file/MCRO_27-CR-22-8126_Order-Evaluation for Competency to Proceed (Rule 20.01)_2022-07-19_20251126185733.pdf.ots","MCRO_27-CR-22-8126_Order-Evaluation for Competency to Proceed (Rule 20.01)_2022-07-19_20251126185733.pdf.ots")</f>
        <v>MCRO_27-CR-22-8126_Order-Evaluation for Competency to Proceed (Rule 20.01)_2022-07-19_20251126185733.pdf.ots</v>
      </c>
      <c r="J372" s="7" t="str">
        <f aca="false">HYPERLINK("https://mncourtfraud.com/file/MCRO_27-CR-22-8126_Order-Evaluation for Competency to Proceed (Rule 20.01)_2022-07-19_20251126185733_META.txt","MCRO_27-CR-22-8126_Order-Evaluation for Competency to Proceed (Rule 20.01)_2022-07-19_20251126185733_META.txt")</f>
        <v>MCRO_27-CR-22-8126_Order-Evaluation for Competency to Proceed (Rule 20.01)_2022-07-19_20251126185733_META.txt</v>
      </c>
      <c r="K372" s="7" t="str">
        <f aca="false">HYPERLINK("https://mncourtfraud.com/file/MCRO_27-CR-22-8126_Order-Evaluation for Competency to Proceed (Rule 20.01)_2022-07-19_20251126185733_PDFSIGS.txt","MCRO_27-CR-22-8126_Order-Evaluation for Competency to Proceed (Rule 20.01)_2022-07-19_20251126185733_PDFSIGS.txt")</f>
        <v>MCRO_27-CR-22-8126_Order-Evaluation for Competency to Proceed (Rule 20.01)_2022-07-19_20251126185733_PDFSIGS.txt</v>
      </c>
      <c r="L372" s="7" t="str">
        <f aca="false">HYPERLINK("https://mncourtfraud.com/file/MCRO_27-CR-22-8126_Order-Evaluation_for_Competency_to_Proceed_(Rule_20.01)_2022-07-19_20251126185733.zip","MCRO_27-CR-22-8126_Order-Evaluation_for_Competency_to_Proceed_(Rule_20.01)_2022-07-19_20251126185733.zip")</f>
        <v>MCRO_27-CR-22-8126_Order-Evaluation_for_Competency_to_Proceed_(Rule_20.01)_2022-07-19_20251126185733.zip</v>
      </c>
    </row>
    <row r="373" customFormat="false" ht="18.7" hidden="false" customHeight="true" outlineLevel="0" collapsed="false">
      <c r="A373" s="1" t="n">
        <v>372</v>
      </c>
      <c r="B373" s="7" t="str">
        <f aca="false">HYPERLINK("https://mncourtfraud.com/file/27-CR-22-8126.pdf","27-CR-22-8126")</f>
        <v>27-CR-22-8126</v>
      </c>
      <c r="C373" s="1" t="n">
        <v>1</v>
      </c>
      <c r="D373" s="2" t="s">
        <v>12</v>
      </c>
      <c r="E373" s="8" t="n">
        <v>44895</v>
      </c>
      <c r="F373" s="2" t="s">
        <v>15</v>
      </c>
      <c r="G373" s="7" t="str">
        <f aca="false">HYPERLINK("https://mncourtfraud.com/file/MCRO_27-CR-22-8126_Order-Evaluation for Competency to Proceed (Rule 20.01)_2022-11-30_20251126185703.pdf","MCRO_27-CR-22-8126_Order-Evaluation for Competency to Proceed (Rule 20.01)_2022-11-30_20251126185703.pdf")</f>
        <v>MCRO_27-CR-22-8126_Order-Evaluation for Competency to Proceed (Rule 20.01)_2022-11-30_20251126185703.pdf</v>
      </c>
      <c r="H373" s="2" t="s">
        <v>394</v>
      </c>
      <c r="I373" s="7" t="str">
        <f aca="false">HYPERLINK("https://mncourtfraud.com/file/MCRO_27-CR-22-8126_Order-Evaluation for Competency to Proceed (Rule 20.01)_2022-11-30_20251126185703.pdf.ots","MCRO_27-CR-22-8126_Order-Evaluation for Competency to Proceed (Rule 20.01)_2022-11-30_20251126185703.pdf.ots")</f>
        <v>MCRO_27-CR-22-8126_Order-Evaluation for Competency to Proceed (Rule 20.01)_2022-11-30_20251126185703.pdf.ots</v>
      </c>
      <c r="J373" s="7" t="str">
        <f aca="false">HYPERLINK("https://mncourtfraud.com/file/MCRO_27-CR-22-8126_Order-Evaluation for Competency to Proceed (Rule 20.01)_2022-11-30_20251126185703_META.txt","MCRO_27-CR-22-8126_Order-Evaluation for Competency to Proceed (Rule 20.01)_2022-11-30_20251126185703_META.txt")</f>
        <v>MCRO_27-CR-22-8126_Order-Evaluation for Competency to Proceed (Rule 20.01)_2022-11-30_20251126185703_META.txt</v>
      </c>
      <c r="K373" s="7" t="str">
        <f aca="false">HYPERLINK("https://mncourtfraud.com/file/MCRO_27-CR-22-8126_Order-Evaluation for Competency to Proceed (Rule 20.01)_2022-11-30_20251126185703_PDFSIGS.txt","MCRO_27-CR-22-8126_Order-Evaluation for Competency to Proceed (Rule 20.01)_2022-11-30_20251126185703_PDFSIGS.txt")</f>
        <v>MCRO_27-CR-22-8126_Order-Evaluation for Competency to Proceed (Rule 20.01)_2022-11-30_20251126185703_PDFSIGS.txt</v>
      </c>
      <c r="L373" s="7" t="str">
        <f aca="false">HYPERLINK("https://mncourtfraud.com/file/MCRO_27-CR-22-8126_Order-Evaluation_for_Competency_to_Proceed_(Rule_20.01)_2022-11-30_20251126185703.zip","MCRO_27-CR-22-8126_Order-Evaluation_for_Competency_to_Proceed_(Rule_20.01)_2022-11-30_20251126185703.zip")</f>
        <v>MCRO_27-CR-22-8126_Order-Evaluation_for_Competency_to_Proceed_(Rule_20.01)_2022-11-30_20251126185703.zip</v>
      </c>
    </row>
    <row r="374" customFormat="false" ht="18.7" hidden="false" customHeight="true" outlineLevel="0" collapsed="false">
      <c r="A374" s="1" t="n">
        <v>373</v>
      </c>
      <c r="B374" s="7" t="str">
        <f aca="false">HYPERLINK("https://mncourtfraud.com/file/27-CR-22-8126.pdf","27-CR-22-8126")</f>
        <v>27-CR-22-8126</v>
      </c>
      <c r="C374" s="1" t="n">
        <v>1</v>
      </c>
      <c r="D374" s="2" t="s">
        <v>12</v>
      </c>
      <c r="E374" s="8" t="n">
        <v>44999</v>
      </c>
      <c r="F374" s="2" t="s">
        <v>17</v>
      </c>
      <c r="G374" s="7" t="str">
        <f aca="false">HYPERLINK("https://mncourtfraud.com/file/MCRO_27-CR-22-8126_Returned Mail_2023-03-14_20251126185747.pdf","MCRO_27-CR-22-8126_Returned Mail_2023-03-14_20251126185747.pdf")</f>
        <v>MCRO_27-CR-22-8126_Returned Mail_2023-03-14_20251126185747.pdf</v>
      </c>
      <c r="H374" s="2" t="s">
        <v>395</v>
      </c>
      <c r="I374" s="7" t="str">
        <f aca="false">HYPERLINK("https://mncourtfraud.com/file/MCRO_27-CR-22-8126_Returned Mail_2023-03-14_20251126185747.pdf.ots","MCRO_27-CR-22-8126_Returned Mail_2023-03-14_20251126185747.pdf.ots")</f>
        <v>MCRO_27-CR-22-8126_Returned Mail_2023-03-14_20251126185747.pdf.ots</v>
      </c>
      <c r="J374" s="7" t="str">
        <f aca="false">HYPERLINK("https://mncourtfraud.com/file/MCRO_27-CR-22-8126_Returned Mail_2023-03-14_20251126185747_META.txt","MCRO_27-CR-22-8126_Returned Mail_2023-03-14_20251126185747_META.txt")</f>
        <v>MCRO_27-CR-22-8126_Returned Mail_2023-03-14_20251126185747_META.txt</v>
      </c>
      <c r="K374" s="7" t="str">
        <f aca="false">HYPERLINK("https://mncourtfraud.com/file/MCRO_27-CR-22-8126_Returned Mail_2023-03-14_20251126185747_PDFSIGS.txt","MCRO_27-CR-22-8126_Returned Mail_2023-03-14_20251126185747_PDFSIGS.txt")</f>
        <v>MCRO_27-CR-22-8126_Returned Mail_2023-03-14_20251126185747_PDFSIGS.txt</v>
      </c>
      <c r="L374" s="7" t="str">
        <f aca="false">HYPERLINK("https://mncourtfraud.com/file/MCRO_27-CR-22-8126_Returned_Mail_2023-03-14_20251126185747.zip","MCRO_27-CR-22-8126_Returned_Mail_2023-03-14_20251126185747.zip")</f>
        <v>MCRO_27-CR-22-8126_Returned_Mail_2023-03-14_20251126185747.zip</v>
      </c>
    </row>
    <row r="375" customFormat="false" ht="18.7" hidden="false" customHeight="true" outlineLevel="0" collapsed="false">
      <c r="A375" s="1" t="n">
        <v>374</v>
      </c>
      <c r="B375" s="7" t="str">
        <f aca="false">HYPERLINK("https://mncourtfraud.com/file/27-CR-22-8126.pdf","27-CR-22-8126")</f>
        <v>27-CR-22-8126</v>
      </c>
      <c r="C375" s="1" t="n">
        <v>1</v>
      </c>
      <c r="D375" s="2" t="s">
        <v>12</v>
      </c>
      <c r="E375" s="8" t="n">
        <v>45048</v>
      </c>
      <c r="F375" s="2" t="s">
        <v>80</v>
      </c>
      <c r="G375" s="7" t="str">
        <f aca="false">HYPERLINK("https://mncourtfraud.com/file/MCRO_27-CR-22-8126_Finding of Incompetency and Order_2023-05-02_20251126185621.pdf","MCRO_27-CR-22-8126_Finding of Incompetency and Order_2023-05-02_20251126185621.pdf")</f>
        <v>MCRO_27-CR-22-8126_Finding of Incompetency and Order_2023-05-02_20251126185621.pdf</v>
      </c>
      <c r="H375" s="2" t="s">
        <v>396</v>
      </c>
      <c r="I375" s="7" t="str">
        <f aca="false">HYPERLINK("https://mncourtfraud.com/file/MCRO_27-CR-22-8126_Finding of Incompetency and Order_2023-05-02_20251126185621.pdf.ots","MCRO_27-CR-22-8126_Finding of Incompetency and Order_2023-05-02_20251126185621.pdf.ots")</f>
        <v>MCRO_27-CR-22-8126_Finding of Incompetency and Order_2023-05-02_20251126185621.pdf.ots</v>
      </c>
      <c r="J375" s="7" t="str">
        <f aca="false">HYPERLINK("https://mncourtfraud.com/file/MCRO_27-CR-22-8126_Finding of Incompetency and Order_2023-05-02_20251126185621_META.txt","MCRO_27-CR-22-8126_Finding of Incompetency and Order_2023-05-02_20251126185621_META.txt")</f>
        <v>MCRO_27-CR-22-8126_Finding of Incompetency and Order_2023-05-02_20251126185621_META.txt</v>
      </c>
      <c r="K375" s="7" t="str">
        <f aca="false">HYPERLINK("https://mncourtfraud.com/file/MCRO_27-CR-22-8126_Finding of Incompetency and Order_2023-05-02_20251126185621_PDFSIGS.txt","MCRO_27-CR-22-8126_Finding of Incompetency and Order_2023-05-02_20251126185621_PDFSIGS.txt")</f>
        <v>MCRO_27-CR-22-8126_Finding of Incompetency and Order_2023-05-02_20251126185621_PDFSIGS.txt</v>
      </c>
      <c r="L375" s="7" t="str">
        <f aca="false">HYPERLINK("https://mncourtfraud.com/file/MCRO_27-CR-22-8126_Finding_of_Incompetency_and_Order_2023-05-02_20251126185621.zip","MCRO_27-CR-22-8126_Finding_of_Incompetency_and_Order_2023-05-02_20251126185621.zip")</f>
        <v>MCRO_27-CR-22-8126_Finding_of_Incompetency_and_Order_2023-05-02_20251126185621.zip</v>
      </c>
    </row>
    <row r="376" customFormat="false" ht="18.7" hidden="false" customHeight="true" outlineLevel="0" collapsed="false">
      <c r="A376" s="1" t="n">
        <v>375</v>
      </c>
      <c r="B376" s="7" t="str">
        <f aca="false">HYPERLINK("https://mncourtfraud.com/file/27-CR-22-8126.pdf","27-CR-22-8126")</f>
        <v>27-CR-22-8126</v>
      </c>
      <c r="C376" s="1" t="n">
        <v>1</v>
      </c>
      <c r="D376" s="2" t="s">
        <v>12</v>
      </c>
      <c r="E376" s="8" t="n">
        <v>45093</v>
      </c>
      <c r="F376" s="2" t="s">
        <v>82</v>
      </c>
      <c r="G376" s="7" t="str">
        <f aca="false">HYPERLINK("https://mncourtfraud.com/file/MCRO_27-CR-22-8126_Notice of Case Reassignment_2023-06-16_20251126185641.pdf","MCRO_27-CR-22-8126_Notice of Case Reassignment_2023-06-16_20251126185641.pdf")</f>
        <v>MCRO_27-CR-22-8126_Notice of Case Reassignment_2023-06-16_20251126185641.pdf</v>
      </c>
      <c r="H376" s="2" t="s">
        <v>397</v>
      </c>
      <c r="I376" s="7" t="str">
        <f aca="false">HYPERLINK("https://mncourtfraud.com/file/MCRO_27-CR-22-8126_Notice of Case Reassignment_2023-06-16_20251126185641.pdf.ots","MCRO_27-CR-22-8126_Notice of Case Reassignment_2023-06-16_20251126185641.pdf.ots")</f>
        <v>MCRO_27-CR-22-8126_Notice of Case Reassignment_2023-06-16_20251126185641.pdf.ots</v>
      </c>
      <c r="J376" s="7" t="str">
        <f aca="false">HYPERLINK("https://mncourtfraud.com/file/MCRO_27-CR-22-8126_Notice of Case Reassignment_2023-06-16_20251126185641_META.txt","MCRO_27-CR-22-8126_Notice of Case Reassignment_2023-06-16_20251126185641_META.txt")</f>
        <v>MCRO_27-CR-22-8126_Notice of Case Reassignment_2023-06-16_20251126185641_META.txt</v>
      </c>
      <c r="K376" s="7" t="str">
        <f aca="false">HYPERLINK("https://mncourtfraud.com/file/MCRO_27-CR-22-8126_Notice of Case Reassignment_2023-06-16_20251126185641_PDFSIGS.txt","MCRO_27-CR-22-8126_Notice of Case Reassignment_2023-06-16_20251126185641_PDFSIGS.txt")</f>
        <v>MCRO_27-CR-22-8126_Notice of Case Reassignment_2023-06-16_20251126185641_PDFSIGS.txt</v>
      </c>
      <c r="L376" s="7" t="str">
        <f aca="false">HYPERLINK("https://mncourtfraud.com/file/MCRO_27-CR-22-8126_Notice_of_Case_Reassignment_2023-06-16_20251126185641.zip","MCRO_27-CR-22-8126_Notice_of_Case_Reassignment_2023-06-16_20251126185641.zip")</f>
        <v>MCRO_27-CR-22-8126_Notice_of_Case_Reassignment_2023-06-16_20251126185641.zip</v>
      </c>
    </row>
    <row r="377" customFormat="false" ht="18.7" hidden="false" customHeight="true" outlineLevel="0" collapsed="false">
      <c r="A377" s="1" t="n">
        <v>376</v>
      </c>
      <c r="B377" s="7" t="str">
        <f aca="false">HYPERLINK("https://mncourtfraud.com/file/27-CR-22-8126.pdf","27-CR-22-8126")</f>
        <v>27-CR-22-8126</v>
      </c>
      <c r="C377" s="1" t="n">
        <v>1</v>
      </c>
      <c r="D377" s="2" t="s">
        <v>12</v>
      </c>
      <c r="E377" s="8" t="n">
        <v>45160</v>
      </c>
      <c r="F377" s="2" t="s">
        <v>15</v>
      </c>
      <c r="G377" s="7" t="str">
        <f aca="false">HYPERLINK("https://mncourtfraud.com/file/MCRO_27-CR-22-8126_Order-Evaluation for Competency to Proceed (Rule 20.01)_2023-08-22_20251126185711.pdf","MCRO_27-CR-22-8126_Order-Evaluation for Competency to Proceed (Rule 20.01)_2023-08-22_20251126185711.pdf")</f>
        <v>MCRO_27-CR-22-8126_Order-Evaluation for Competency to Proceed (Rule 20.01)_2023-08-22_20251126185711.pdf</v>
      </c>
      <c r="H377" s="2" t="s">
        <v>398</v>
      </c>
      <c r="I377" s="7" t="str">
        <f aca="false">HYPERLINK("https://mncourtfraud.com/file/MCRO_27-CR-22-8126_Order-Evaluation for Competency to Proceed (Rule 20.01)_2023-08-22_20251126185711.pdf.ots","MCRO_27-CR-22-8126_Order-Evaluation for Competency to Proceed (Rule 20.01)_2023-08-22_20251126185711.pdf.ots")</f>
        <v>MCRO_27-CR-22-8126_Order-Evaluation for Competency to Proceed (Rule 20.01)_2023-08-22_20251126185711.pdf.ots</v>
      </c>
      <c r="J377" s="7" t="str">
        <f aca="false">HYPERLINK("https://mncourtfraud.com/file/MCRO_27-CR-22-8126_Order-Evaluation for Competency to Proceed (Rule 20.01)_2023-08-22_20251126185711_META.txt","MCRO_27-CR-22-8126_Order-Evaluation for Competency to Proceed (Rule 20.01)_2023-08-22_20251126185711_META.txt")</f>
        <v>MCRO_27-CR-22-8126_Order-Evaluation for Competency to Proceed (Rule 20.01)_2023-08-22_20251126185711_META.txt</v>
      </c>
      <c r="K377" s="7" t="str">
        <f aca="false">HYPERLINK("https://mncourtfraud.com/file/MCRO_27-CR-22-8126_Order-Evaluation for Competency to Proceed (Rule 20.01)_2023-08-22_20251126185711_PDFSIGS.txt","MCRO_27-CR-22-8126_Order-Evaluation for Competency to Proceed (Rule 20.01)_2023-08-22_20251126185711_PDFSIGS.txt")</f>
        <v>MCRO_27-CR-22-8126_Order-Evaluation for Competency to Proceed (Rule 20.01)_2023-08-22_20251126185711_PDFSIGS.txt</v>
      </c>
      <c r="L377" s="7" t="str">
        <f aca="false">HYPERLINK("https://mncourtfraud.com/file/MCRO_27-CR-22-8126_Order-Evaluation_for_Competency_to_Proceed_(Rule_20.01)_2023-08-22_20251126185711.zip","MCRO_27-CR-22-8126_Order-Evaluation_for_Competency_to_Proceed_(Rule_20.01)_2023-08-22_20251126185711.zip")</f>
        <v>MCRO_27-CR-22-8126_Order-Evaluation_for_Competency_to_Proceed_(Rule_20.01)_2023-08-22_20251126185711.zip</v>
      </c>
    </row>
    <row r="378" customFormat="false" ht="18.7" hidden="false" customHeight="true" outlineLevel="0" collapsed="false">
      <c r="A378" s="1" t="n">
        <v>377</v>
      </c>
      <c r="B378" s="7" t="str">
        <f aca="false">HYPERLINK("https://mncourtfraud.com/file/27-CR-22-8126.pdf","27-CR-22-8126")</f>
        <v>27-CR-22-8126</v>
      </c>
      <c r="C378" s="1" t="n">
        <v>1</v>
      </c>
      <c r="D378" s="2" t="s">
        <v>12</v>
      </c>
      <c r="E378" s="8" t="n">
        <v>45412</v>
      </c>
      <c r="F378" s="2" t="s">
        <v>24</v>
      </c>
      <c r="G378" s="7" t="str">
        <f aca="false">HYPERLINK("https://mncourtfraud.com/file/MCRO_27-CR-22-8126_Order for Conditional Release_2024-04-30_20251126185651.pdf","MCRO_27-CR-22-8126_Order for Conditional Release_2024-04-30_20251126185651.pdf")</f>
        <v>MCRO_27-CR-22-8126_Order for Conditional Release_2024-04-30_20251126185651.pdf</v>
      </c>
      <c r="H378" s="2" t="s">
        <v>399</v>
      </c>
      <c r="I378" s="7" t="str">
        <f aca="false">HYPERLINK("https://mncourtfraud.com/file/MCRO_27-CR-22-8126_Order for Conditional Release_2024-04-30_20251126185651.pdf.ots","MCRO_27-CR-22-8126_Order for Conditional Release_2024-04-30_20251126185651.pdf.ots")</f>
        <v>MCRO_27-CR-22-8126_Order for Conditional Release_2024-04-30_20251126185651.pdf.ots</v>
      </c>
      <c r="J378" s="7" t="str">
        <f aca="false">HYPERLINK("https://mncourtfraud.com/file/MCRO_27-CR-22-8126_Order for Conditional Release_2024-04-30_20251126185651_META.txt","MCRO_27-CR-22-8126_Order for Conditional Release_2024-04-30_20251126185651_META.txt")</f>
        <v>MCRO_27-CR-22-8126_Order for Conditional Release_2024-04-30_20251126185651_META.txt</v>
      </c>
      <c r="K378" s="7" t="str">
        <f aca="false">HYPERLINK("https://mncourtfraud.com/file/MCRO_27-CR-22-8126_Order for Conditional Release_2024-04-30_20251126185651_PDFSIGS.txt","MCRO_27-CR-22-8126_Order for Conditional Release_2024-04-30_20251126185651_PDFSIGS.txt")</f>
        <v>MCRO_27-CR-22-8126_Order for Conditional Release_2024-04-30_20251126185651_PDFSIGS.txt</v>
      </c>
      <c r="L378" s="7" t="str">
        <f aca="false">HYPERLINK("https://mncourtfraud.com/file/MCRO_27-CR-22-8126_Order_for_Conditional_Release_2024-04-30_20251126185651.zip","MCRO_27-CR-22-8126_Order_for_Conditional_Release_2024-04-30_20251126185651.zip")</f>
        <v>MCRO_27-CR-22-8126_Order_for_Conditional_Release_2024-04-30_20251126185651.zip</v>
      </c>
    </row>
    <row r="379" customFormat="false" ht="18.7" hidden="false" customHeight="true" outlineLevel="0" collapsed="false">
      <c r="A379" s="1" t="n">
        <v>378</v>
      </c>
      <c r="B379" s="7" t="str">
        <f aca="false">HYPERLINK("https://mncourtfraud.com/file/27-CR-22-8126.pdf","27-CR-22-8126")</f>
        <v>27-CR-22-8126</v>
      </c>
      <c r="C379" s="1" t="n">
        <v>1</v>
      </c>
      <c r="D379" s="2" t="s">
        <v>12</v>
      </c>
      <c r="E379" s="8" t="n">
        <v>45412</v>
      </c>
      <c r="F379" s="2" t="s">
        <v>15</v>
      </c>
      <c r="G379" s="7" t="str">
        <f aca="false">HYPERLINK("https://mncourtfraud.com/file/MCRO_27-CR-22-8126_Order-Evaluation for Competency to Proceed (Rule 20.01)_2024-04-30_20251126185722.pdf","MCRO_27-CR-22-8126_Order-Evaluation for Competency to Proceed (Rule 20.01)_2024-04-30_20251126185722.pdf")</f>
        <v>MCRO_27-CR-22-8126_Order-Evaluation for Competency to Proceed (Rule 20.01)_2024-04-30_20251126185722.pdf</v>
      </c>
      <c r="H379" s="2" t="s">
        <v>400</v>
      </c>
      <c r="I379" s="7" t="str">
        <f aca="false">HYPERLINK("https://mncourtfraud.com/file/MCRO_27-CR-22-8126_Order-Evaluation for Competency to Proceed (Rule 20.01)_2024-04-30_20251126185722.pdf.ots","MCRO_27-CR-22-8126_Order-Evaluation for Competency to Proceed (Rule 20.01)_2024-04-30_20251126185722.pdf.ots")</f>
        <v>MCRO_27-CR-22-8126_Order-Evaluation for Competency to Proceed (Rule 20.01)_2024-04-30_20251126185722.pdf.ots</v>
      </c>
      <c r="J379" s="7" t="str">
        <f aca="false">HYPERLINK("https://mncourtfraud.com/file/MCRO_27-CR-22-8126_Order-Evaluation for Competency to Proceed (Rule 20.01)_2024-04-30_20251126185722_META.txt","MCRO_27-CR-22-8126_Order-Evaluation for Competency to Proceed (Rule 20.01)_2024-04-30_20251126185722_META.txt")</f>
        <v>MCRO_27-CR-22-8126_Order-Evaluation for Competency to Proceed (Rule 20.01)_2024-04-30_20251126185722_META.txt</v>
      </c>
      <c r="K379" s="7" t="str">
        <f aca="false">HYPERLINK("https://mncourtfraud.com/file/MCRO_27-CR-22-8126_Order-Evaluation for Competency to Proceed (Rule 20.01)_2024-04-30_20251126185722_PDFSIGS.txt","MCRO_27-CR-22-8126_Order-Evaluation for Competency to Proceed (Rule 20.01)_2024-04-30_20251126185722_PDFSIGS.txt")</f>
        <v>MCRO_27-CR-22-8126_Order-Evaluation for Competency to Proceed (Rule 20.01)_2024-04-30_20251126185722_PDFSIGS.txt</v>
      </c>
      <c r="L379" s="7" t="str">
        <f aca="false">HYPERLINK("https://mncourtfraud.com/file/MCRO_27-CR-22-8126_Order-Evaluation_for_Competency_to_Proceed_(Rule_20.01)_2024-04-30_20251126185722.zip","MCRO_27-CR-22-8126_Order-Evaluation_for_Competency_to_Proceed_(Rule_20.01)_2024-04-30_20251126185722.zip")</f>
        <v>MCRO_27-CR-22-8126_Order-Evaluation_for_Competency_to_Proceed_(Rule_20.01)_2024-04-30_20251126185722.zip</v>
      </c>
    </row>
    <row r="380" customFormat="false" ht="18.7" hidden="false" customHeight="true" outlineLevel="0" collapsed="false">
      <c r="A380" s="1" t="n">
        <v>379</v>
      </c>
      <c r="B380" s="7" t="str">
        <f aca="false">HYPERLINK("https://mncourtfraud.com/file/27-CR-22-8226.pdf","27-CR-22-8226")</f>
        <v>27-CR-22-8226</v>
      </c>
      <c r="C380" s="1" t="n">
        <v>5</v>
      </c>
      <c r="D380" s="2" t="s">
        <v>267</v>
      </c>
      <c r="E380" s="8" t="n">
        <v>44837</v>
      </c>
      <c r="F380" s="2" t="s">
        <v>17</v>
      </c>
      <c r="G380" s="7" t="str">
        <f aca="false">HYPERLINK("https://mncourtfraud.com/file/MCRO_27-CR-22-8226_Returned Mail_2022-10-03_20251126170634.pdf","MCRO_27-CR-22-8226_Returned Mail_2022-10-03_20251126170634.pdf")</f>
        <v>MCRO_27-CR-22-8226_Returned Mail_2022-10-03_20251126170634.pdf</v>
      </c>
      <c r="H380" s="2" t="s">
        <v>401</v>
      </c>
      <c r="I380" s="7" t="str">
        <f aca="false">HYPERLINK("https://mncourtfraud.com/file/MCRO_27-CR-22-8226_Returned Mail_2022-10-03_20251126170634.pdf.ots","MCRO_27-CR-22-8226_Returned Mail_2022-10-03_20251126170634.pdf.ots")</f>
        <v>MCRO_27-CR-22-8226_Returned Mail_2022-10-03_20251126170634.pdf.ots</v>
      </c>
      <c r="J380" s="7" t="str">
        <f aca="false">HYPERLINK("https://mncourtfraud.com/file/MCRO_27-CR-22-8226_Returned Mail_2022-10-03_20251126170634_META.txt","MCRO_27-CR-22-8226_Returned Mail_2022-10-03_20251126170634_META.txt")</f>
        <v>MCRO_27-CR-22-8226_Returned Mail_2022-10-03_20251126170634_META.txt</v>
      </c>
      <c r="K380" s="7" t="str">
        <f aca="false">HYPERLINK("https://mncourtfraud.com/file/MCRO_27-CR-22-8226_Returned Mail_2022-10-03_20251126170634_PDFSIGS.txt","MCRO_27-CR-22-8226_Returned Mail_2022-10-03_20251126170634_PDFSIGS.txt")</f>
        <v>MCRO_27-CR-22-8226_Returned Mail_2022-10-03_20251126170634_PDFSIGS.txt</v>
      </c>
      <c r="L380" s="7" t="str">
        <f aca="false">HYPERLINK("https://mncourtfraud.com/file/MCRO_27-CR-22-8226_Returned_Mail_2022-10-03_20251126170634.zip","MCRO_27-CR-22-8226_Returned_Mail_2022-10-03_20251126170634.zip")</f>
        <v>MCRO_27-CR-22-8226_Returned_Mail_2022-10-03_20251126170634.zip</v>
      </c>
    </row>
    <row r="381" customFormat="false" ht="18.7" hidden="false" customHeight="true" outlineLevel="0" collapsed="false">
      <c r="A381" s="1" t="n">
        <v>380</v>
      </c>
      <c r="B381" s="7" t="str">
        <f aca="false">HYPERLINK("https://mncourtfraud.com/file/27-CR-22-8226.pdf","27-CR-22-8226")</f>
        <v>27-CR-22-8226</v>
      </c>
      <c r="C381" s="1" t="n">
        <v>5</v>
      </c>
      <c r="D381" s="2" t="s">
        <v>267</v>
      </c>
      <c r="E381" s="8" t="n">
        <v>44873</v>
      </c>
      <c r="F381" s="2" t="s">
        <v>15</v>
      </c>
      <c r="G381" s="7" t="str">
        <f aca="false">HYPERLINK("https://mncourtfraud.com/file/MCRO_27-CR-22-8226_Order-Evaluation for Competency to Proceed (Rule 20.01)_2022-11-08_20251126170603.pdf","MCRO_27-CR-22-8226_Order-Evaluation for Competency to Proceed (Rule 20.01)_2022-11-08_20251126170603.pdf")</f>
        <v>MCRO_27-CR-22-8226_Order-Evaluation for Competency to Proceed (Rule 20.01)_2022-11-08_20251126170603.pdf</v>
      </c>
      <c r="H381" s="2" t="s">
        <v>402</v>
      </c>
      <c r="I381" s="7" t="str">
        <f aca="false">HYPERLINK("https://mncourtfraud.com/file/MCRO_27-CR-22-8226_Order-Evaluation for Competency to Proceed (Rule 20.01)_2022-11-08_20251126170603.pdf.ots","MCRO_27-CR-22-8226_Order-Evaluation for Competency to Proceed (Rule 20.01)_2022-11-08_20251126170603.pdf.ots")</f>
        <v>MCRO_27-CR-22-8226_Order-Evaluation for Competency to Proceed (Rule 20.01)_2022-11-08_20251126170603.pdf.ots</v>
      </c>
      <c r="J381" s="7" t="str">
        <f aca="false">HYPERLINK("https://mncourtfraud.com/file/MCRO_27-CR-22-8226_Order-Evaluation for Competency to Proceed (Rule 20.01)_2022-11-08_20251126170603_META.txt","MCRO_27-CR-22-8226_Order-Evaluation for Competency to Proceed (Rule 20.01)_2022-11-08_20251126170603_META.txt")</f>
        <v>MCRO_27-CR-22-8226_Order-Evaluation for Competency to Proceed (Rule 20.01)_2022-11-08_20251126170603_META.txt</v>
      </c>
      <c r="K381" s="7" t="str">
        <f aca="false">HYPERLINK("https://mncourtfraud.com/file/MCRO_27-CR-22-8226_Order-Evaluation for Competency to Proceed (Rule 20.01)_2022-11-08_20251126170603_PDFSIGS.txt","MCRO_27-CR-22-8226_Order-Evaluation for Competency to Proceed (Rule 20.01)_2022-11-08_20251126170603_PDFSIGS.txt")</f>
        <v>MCRO_27-CR-22-8226_Order-Evaluation for Competency to Proceed (Rule 20.01)_2022-11-08_20251126170603_PDFSIGS.txt</v>
      </c>
      <c r="L381" s="7" t="str">
        <f aca="false">HYPERLINK("https://mncourtfraud.com/file/MCRO_27-CR-22-8226_Order-Evaluation_for_Competency_to_Proceed_(Rule_20.01)_2022-11-08_20251126170603.zip","MCRO_27-CR-22-8226_Order-Evaluation_for_Competency_to_Proceed_(Rule_20.01)_2022-11-08_20251126170603.zip")</f>
        <v>MCRO_27-CR-22-8226_Order-Evaluation_for_Competency_to_Proceed_(Rule_20.01)_2022-11-08_20251126170603.zip</v>
      </c>
    </row>
    <row r="382" customFormat="false" ht="18.7" hidden="false" customHeight="true" outlineLevel="0" collapsed="false">
      <c r="A382" s="1" t="n">
        <v>381</v>
      </c>
      <c r="B382" s="7" t="str">
        <f aca="false">HYPERLINK("https://mncourtfraud.com/file/27-CR-22-8226.pdf","27-CR-22-8226")</f>
        <v>27-CR-22-8226</v>
      </c>
      <c r="C382" s="1" t="n">
        <v>5</v>
      </c>
      <c r="D382" s="2" t="s">
        <v>267</v>
      </c>
      <c r="E382" s="8" t="n">
        <v>45023</v>
      </c>
      <c r="F382" s="2" t="s">
        <v>15</v>
      </c>
      <c r="G382" s="7" t="str">
        <f aca="false">HYPERLINK("https://mncourtfraud.com/file/MCRO_27-CR-22-8226_Order-Evaluation for Competency to Proceed (Rule 20.01)_2023-04-07_20251126170613.pdf","MCRO_27-CR-22-8226_Order-Evaluation for Competency to Proceed (Rule 20.01)_2023-04-07_20251126170613.pdf")</f>
        <v>MCRO_27-CR-22-8226_Order-Evaluation for Competency to Proceed (Rule 20.01)_2023-04-07_20251126170613.pdf</v>
      </c>
      <c r="H382" s="2" t="s">
        <v>403</v>
      </c>
      <c r="I382" s="7" t="str">
        <f aca="false">HYPERLINK("https://mncourtfraud.com/file/MCRO_27-CR-22-8226_Order-Evaluation for Competency to Proceed (Rule 20.01)_2023-04-07_20251126170613.pdf.ots","MCRO_27-CR-22-8226_Order-Evaluation for Competency to Proceed (Rule 20.01)_2023-04-07_20251126170613.pdf.ots")</f>
        <v>MCRO_27-CR-22-8226_Order-Evaluation for Competency to Proceed (Rule 20.01)_2023-04-07_20251126170613.pdf.ots</v>
      </c>
      <c r="J382" s="7" t="str">
        <f aca="false">HYPERLINK("https://mncourtfraud.com/file/MCRO_27-CR-22-8226_Order-Evaluation for Competency to Proceed (Rule 20.01)_2023-04-07_20251126170613_META.txt","MCRO_27-CR-22-8226_Order-Evaluation for Competency to Proceed (Rule 20.01)_2023-04-07_20251126170613_META.txt")</f>
        <v>MCRO_27-CR-22-8226_Order-Evaluation for Competency to Proceed (Rule 20.01)_2023-04-07_20251126170613_META.txt</v>
      </c>
      <c r="K382" s="7" t="str">
        <f aca="false">HYPERLINK("https://mncourtfraud.com/file/MCRO_27-CR-22-8226_Order-Evaluation for Competency to Proceed (Rule 20.01)_2023-04-07_20251126170613_PDFSIGS.txt","MCRO_27-CR-22-8226_Order-Evaluation for Competency to Proceed (Rule 20.01)_2023-04-07_20251126170613_PDFSIGS.txt")</f>
        <v>MCRO_27-CR-22-8226_Order-Evaluation for Competency to Proceed (Rule 20.01)_2023-04-07_20251126170613_PDFSIGS.txt</v>
      </c>
      <c r="L382" s="7" t="str">
        <f aca="false">HYPERLINK("https://mncourtfraud.com/file/MCRO_27-CR-22-8226_Order-Evaluation_for_Competency_to_Proceed_(Rule_20.01)_2023-04-07_20251126170613.zip","MCRO_27-CR-22-8226_Order-Evaluation_for_Competency_to_Proceed_(Rule_20.01)_2023-04-07_20251126170613.zip")</f>
        <v>MCRO_27-CR-22-8226_Order-Evaluation_for_Competency_to_Proceed_(Rule_20.01)_2023-04-07_20251126170613.zip</v>
      </c>
    </row>
    <row r="383" customFormat="false" ht="18.7" hidden="false" customHeight="true" outlineLevel="0" collapsed="false">
      <c r="A383" s="1" t="n">
        <v>382</v>
      </c>
      <c r="B383" s="7" t="str">
        <f aca="false">HYPERLINK("https://mncourtfraud.com/file/27-CR-22-8226.pdf","27-CR-22-8226")</f>
        <v>27-CR-22-8226</v>
      </c>
      <c r="C383" s="1" t="n">
        <v>5</v>
      </c>
      <c r="D383" s="2" t="s">
        <v>267</v>
      </c>
      <c r="E383" s="8" t="n">
        <v>45194</v>
      </c>
      <c r="F383" s="2" t="s">
        <v>15</v>
      </c>
      <c r="G383" s="7" t="str">
        <f aca="false">HYPERLINK("https://mncourtfraud.com/file/MCRO_27-CR-22-8226_Order-Evaluation for Competency to Proceed (Rule 20.01)_2023-09-25_20251126170623.pdf","MCRO_27-CR-22-8226_Order-Evaluation for Competency to Proceed (Rule 20.01)_2023-09-25_20251126170623.pdf")</f>
        <v>MCRO_27-CR-22-8226_Order-Evaluation for Competency to Proceed (Rule 20.01)_2023-09-25_20251126170623.pdf</v>
      </c>
      <c r="H383" s="2" t="s">
        <v>404</v>
      </c>
      <c r="I383" s="7" t="str">
        <f aca="false">HYPERLINK("https://mncourtfraud.com/file/MCRO_27-CR-22-8226_Order-Evaluation for Competency to Proceed (Rule 20.01)_2023-09-25_20251126170623.pdf.ots","MCRO_27-CR-22-8226_Order-Evaluation for Competency to Proceed (Rule 20.01)_2023-09-25_20251126170623.pdf.ots")</f>
        <v>MCRO_27-CR-22-8226_Order-Evaluation for Competency to Proceed (Rule 20.01)_2023-09-25_20251126170623.pdf.ots</v>
      </c>
      <c r="J383" s="7" t="str">
        <f aca="false">HYPERLINK("https://mncourtfraud.com/file/MCRO_27-CR-22-8226_Order-Evaluation for Competency to Proceed (Rule 20.01)_2023-09-25_20251126170623_META.txt","MCRO_27-CR-22-8226_Order-Evaluation for Competency to Proceed (Rule 20.01)_2023-09-25_20251126170623_META.txt")</f>
        <v>MCRO_27-CR-22-8226_Order-Evaluation for Competency to Proceed (Rule 20.01)_2023-09-25_20251126170623_META.txt</v>
      </c>
      <c r="K383" s="7" t="str">
        <f aca="false">HYPERLINK("https://mncourtfraud.com/file/MCRO_27-CR-22-8226_Order-Evaluation for Competency to Proceed (Rule 20.01)_2023-09-25_20251126170623_PDFSIGS.txt","MCRO_27-CR-22-8226_Order-Evaluation for Competency to Proceed (Rule 20.01)_2023-09-25_20251126170623_PDFSIGS.txt")</f>
        <v>MCRO_27-CR-22-8226_Order-Evaluation for Competency to Proceed (Rule 20.01)_2023-09-25_20251126170623_PDFSIGS.txt</v>
      </c>
      <c r="L383" s="7" t="str">
        <f aca="false">HYPERLINK("https://mncourtfraud.com/file/MCRO_27-CR-22-8226_Order-Evaluation_for_Competency_to_Proceed_(Rule_20.01)_2023-09-25_20251126170623.zip","MCRO_27-CR-22-8226_Order-Evaluation_for_Competency_to_Proceed_(Rule_20.01)_2023-09-25_20251126170623.zip")</f>
        <v>MCRO_27-CR-22-8226_Order-Evaluation_for_Competency_to_Proceed_(Rule_20.01)_2023-09-25_20251126170623.zip</v>
      </c>
    </row>
    <row r="384" customFormat="false" ht="18.7" hidden="false" customHeight="true" outlineLevel="0" collapsed="false">
      <c r="A384" s="1" t="n">
        <v>383</v>
      </c>
      <c r="B384" s="7" t="str">
        <f aca="false">HYPERLINK("https://mncourtfraud.com/file/27-CR-22-8378.pdf","27-CR-22-8378")</f>
        <v>27-CR-22-8378</v>
      </c>
      <c r="C384" s="1" t="n">
        <v>1</v>
      </c>
      <c r="D384" s="2" t="s">
        <v>12</v>
      </c>
      <c r="E384" s="8" t="n">
        <v>44761</v>
      </c>
      <c r="F384" s="2" t="s">
        <v>15</v>
      </c>
      <c r="G384" s="7" t="str">
        <f aca="false">HYPERLINK("https://mncourtfraud.com/file/MCRO_27-CR-22-8378_Order-Evaluation for Competency to Proceed (Rule 20.01)_2022-07-19_20251126185857.pdf","MCRO_27-CR-22-8378_Order-Evaluation for Competency to Proceed (Rule 20.01)_2022-07-19_20251126185857.pdf")</f>
        <v>MCRO_27-CR-22-8378_Order-Evaluation for Competency to Proceed (Rule 20.01)_2022-07-19_20251126185857.pdf</v>
      </c>
      <c r="H384" s="2" t="s">
        <v>405</v>
      </c>
      <c r="I384" s="7" t="str">
        <f aca="false">HYPERLINK("https://mncourtfraud.com/file/MCRO_27-CR-22-8378_Order-Evaluation for Competency to Proceed (Rule 20.01)_2022-07-19_20251126185857.pdf.ots","MCRO_27-CR-22-8378_Order-Evaluation for Competency to Proceed (Rule 20.01)_2022-07-19_20251126185857.pdf.ots")</f>
        <v>MCRO_27-CR-22-8378_Order-Evaluation for Competency to Proceed (Rule 20.01)_2022-07-19_20251126185857.pdf.ots</v>
      </c>
      <c r="J384" s="7" t="str">
        <f aca="false">HYPERLINK("https://mncourtfraud.com/file/MCRO_27-CR-22-8378_Order-Evaluation for Competency to Proceed (Rule 20.01)_2022-07-19_20251126185857_META.txt","MCRO_27-CR-22-8378_Order-Evaluation for Competency to Proceed (Rule 20.01)_2022-07-19_20251126185857_META.txt")</f>
        <v>MCRO_27-CR-22-8378_Order-Evaluation for Competency to Proceed (Rule 20.01)_2022-07-19_20251126185857_META.txt</v>
      </c>
      <c r="K384" s="7" t="str">
        <f aca="false">HYPERLINK("https://mncourtfraud.com/file/MCRO_27-CR-22-8378_Order-Evaluation for Competency to Proceed (Rule 20.01)_2022-07-19_20251126185857_PDFSIGS.txt","MCRO_27-CR-22-8378_Order-Evaluation for Competency to Proceed (Rule 20.01)_2022-07-19_20251126185857_PDFSIGS.txt")</f>
        <v>MCRO_27-CR-22-8378_Order-Evaluation for Competency to Proceed (Rule 20.01)_2022-07-19_20251126185857_PDFSIGS.txt</v>
      </c>
      <c r="L384" s="7" t="str">
        <f aca="false">HYPERLINK("https://mncourtfraud.com/file/MCRO_27-CR-22-8378_Order-Evaluation_for_Competency_to_Proceed_(Rule_20.01)_2022-07-19_20251126185857.zip","MCRO_27-CR-22-8378_Order-Evaluation_for_Competency_to_Proceed_(Rule_20.01)_2022-07-19_20251126185857.zip")</f>
        <v>MCRO_27-CR-22-8378_Order-Evaluation_for_Competency_to_Proceed_(Rule_20.01)_2022-07-19_20251126185857.zip</v>
      </c>
    </row>
    <row r="385" customFormat="false" ht="18.7" hidden="false" customHeight="true" outlineLevel="0" collapsed="false">
      <c r="A385" s="1" t="n">
        <v>384</v>
      </c>
      <c r="B385" s="7" t="str">
        <f aca="false">HYPERLINK("https://mncourtfraud.com/file/27-CR-22-8378.pdf","27-CR-22-8378")</f>
        <v>27-CR-22-8378</v>
      </c>
      <c r="C385" s="1" t="n">
        <v>1</v>
      </c>
      <c r="D385" s="2" t="s">
        <v>12</v>
      </c>
      <c r="E385" s="8" t="n">
        <v>44895</v>
      </c>
      <c r="F385" s="2" t="s">
        <v>15</v>
      </c>
      <c r="G385" s="7" t="str">
        <f aca="false">HYPERLINK("https://mncourtfraud.com/file/MCRO_27-CR-22-8378_Order-Evaluation for Competency to Proceed (Rule 20.01)_2022-11-30_20251126185908.pdf","MCRO_27-CR-22-8378_Order-Evaluation for Competency to Proceed (Rule 20.01)_2022-11-30_20251126185908.pdf")</f>
        <v>MCRO_27-CR-22-8378_Order-Evaluation for Competency to Proceed (Rule 20.01)_2022-11-30_20251126185908.pdf</v>
      </c>
      <c r="H385" s="2" t="s">
        <v>406</v>
      </c>
      <c r="I385" s="7" t="str">
        <f aca="false">HYPERLINK("https://mncourtfraud.com/file/MCRO_27-CR-22-8378_Order-Evaluation for Competency to Proceed (Rule 20.01)_2022-11-30_20251126185908.pdf.ots","MCRO_27-CR-22-8378_Order-Evaluation for Competency to Proceed (Rule 20.01)_2022-11-30_20251126185908.pdf.ots")</f>
        <v>MCRO_27-CR-22-8378_Order-Evaluation for Competency to Proceed (Rule 20.01)_2022-11-30_20251126185908.pdf.ots</v>
      </c>
      <c r="J385" s="7" t="str">
        <f aca="false">HYPERLINK("https://mncourtfraud.com/file/MCRO_27-CR-22-8378_Order-Evaluation for Competency to Proceed (Rule 20.01)_2022-11-30_20251126185908_META.txt","MCRO_27-CR-22-8378_Order-Evaluation for Competency to Proceed (Rule 20.01)_2022-11-30_20251126185908_META.txt")</f>
        <v>MCRO_27-CR-22-8378_Order-Evaluation for Competency to Proceed (Rule 20.01)_2022-11-30_20251126185908_META.txt</v>
      </c>
      <c r="K385" s="7" t="str">
        <f aca="false">HYPERLINK("https://mncourtfraud.com/file/MCRO_27-CR-22-8378_Order-Evaluation for Competency to Proceed (Rule 20.01)_2022-11-30_20251126185908_PDFSIGS.txt","MCRO_27-CR-22-8378_Order-Evaluation for Competency to Proceed (Rule 20.01)_2022-11-30_20251126185908_PDFSIGS.txt")</f>
        <v>MCRO_27-CR-22-8378_Order-Evaluation for Competency to Proceed (Rule 20.01)_2022-11-30_20251126185908_PDFSIGS.txt</v>
      </c>
      <c r="L385" s="7" t="str">
        <f aca="false">HYPERLINK("https://mncourtfraud.com/file/MCRO_27-CR-22-8378_Order-Evaluation_for_Competency_to_Proceed_(Rule_20.01)_2022-11-30_20251126185908.zip","MCRO_27-CR-22-8378_Order-Evaluation_for_Competency_to_Proceed_(Rule_20.01)_2022-11-30_20251126185908.zip")</f>
        <v>MCRO_27-CR-22-8378_Order-Evaluation_for_Competency_to_Proceed_(Rule_20.01)_2022-11-30_20251126185908.zip</v>
      </c>
    </row>
    <row r="386" customFormat="false" ht="18.7" hidden="false" customHeight="true" outlineLevel="0" collapsed="false">
      <c r="A386" s="1" t="n">
        <v>385</v>
      </c>
      <c r="B386" s="7" t="str">
        <f aca="false">HYPERLINK("https://mncourtfraud.com/file/27-CR-22-8378.pdf","27-CR-22-8378")</f>
        <v>27-CR-22-8378</v>
      </c>
      <c r="C386" s="1" t="n">
        <v>1</v>
      </c>
      <c r="D386" s="2" t="s">
        <v>12</v>
      </c>
      <c r="E386" s="8" t="n">
        <v>45048</v>
      </c>
      <c r="F386" s="2" t="s">
        <v>80</v>
      </c>
      <c r="G386" s="7" t="str">
        <f aca="false">HYPERLINK("https://mncourtfraud.com/file/MCRO_27-CR-22-8378_Finding of Incompetency and Order_2023-05-02_20251126185812.pdf","MCRO_27-CR-22-8378_Finding of Incompetency and Order_2023-05-02_20251126185812.pdf")</f>
        <v>MCRO_27-CR-22-8378_Finding of Incompetency and Order_2023-05-02_20251126185812.pdf</v>
      </c>
      <c r="H386" s="2" t="s">
        <v>407</v>
      </c>
      <c r="I386" s="7" t="str">
        <f aca="false">HYPERLINK("https://mncourtfraud.com/file/MCRO_27-CR-22-8378_Finding of Incompetency and Order_2023-05-02_20251126185812.pdf.ots","MCRO_27-CR-22-8378_Finding of Incompetency and Order_2023-05-02_20251126185812.pdf.ots")</f>
        <v>MCRO_27-CR-22-8378_Finding of Incompetency and Order_2023-05-02_20251126185812.pdf.ots</v>
      </c>
      <c r="J386" s="7" t="str">
        <f aca="false">HYPERLINK("https://mncourtfraud.com/file/MCRO_27-CR-22-8378_Finding of Incompetency and Order_2023-05-02_20251126185812_META.txt","MCRO_27-CR-22-8378_Finding of Incompetency and Order_2023-05-02_20251126185812_META.txt")</f>
        <v>MCRO_27-CR-22-8378_Finding of Incompetency and Order_2023-05-02_20251126185812_META.txt</v>
      </c>
      <c r="K386" s="7" t="str">
        <f aca="false">HYPERLINK("https://mncourtfraud.com/file/MCRO_27-CR-22-8378_Finding of Incompetency and Order_2023-05-02_20251126185812_PDFSIGS.txt","MCRO_27-CR-22-8378_Finding of Incompetency and Order_2023-05-02_20251126185812_PDFSIGS.txt")</f>
        <v>MCRO_27-CR-22-8378_Finding of Incompetency and Order_2023-05-02_20251126185812_PDFSIGS.txt</v>
      </c>
      <c r="L386" s="7" t="str">
        <f aca="false">HYPERLINK("https://mncourtfraud.com/file/MCRO_27-CR-22-8378_Finding_of_Incompetency_and_Order_2023-05-02_20251126185812.zip","MCRO_27-CR-22-8378_Finding_of_Incompetency_and_Order_2023-05-02_20251126185812.zip")</f>
        <v>MCRO_27-CR-22-8378_Finding_of_Incompetency_and_Order_2023-05-02_20251126185812.zip</v>
      </c>
    </row>
    <row r="387" customFormat="false" ht="18.7" hidden="false" customHeight="true" outlineLevel="0" collapsed="false">
      <c r="A387" s="1" t="n">
        <v>386</v>
      </c>
      <c r="B387" s="7" t="str">
        <f aca="false">HYPERLINK("https://mncourtfraud.com/file/27-CR-22-8378.pdf","27-CR-22-8378")</f>
        <v>27-CR-22-8378</v>
      </c>
      <c r="C387" s="1" t="n">
        <v>1</v>
      </c>
      <c r="D387" s="2" t="s">
        <v>12</v>
      </c>
      <c r="E387" s="8" t="n">
        <v>45093</v>
      </c>
      <c r="F387" s="2" t="s">
        <v>82</v>
      </c>
      <c r="G387" s="7" t="str">
        <f aca="false">HYPERLINK("https://mncourtfraud.com/file/MCRO_27-CR-22-8378_Notice of Case Reassignment_2023-06-16_20251126185824.pdf","MCRO_27-CR-22-8378_Notice of Case Reassignment_2023-06-16_20251126185824.pdf")</f>
        <v>MCRO_27-CR-22-8378_Notice of Case Reassignment_2023-06-16_20251126185824.pdf</v>
      </c>
      <c r="H387" s="2" t="s">
        <v>408</v>
      </c>
      <c r="I387" s="7" t="str">
        <f aca="false">HYPERLINK("https://mncourtfraud.com/file/MCRO_27-CR-22-8378_Notice of Case Reassignment_2023-06-16_20251126185824.pdf.ots","MCRO_27-CR-22-8378_Notice of Case Reassignment_2023-06-16_20251126185824.pdf.ots")</f>
        <v>MCRO_27-CR-22-8378_Notice of Case Reassignment_2023-06-16_20251126185824.pdf.ots</v>
      </c>
      <c r="J387" s="7" t="str">
        <f aca="false">HYPERLINK("https://mncourtfraud.com/file/MCRO_27-CR-22-8378_Notice of Case Reassignment_2023-06-16_20251126185824_META.txt","MCRO_27-CR-22-8378_Notice of Case Reassignment_2023-06-16_20251126185824_META.txt")</f>
        <v>MCRO_27-CR-22-8378_Notice of Case Reassignment_2023-06-16_20251126185824_META.txt</v>
      </c>
      <c r="K387" s="7" t="str">
        <f aca="false">HYPERLINK("https://mncourtfraud.com/file/MCRO_27-CR-22-8378_Notice of Case Reassignment_2023-06-16_20251126185824_PDFSIGS.txt","MCRO_27-CR-22-8378_Notice of Case Reassignment_2023-06-16_20251126185824_PDFSIGS.txt")</f>
        <v>MCRO_27-CR-22-8378_Notice of Case Reassignment_2023-06-16_20251126185824_PDFSIGS.txt</v>
      </c>
      <c r="L387" s="7" t="str">
        <f aca="false">HYPERLINK("https://mncourtfraud.com/file/MCRO_27-CR-22-8378_Notice_of_Case_Reassignment_2023-06-16_20251126185824.zip","MCRO_27-CR-22-8378_Notice_of_Case_Reassignment_2023-06-16_20251126185824.zip")</f>
        <v>MCRO_27-CR-22-8378_Notice_of_Case_Reassignment_2023-06-16_20251126185824.zip</v>
      </c>
    </row>
    <row r="388" customFormat="false" ht="18.7" hidden="false" customHeight="true" outlineLevel="0" collapsed="false">
      <c r="A388" s="1" t="n">
        <v>387</v>
      </c>
      <c r="B388" s="7" t="str">
        <f aca="false">HYPERLINK("https://mncourtfraud.com/file/27-CR-22-8378.pdf","27-CR-22-8378")</f>
        <v>27-CR-22-8378</v>
      </c>
      <c r="C388" s="1" t="n">
        <v>1</v>
      </c>
      <c r="D388" s="2" t="s">
        <v>12</v>
      </c>
      <c r="E388" s="8" t="n">
        <v>45160</v>
      </c>
      <c r="F388" s="2" t="s">
        <v>15</v>
      </c>
      <c r="G388" s="7" t="str">
        <f aca="false">HYPERLINK("https://mncourtfraud.com/file/MCRO_27-CR-22-8378_Order-Evaluation for Competency to Proceed (Rule 20.01)_2023-08-22_20251126185920.pdf","MCRO_27-CR-22-8378_Order-Evaluation for Competency to Proceed (Rule 20.01)_2023-08-22_20251126185920.pdf")</f>
        <v>MCRO_27-CR-22-8378_Order-Evaluation for Competency to Proceed (Rule 20.01)_2023-08-22_20251126185920.pdf</v>
      </c>
      <c r="H388" s="2" t="s">
        <v>409</v>
      </c>
      <c r="I388" s="7" t="str">
        <f aca="false">HYPERLINK("https://mncourtfraud.com/file/MCRO_27-CR-22-8378_Order-Evaluation for Competency to Proceed (Rule 20.01)_2023-08-22_20251126185920.pdf.ots","MCRO_27-CR-22-8378_Order-Evaluation for Competency to Proceed (Rule 20.01)_2023-08-22_20251126185920.pdf.ots")</f>
        <v>MCRO_27-CR-22-8378_Order-Evaluation for Competency to Proceed (Rule 20.01)_2023-08-22_20251126185920.pdf.ots</v>
      </c>
      <c r="J388" s="7" t="str">
        <f aca="false">HYPERLINK("https://mncourtfraud.com/file/MCRO_27-CR-22-8378_Order-Evaluation for Competency to Proceed (Rule 20.01)_2023-08-22_20251126185920_META.txt","MCRO_27-CR-22-8378_Order-Evaluation for Competency to Proceed (Rule 20.01)_2023-08-22_20251126185920_META.txt")</f>
        <v>MCRO_27-CR-22-8378_Order-Evaluation for Competency to Proceed (Rule 20.01)_2023-08-22_20251126185920_META.txt</v>
      </c>
      <c r="K388" s="7" t="str">
        <f aca="false">HYPERLINK("https://mncourtfraud.com/file/MCRO_27-CR-22-8378_Order-Evaluation for Competency to Proceed (Rule 20.01)_2023-08-22_20251126185920_PDFSIGS.txt","MCRO_27-CR-22-8378_Order-Evaluation for Competency to Proceed (Rule 20.01)_2023-08-22_20251126185920_PDFSIGS.txt")</f>
        <v>MCRO_27-CR-22-8378_Order-Evaluation for Competency to Proceed (Rule 20.01)_2023-08-22_20251126185920_PDFSIGS.txt</v>
      </c>
      <c r="L388" s="7" t="str">
        <f aca="false">HYPERLINK("https://mncourtfraud.com/file/MCRO_27-CR-22-8378_Order-Evaluation_for_Competency_to_Proceed_(Rule_20.01)_2023-08-22_20251126185920.zip","MCRO_27-CR-22-8378_Order-Evaluation_for_Competency_to_Proceed_(Rule_20.01)_2023-08-22_20251126185920.zip")</f>
        <v>MCRO_27-CR-22-8378_Order-Evaluation_for_Competency_to_Proceed_(Rule_20.01)_2023-08-22_20251126185920.zip</v>
      </c>
    </row>
    <row r="389" customFormat="false" ht="18.7" hidden="false" customHeight="true" outlineLevel="0" collapsed="false">
      <c r="A389" s="1" t="n">
        <v>388</v>
      </c>
      <c r="B389" s="7" t="str">
        <f aca="false">HYPERLINK("https://mncourtfraud.com/file/27-CR-22-8378.pdf","27-CR-22-8378")</f>
        <v>27-CR-22-8378</v>
      </c>
      <c r="C389" s="1" t="n">
        <v>1</v>
      </c>
      <c r="D389" s="2" t="s">
        <v>12</v>
      </c>
      <c r="E389" s="8" t="n">
        <v>45412</v>
      </c>
      <c r="F389" s="2" t="s">
        <v>24</v>
      </c>
      <c r="G389" s="7" t="str">
        <f aca="false">HYPERLINK("https://mncourtfraud.com/file/MCRO_27-CR-22-8378_Order for Conditional Release_2024-04-30_20251126185838.pdf","MCRO_27-CR-22-8378_Order for Conditional Release_2024-04-30_20251126185838.pdf")</f>
        <v>MCRO_27-CR-22-8378_Order for Conditional Release_2024-04-30_20251126185838.pdf</v>
      </c>
      <c r="H389" s="2" t="s">
        <v>410</v>
      </c>
      <c r="I389" s="7" t="str">
        <f aca="false">HYPERLINK("https://mncourtfraud.com/file/MCRO_27-CR-22-8378_Order for Conditional Release_2024-04-30_20251126185838.pdf.ots","MCRO_27-CR-22-8378_Order for Conditional Release_2024-04-30_20251126185838.pdf.ots")</f>
        <v>MCRO_27-CR-22-8378_Order for Conditional Release_2024-04-30_20251126185838.pdf.ots</v>
      </c>
      <c r="J389" s="7" t="str">
        <f aca="false">HYPERLINK("https://mncourtfraud.com/file/MCRO_27-CR-22-8378_Order for Conditional Release_2024-04-30_20251126185838_META.txt","MCRO_27-CR-22-8378_Order for Conditional Release_2024-04-30_20251126185838_META.txt")</f>
        <v>MCRO_27-CR-22-8378_Order for Conditional Release_2024-04-30_20251126185838_META.txt</v>
      </c>
      <c r="K389" s="7" t="str">
        <f aca="false">HYPERLINK("https://mncourtfraud.com/file/MCRO_27-CR-22-8378_Order for Conditional Release_2024-04-30_20251126185838_PDFSIGS.txt","MCRO_27-CR-22-8378_Order for Conditional Release_2024-04-30_20251126185838_PDFSIGS.txt")</f>
        <v>MCRO_27-CR-22-8378_Order for Conditional Release_2024-04-30_20251126185838_PDFSIGS.txt</v>
      </c>
      <c r="L389" s="7" t="str">
        <f aca="false">HYPERLINK("https://mncourtfraud.com/file/MCRO_27-CR-22-8378_Order_for_Conditional_Release_2024-04-30_20251126185838.zip","MCRO_27-CR-22-8378_Order_for_Conditional_Release_2024-04-30_20251126185838.zip")</f>
        <v>MCRO_27-CR-22-8378_Order_for_Conditional_Release_2024-04-30_20251126185838.zip</v>
      </c>
    </row>
    <row r="390" customFormat="false" ht="18.7" hidden="false" customHeight="true" outlineLevel="0" collapsed="false">
      <c r="A390" s="1" t="n">
        <v>389</v>
      </c>
      <c r="B390" s="7" t="str">
        <f aca="false">HYPERLINK("https://mncourtfraud.com/file/27-CR-22-8378.pdf","27-CR-22-8378")</f>
        <v>27-CR-22-8378</v>
      </c>
      <c r="C390" s="1" t="n">
        <v>1</v>
      </c>
      <c r="D390" s="2" t="s">
        <v>12</v>
      </c>
      <c r="E390" s="8" t="n">
        <v>45412</v>
      </c>
      <c r="F390" s="2" t="s">
        <v>15</v>
      </c>
      <c r="G390" s="7" t="str">
        <f aca="false">HYPERLINK("https://mncourtfraud.com/file/MCRO_27-CR-22-8378_Order-Evaluation for Competency to Proceed (Rule 20.01)_2024-04-30_20251126185849.pdf","MCRO_27-CR-22-8378_Order-Evaluation for Competency to Proceed (Rule 20.01)_2024-04-30_20251126185849.pdf")</f>
        <v>MCRO_27-CR-22-8378_Order-Evaluation for Competency to Proceed (Rule 20.01)_2024-04-30_20251126185849.pdf</v>
      </c>
      <c r="H390" s="2" t="s">
        <v>411</v>
      </c>
      <c r="I390" s="7" t="str">
        <f aca="false">HYPERLINK("https://mncourtfraud.com/file/MCRO_27-CR-22-8378_Order-Evaluation for Competency to Proceed (Rule 20.01)_2024-04-30_20251126185849.pdf.ots","MCRO_27-CR-22-8378_Order-Evaluation for Competency to Proceed (Rule 20.01)_2024-04-30_20251126185849.pdf.ots")</f>
        <v>MCRO_27-CR-22-8378_Order-Evaluation for Competency to Proceed (Rule 20.01)_2024-04-30_20251126185849.pdf.ots</v>
      </c>
      <c r="J390" s="7" t="str">
        <f aca="false">HYPERLINK("https://mncourtfraud.com/file/MCRO_27-CR-22-8378_Order-Evaluation for Competency to Proceed (Rule 20.01)_2024-04-30_20251126185849_META.txt","MCRO_27-CR-22-8378_Order-Evaluation for Competency to Proceed (Rule 20.01)_2024-04-30_20251126185849_META.txt")</f>
        <v>MCRO_27-CR-22-8378_Order-Evaluation for Competency to Proceed (Rule 20.01)_2024-04-30_20251126185849_META.txt</v>
      </c>
      <c r="K390" s="7" t="str">
        <f aca="false">HYPERLINK("https://mncourtfraud.com/file/MCRO_27-CR-22-8378_Order-Evaluation for Competency to Proceed (Rule 20.01)_2024-04-30_20251126185849_PDFSIGS.txt","MCRO_27-CR-22-8378_Order-Evaluation for Competency to Proceed (Rule 20.01)_2024-04-30_20251126185849_PDFSIGS.txt")</f>
        <v>MCRO_27-CR-22-8378_Order-Evaluation for Competency to Proceed (Rule 20.01)_2024-04-30_20251126185849_PDFSIGS.txt</v>
      </c>
      <c r="L390" s="7" t="str">
        <f aca="false">HYPERLINK("https://mncourtfraud.com/file/MCRO_27-CR-22-8378_Order-Evaluation_for_Competency_to_Proceed_(Rule_20.01)_2024-04-30_20251126185849.zip","MCRO_27-CR-22-8378_Order-Evaluation_for_Competency_to_Proceed_(Rule_20.01)_2024-04-30_20251126185849.zip")</f>
        <v>MCRO_27-CR-22-8378_Order-Evaluation_for_Competency_to_Proceed_(Rule_20.01)_2024-04-30_20251126185849.zip</v>
      </c>
    </row>
    <row r="391" customFormat="false" ht="18.7" hidden="false" customHeight="true" outlineLevel="0" collapsed="false">
      <c r="A391" s="1" t="n">
        <v>390</v>
      </c>
      <c r="B391" s="7" t="str">
        <f aca="false">HYPERLINK("https://mncourtfraud.com/file/27-CR-22-9930.pdf","27-CR-22-9930")</f>
        <v>27-CR-22-9930</v>
      </c>
      <c r="C391" s="1" t="n">
        <v>1</v>
      </c>
      <c r="D391" s="2" t="s">
        <v>12</v>
      </c>
      <c r="E391" s="8" t="n">
        <v>44761</v>
      </c>
      <c r="F391" s="2" t="s">
        <v>15</v>
      </c>
      <c r="G391" s="7" t="str">
        <f aca="false">HYPERLINK("https://mncourtfraud.com/file/MCRO_27-CR-22-9930_Order-Evaluation for Competency to Proceed (Rule 20.01)_2022-07-19_20251126190007.pdf","MCRO_27-CR-22-9930_Order-Evaluation for Competency to Proceed (Rule 20.01)_2022-07-19_20251126190007.pdf")</f>
        <v>MCRO_27-CR-22-9930_Order-Evaluation for Competency to Proceed (Rule 20.01)_2022-07-19_20251126190007.pdf</v>
      </c>
      <c r="H391" s="2" t="s">
        <v>412</v>
      </c>
      <c r="I391" s="7" t="str">
        <f aca="false">HYPERLINK("https://mncourtfraud.com/file/MCRO_27-CR-22-9930_Order-Evaluation for Competency to Proceed (Rule 20.01)_2022-07-19_20251126190007.pdf.ots","MCRO_27-CR-22-9930_Order-Evaluation for Competency to Proceed (Rule 20.01)_2022-07-19_20251126190007.pdf.ots")</f>
        <v>MCRO_27-CR-22-9930_Order-Evaluation for Competency to Proceed (Rule 20.01)_2022-07-19_20251126190007.pdf.ots</v>
      </c>
      <c r="J391" s="7" t="str">
        <f aca="false">HYPERLINK("https://mncourtfraud.com/file/MCRO_27-CR-22-9930_Order-Evaluation for Competency to Proceed (Rule 20.01)_2022-07-19_20251126190007_META.txt","MCRO_27-CR-22-9930_Order-Evaluation for Competency to Proceed (Rule 20.01)_2022-07-19_20251126190007_META.txt")</f>
        <v>MCRO_27-CR-22-9930_Order-Evaluation for Competency to Proceed (Rule 20.01)_2022-07-19_20251126190007_META.txt</v>
      </c>
      <c r="K391" s="7" t="str">
        <f aca="false">HYPERLINK("https://mncourtfraud.com/file/MCRO_27-CR-22-9930_Order-Evaluation for Competency to Proceed (Rule 20.01)_2022-07-19_20251126190007_PDFSIGS.txt","MCRO_27-CR-22-9930_Order-Evaluation for Competency to Proceed (Rule 20.01)_2022-07-19_20251126190007_PDFSIGS.txt")</f>
        <v>MCRO_27-CR-22-9930_Order-Evaluation for Competency to Proceed (Rule 20.01)_2022-07-19_20251126190007_PDFSIGS.txt</v>
      </c>
      <c r="L391" s="7" t="str">
        <f aca="false">HYPERLINK("https://mncourtfraud.com/file/MCRO_27-CR-22-9930_Order-Evaluation_for_Competency_to_Proceed_(Rule_20.01)_2022-07-19_20251126190007.zip","MCRO_27-CR-22-9930_Order-Evaluation_for_Competency_to_Proceed_(Rule_20.01)_2022-07-19_20251126190007.zip")</f>
        <v>MCRO_27-CR-22-9930_Order-Evaluation_for_Competency_to_Proceed_(Rule_20.01)_2022-07-19_20251126190007.zip</v>
      </c>
    </row>
    <row r="392" customFormat="false" ht="18.7" hidden="false" customHeight="true" outlineLevel="0" collapsed="false">
      <c r="A392" s="1" t="n">
        <v>391</v>
      </c>
      <c r="B392" s="7" t="str">
        <f aca="false">HYPERLINK("https://mncourtfraud.com/file/27-CR-22-9930.pdf","27-CR-22-9930")</f>
        <v>27-CR-22-9930</v>
      </c>
      <c r="C392" s="1" t="n">
        <v>1</v>
      </c>
      <c r="D392" s="2" t="s">
        <v>12</v>
      </c>
      <c r="E392" s="8" t="n">
        <v>44895</v>
      </c>
      <c r="F392" s="2" t="s">
        <v>15</v>
      </c>
      <c r="G392" s="7" t="str">
        <f aca="false">HYPERLINK("https://mncourtfraud.com/file/MCRO_27-CR-22-9930_Order-Evaluation for Competency to Proceed (Rule 20.01)_2022-11-30_20251126185959.pdf","MCRO_27-CR-22-9930_Order-Evaluation for Competency to Proceed (Rule 20.01)_2022-11-30_20251126185959.pdf")</f>
        <v>MCRO_27-CR-22-9930_Order-Evaluation for Competency to Proceed (Rule 20.01)_2022-11-30_20251126185959.pdf</v>
      </c>
      <c r="H392" s="2" t="s">
        <v>413</v>
      </c>
      <c r="I392" s="7" t="str">
        <f aca="false">HYPERLINK("https://mncourtfraud.com/file/MCRO_27-CR-22-9930_Order-Evaluation for Competency to Proceed (Rule 20.01)_2022-11-30_20251126185959.pdf.ots","MCRO_27-CR-22-9930_Order-Evaluation for Competency to Proceed (Rule 20.01)_2022-11-30_20251126185959.pdf.ots")</f>
        <v>MCRO_27-CR-22-9930_Order-Evaluation for Competency to Proceed (Rule 20.01)_2022-11-30_20251126185959.pdf.ots</v>
      </c>
      <c r="J392" s="7" t="str">
        <f aca="false">HYPERLINK("https://mncourtfraud.com/file/MCRO_27-CR-22-9930_Order-Evaluation for Competency to Proceed (Rule 20.01)_2022-11-30_20251126185959_META.txt","MCRO_27-CR-22-9930_Order-Evaluation for Competency to Proceed (Rule 20.01)_2022-11-30_20251126185959_META.txt")</f>
        <v>MCRO_27-CR-22-9930_Order-Evaluation for Competency to Proceed (Rule 20.01)_2022-11-30_20251126185959_META.txt</v>
      </c>
      <c r="K392" s="7" t="str">
        <f aca="false">HYPERLINK("https://mncourtfraud.com/file/MCRO_27-CR-22-9930_Order-Evaluation for Competency to Proceed (Rule 20.01)_2022-11-30_20251126185959_PDFSIGS.txt","MCRO_27-CR-22-9930_Order-Evaluation for Competency to Proceed (Rule 20.01)_2022-11-30_20251126185959_PDFSIGS.txt")</f>
        <v>MCRO_27-CR-22-9930_Order-Evaluation for Competency to Proceed (Rule 20.01)_2022-11-30_20251126185959_PDFSIGS.txt</v>
      </c>
      <c r="L392" s="7" t="str">
        <f aca="false">HYPERLINK("https://mncourtfraud.com/file/MCRO_27-CR-22-9930_Order-Evaluation_for_Competency_to_Proceed_(Rule_20.01)_2022-11-30_20251126185959.zip","MCRO_27-CR-22-9930_Order-Evaluation_for_Competency_to_Proceed_(Rule_20.01)_2022-11-30_20251126185959.zip")</f>
        <v>MCRO_27-CR-22-9930_Order-Evaluation_for_Competency_to_Proceed_(Rule_20.01)_2022-11-30_20251126185959.zip</v>
      </c>
    </row>
    <row r="393" customFormat="false" ht="18.7" hidden="false" customHeight="true" outlineLevel="0" collapsed="false">
      <c r="A393" s="1" t="n">
        <v>392</v>
      </c>
      <c r="B393" s="7" t="str">
        <f aca="false">HYPERLINK("https://mncourtfraud.com/file/27-CR-22-9930.pdf","27-CR-22-9930")</f>
        <v>27-CR-22-9930</v>
      </c>
      <c r="C393" s="1" t="n">
        <v>1</v>
      </c>
      <c r="D393" s="2" t="s">
        <v>12</v>
      </c>
      <c r="E393" s="8" t="n">
        <v>45048</v>
      </c>
      <c r="F393" s="2" t="s">
        <v>80</v>
      </c>
      <c r="G393" s="7" t="str">
        <f aca="false">HYPERLINK("https://mncourtfraud.com/file/MCRO_27-CR-22-9930_Finding of Incompetency and Order_2023-05-02_20251126185948.pdf","MCRO_27-CR-22-9930_Finding of Incompetency and Order_2023-05-02_20251126185948.pdf")</f>
        <v>MCRO_27-CR-22-9930_Finding of Incompetency and Order_2023-05-02_20251126185948.pdf</v>
      </c>
      <c r="H393" s="2" t="s">
        <v>414</v>
      </c>
      <c r="I393" s="7" t="str">
        <f aca="false">HYPERLINK("https://mncourtfraud.com/file/MCRO_27-CR-22-9930_Finding of Incompetency and Order_2023-05-02_20251126185948.pdf.ots","MCRO_27-CR-22-9930_Finding of Incompetency and Order_2023-05-02_20251126185948.pdf.ots")</f>
        <v>MCRO_27-CR-22-9930_Finding of Incompetency and Order_2023-05-02_20251126185948.pdf.ots</v>
      </c>
      <c r="J393" s="7" t="str">
        <f aca="false">HYPERLINK("https://mncourtfraud.com/file/MCRO_27-CR-22-9930_Finding of Incompetency and Order_2023-05-02_20251126185948_META.txt","MCRO_27-CR-22-9930_Finding of Incompetency and Order_2023-05-02_20251126185948_META.txt")</f>
        <v>MCRO_27-CR-22-9930_Finding of Incompetency and Order_2023-05-02_20251126185948_META.txt</v>
      </c>
      <c r="K393" s="7" t="str">
        <f aca="false">HYPERLINK("https://mncourtfraud.com/file/MCRO_27-CR-22-9930_Finding of Incompetency and Order_2023-05-02_20251126185948_PDFSIGS.txt","MCRO_27-CR-22-9930_Finding of Incompetency and Order_2023-05-02_20251126185948_PDFSIGS.txt")</f>
        <v>MCRO_27-CR-22-9930_Finding of Incompetency and Order_2023-05-02_20251126185948_PDFSIGS.txt</v>
      </c>
      <c r="L393" s="7" t="str">
        <f aca="false">HYPERLINK("https://mncourtfraud.com/file/MCRO_27-CR-22-9930_Finding_of_Incompetency_and_Order_2023-05-02_20251126185948.zip","MCRO_27-CR-22-9930_Finding_of_Incompetency_and_Order_2023-05-02_20251126185948.zip")</f>
        <v>MCRO_27-CR-22-9930_Finding_of_Incompetency_and_Order_2023-05-02_20251126185948.zip</v>
      </c>
    </row>
    <row r="394" customFormat="false" ht="18.7" hidden="false" customHeight="true" outlineLevel="0" collapsed="false">
      <c r="A394" s="1" t="n">
        <v>393</v>
      </c>
      <c r="B394" s="7" t="str">
        <f aca="false">HYPERLINK("https://mncourtfraud.com/file/27-CR-23-1583.pdf","27-CR-23-1583")</f>
        <v>27-CR-23-1583</v>
      </c>
      <c r="C394" s="1" t="n">
        <v>1</v>
      </c>
      <c r="D394" s="2" t="s">
        <v>12</v>
      </c>
      <c r="E394" s="8" t="n">
        <v>45048</v>
      </c>
      <c r="F394" s="2" t="s">
        <v>80</v>
      </c>
      <c r="G394" s="7" t="str">
        <f aca="false">HYPERLINK("https://mncourtfraud.com/file/MCRO_27-CR-23-1583_Finding of Incompetency and Order_2023-05-02_20251126190033.pdf","MCRO_27-CR-23-1583_Finding of Incompetency and Order_2023-05-02_20251126190033.pdf")</f>
        <v>MCRO_27-CR-23-1583_Finding of Incompetency and Order_2023-05-02_20251126190033.pdf</v>
      </c>
      <c r="H394" s="2" t="s">
        <v>415</v>
      </c>
      <c r="I394" s="7" t="str">
        <f aca="false">HYPERLINK("https://mncourtfraud.com/file/MCRO_27-CR-23-1583_Finding of Incompetency and Order_2023-05-02_20251126190033.pdf.ots","MCRO_27-CR-23-1583_Finding of Incompetency and Order_2023-05-02_20251126190033.pdf.ots")</f>
        <v>MCRO_27-CR-23-1583_Finding of Incompetency and Order_2023-05-02_20251126190033.pdf.ots</v>
      </c>
      <c r="J394" s="7" t="str">
        <f aca="false">HYPERLINK("https://mncourtfraud.com/file/MCRO_27-CR-23-1583_Finding of Incompetency and Order_2023-05-02_20251126190033_META.txt","MCRO_27-CR-23-1583_Finding of Incompetency and Order_2023-05-02_20251126190033_META.txt")</f>
        <v>MCRO_27-CR-23-1583_Finding of Incompetency and Order_2023-05-02_20251126190033_META.txt</v>
      </c>
      <c r="K394" s="7" t="str">
        <f aca="false">HYPERLINK("https://mncourtfraud.com/file/MCRO_27-CR-23-1583_Finding of Incompetency and Order_2023-05-02_20251126190033_PDFSIGS.txt","MCRO_27-CR-23-1583_Finding of Incompetency and Order_2023-05-02_20251126190033_PDFSIGS.txt")</f>
        <v>MCRO_27-CR-23-1583_Finding of Incompetency and Order_2023-05-02_20251126190033_PDFSIGS.txt</v>
      </c>
      <c r="L394" s="7" t="str">
        <f aca="false">HYPERLINK("https://mncourtfraud.com/file/MCRO_27-CR-23-1583_Finding_of_Incompetency_and_Order_2023-05-02_20251126190033.zip","MCRO_27-CR-23-1583_Finding_of_Incompetency_and_Order_2023-05-02_20251126190033.zip")</f>
        <v>MCRO_27-CR-23-1583_Finding_of_Incompetency_and_Order_2023-05-02_20251126190033.zip</v>
      </c>
    </row>
    <row r="395" customFormat="false" ht="18.7" hidden="false" customHeight="true" outlineLevel="0" collapsed="false">
      <c r="A395" s="1" t="n">
        <v>394</v>
      </c>
      <c r="B395" s="7" t="str">
        <f aca="false">HYPERLINK("https://mncourtfraud.com/file/27-CR-23-1583.pdf","27-CR-23-1583")</f>
        <v>27-CR-23-1583</v>
      </c>
      <c r="C395" s="1" t="n">
        <v>1</v>
      </c>
      <c r="D395" s="2" t="s">
        <v>12</v>
      </c>
      <c r="E395" s="8" t="n">
        <v>45093</v>
      </c>
      <c r="F395" s="2" t="s">
        <v>82</v>
      </c>
      <c r="G395" s="7" t="str">
        <f aca="false">HYPERLINK("https://mncourtfraud.com/file/MCRO_27-CR-23-1583_Notice of Case Reassignment_2023-06-16_20251126190045.pdf","MCRO_27-CR-23-1583_Notice of Case Reassignment_2023-06-16_20251126190045.pdf")</f>
        <v>MCRO_27-CR-23-1583_Notice of Case Reassignment_2023-06-16_20251126190045.pdf</v>
      </c>
      <c r="H395" s="2" t="s">
        <v>416</v>
      </c>
      <c r="I395" s="7" t="str">
        <f aca="false">HYPERLINK("https://mncourtfraud.com/file/MCRO_27-CR-23-1583_Notice of Case Reassignment_2023-06-16_20251126190045.pdf.ots","MCRO_27-CR-23-1583_Notice of Case Reassignment_2023-06-16_20251126190045.pdf.ots")</f>
        <v>MCRO_27-CR-23-1583_Notice of Case Reassignment_2023-06-16_20251126190045.pdf.ots</v>
      </c>
      <c r="J395" s="7" t="str">
        <f aca="false">HYPERLINK("https://mncourtfraud.com/file/MCRO_27-CR-23-1583_Notice of Case Reassignment_2023-06-16_20251126190045_META.txt","MCRO_27-CR-23-1583_Notice of Case Reassignment_2023-06-16_20251126190045_META.txt")</f>
        <v>MCRO_27-CR-23-1583_Notice of Case Reassignment_2023-06-16_20251126190045_META.txt</v>
      </c>
      <c r="K395" s="7" t="str">
        <f aca="false">HYPERLINK("https://mncourtfraud.com/file/MCRO_27-CR-23-1583_Notice of Case Reassignment_2023-06-16_20251126190045_PDFSIGS.txt","MCRO_27-CR-23-1583_Notice of Case Reassignment_2023-06-16_20251126190045_PDFSIGS.txt")</f>
        <v>MCRO_27-CR-23-1583_Notice of Case Reassignment_2023-06-16_20251126190045_PDFSIGS.txt</v>
      </c>
      <c r="L395" s="7" t="str">
        <f aca="false">HYPERLINK("https://mncourtfraud.com/file/MCRO_27-CR-23-1583_Notice_of_Case_Reassignment_2023-06-16_20251126190045.zip","MCRO_27-CR-23-1583_Notice_of_Case_Reassignment_2023-06-16_20251126190045.zip")</f>
        <v>MCRO_27-CR-23-1583_Notice_of_Case_Reassignment_2023-06-16_20251126190045.zip</v>
      </c>
    </row>
    <row r="396" customFormat="false" ht="18.7" hidden="false" customHeight="true" outlineLevel="0" collapsed="false">
      <c r="A396" s="1" t="n">
        <v>395</v>
      </c>
      <c r="B396" s="7" t="str">
        <f aca="false">HYPERLINK("https://mncourtfraud.com/file/27-CR-23-1583.pdf","27-CR-23-1583")</f>
        <v>27-CR-23-1583</v>
      </c>
      <c r="C396" s="1" t="n">
        <v>1</v>
      </c>
      <c r="D396" s="2" t="s">
        <v>12</v>
      </c>
      <c r="E396" s="8" t="n">
        <v>45160</v>
      </c>
      <c r="F396" s="2" t="s">
        <v>15</v>
      </c>
      <c r="G396" s="7" t="str">
        <f aca="false">HYPERLINK("https://mncourtfraud.com/file/MCRO_27-CR-23-1583_Order-Evaluation for Competency to Proceed (Rule 20.01)_2023-08-22_20251126190123.pdf","MCRO_27-CR-23-1583_Order-Evaluation for Competency to Proceed (Rule 20.01)_2023-08-22_20251126190123.pdf")</f>
        <v>MCRO_27-CR-23-1583_Order-Evaluation for Competency to Proceed (Rule 20.01)_2023-08-22_20251126190123.pdf</v>
      </c>
      <c r="H396" s="2" t="s">
        <v>417</v>
      </c>
      <c r="I396" s="7" t="str">
        <f aca="false">HYPERLINK("https://mncourtfraud.com/file/MCRO_27-CR-23-1583_Order-Evaluation for Competency to Proceed (Rule 20.01)_2023-08-22_20251126190123.pdf.ots","MCRO_27-CR-23-1583_Order-Evaluation for Competency to Proceed (Rule 20.01)_2023-08-22_20251126190123.pdf.ots")</f>
        <v>MCRO_27-CR-23-1583_Order-Evaluation for Competency to Proceed (Rule 20.01)_2023-08-22_20251126190123.pdf.ots</v>
      </c>
      <c r="J396" s="7" t="str">
        <f aca="false">HYPERLINK("https://mncourtfraud.com/file/MCRO_27-CR-23-1583_Order-Evaluation for Competency to Proceed (Rule 20.01)_2023-08-22_20251126190123_META.txt","MCRO_27-CR-23-1583_Order-Evaluation for Competency to Proceed (Rule 20.01)_2023-08-22_20251126190123_META.txt")</f>
        <v>MCRO_27-CR-23-1583_Order-Evaluation for Competency to Proceed (Rule 20.01)_2023-08-22_20251126190123_META.txt</v>
      </c>
      <c r="K396" s="7" t="str">
        <f aca="false">HYPERLINK("https://mncourtfraud.com/file/MCRO_27-CR-23-1583_Order-Evaluation for Competency to Proceed (Rule 20.01)_2023-08-22_20251126190123_PDFSIGS.txt","MCRO_27-CR-23-1583_Order-Evaluation for Competency to Proceed (Rule 20.01)_2023-08-22_20251126190123_PDFSIGS.txt")</f>
        <v>MCRO_27-CR-23-1583_Order-Evaluation for Competency to Proceed (Rule 20.01)_2023-08-22_20251126190123_PDFSIGS.txt</v>
      </c>
      <c r="L396" s="7" t="str">
        <f aca="false">HYPERLINK("https://mncourtfraud.com/file/MCRO_27-CR-23-1583_Order-Evaluation_for_Competency_to_Proceed_(Rule_20.01)_2023-08-22_20251126190123.zip","MCRO_27-CR-23-1583_Order-Evaluation_for_Competency_to_Proceed_(Rule_20.01)_2023-08-22_20251126190123.zip")</f>
        <v>MCRO_27-CR-23-1583_Order-Evaluation_for_Competency_to_Proceed_(Rule_20.01)_2023-08-22_20251126190123.zip</v>
      </c>
    </row>
    <row r="397" customFormat="false" ht="18.7" hidden="false" customHeight="true" outlineLevel="0" collapsed="false">
      <c r="A397" s="1" t="n">
        <v>396</v>
      </c>
      <c r="B397" s="7" t="str">
        <f aca="false">HYPERLINK("https://mncourtfraud.com/file/27-CR-23-1583.pdf","27-CR-23-1583")</f>
        <v>27-CR-23-1583</v>
      </c>
      <c r="C397" s="1" t="n">
        <v>1</v>
      </c>
      <c r="D397" s="2" t="s">
        <v>12</v>
      </c>
      <c r="E397" s="8" t="n">
        <v>45412</v>
      </c>
      <c r="F397" s="2" t="s">
        <v>24</v>
      </c>
      <c r="G397" s="7" t="str">
        <f aca="false">HYPERLINK("https://mncourtfraud.com/file/MCRO_27-CR-23-1583_Order for Conditional Release_2024-04-30_20251126190100.pdf","MCRO_27-CR-23-1583_Order for Conditional Release_2024-04-30_20251126190100.pdf")</f>
        <v>MCRO_27-CR-23-1583_Order for Conditional Release_2024-04-30_20251126190100.pdf</v>
      </c>
      <c r="H397" s="2" t="s">
        <v>418</v>
      </c>
      <c r="I397" s="7" t="str">
        <f aca="false">HYPERLINK("https://mncourtfraud.com/file/MCRO_27-CR-23-1583_Order for Conditional Release_2024-04-30_20251126190100.pdf.ots","MCRO_27-CR-23-1583_Order for Conditional Release_2024-04-30_20251126190100.pdf.ots")</f>
        <v>MCRO_27-CR-23-1583_Order for Conditional Release_2024-04-30_20251126190100.pdf.ots</v>
      </c>
      <c r="J397" s="7" t="str">
        <f aca="false">HYPERLINK("https://mncourtfraud.com/file/MCRO_27-CR-23-1583_Order for Conditional Release_2024-04-30_20251126190100_META.txt","MCRO_27-CR-23-1583_Order for Conditional Release_2024-04-30_20251126190100_META.txt")</f>
        <v>MCRO_27-CR-23-1583_Order for Conditional Release_2024-04-30_20251126190100_META.txt</v>
      </c>
      <c r="K397" s="7" t="str">
        <f aca="false">HYPERLINK("https://mncourtfraud.com/file/MCRO_27-CR-23-1583_Order for Conditional Release_2024-04-30_20251126190100_PDFSIGS.txt","MCRO_27-CR-23-1583_Order for Conditional Release_2024-04-30_20251126190100_PDFSIGS.txt")</f>
        <v>MCRO_27-CR-23-1583_Order for Conditional Release_2024-04-30_20251126190100_PDFSIGS.txt</v>
      </c>
      <c r="L397" s="7" t="str">
        <f aca="false">HYPERLINK("https://mncourtfraud.com/file/MCRO_27-CR-23-1583_Order_for_Conditional_Release_2024-04-30_20251126190100.zip","MCRO_27-CR-23-1583_Order_for_Conditional_Release_2024-04-30_20251126190100.zip")</f>
        <v>MCRO_27-CR-23-1583_Order_for_Conditional_Release_2024-04-30_20251126190100.zip</v>
      </c>
    </row>
    <row r="398" customFormat="false" ht="18.7" hidden="false" customHeight="true" outlineLevel="0" collapsed="false">
      <c r="A398" s="1" t="n">
        <v>397</v>
      </c>
      <c r="B398" s="7" t="str">
        <f aca="false">HYPERLINK("https://mncourtfraud.com/file/27-CR-23-1583.pdf","27-CR-23-1583")</f>
        <v>27-CR-23-1583</v>
      </c>
      <c r="C398" s="1" t="n">
        <v>1</v>
      </c>
      <c r="D398" s="2" t="s">
        <v>12</v>
      </c>
      <c r="E398" s="8" t="n">
        <v>45412</v>
      </c>
      <c r="F398" s="2" t="s">
        <v>15</v>
      </c>
      <c r="G398" s="7" t="str">
        <f aca="false">HYPERLINK("https://mncourtfraud.com/file/MCRO_27-CR-23-1583_Order-Evaluation for Competency to Proceed (Rule 20.01)_2024-04-30_20251126190111.pdf","MCRO_27-CR-23-1583_Order-Evaluation for Competency to Proceed (Rule 20.01)_2024-04-30_20251126190111.pdf")</f>
        <v>MCRO_27-CR-23-1583_Order-Evaluation for Competency to Proceed (Rule 20.01)_2024-04-30_20251126190111.pdf</v>
      </c>
      <c r="H398" s="2" t="s">
        <v>419</v>
      </c>
      <c r="I398" s="7" t="str">
        <f aca="false">HYPERLINK("https://mncourtfraud.com/file/MCRO_27-CR-23-1583_Order-Evaluation for Competency to Proceed (Rule 20.01)_2024-04-30_20251126190111.pdf.ots","MCRO_27-CR-23-1583_Order-Evaluation for Competency to Proceed (Rule 20.01)_2024-04-30_20251126190111.pdf.ots")</f>
        <v>MCRO_27-CR-23-1583_Order-Evaluation for Competency to Proceed (Rule 20.01)_2024-04-30_20251126190111.pdf.ots</v>
      </c>
      <c r="J398" s="7" t="str">
        <f aca="false">HYPERLINK("https://mncourtfraud.com/file/MCRO_27-CR-23-1583_Order-Evaluation for Competency to Proceed (Rule 20.01)_2024-04-30_20251126190111_META.txt","MCRO_27-CR-23-1583_Order-Evaluation for Competency to Proceed (Rule 20.01)_2024-04-30_20251126190111_META.txt")</f>
        <v>MCRO_27-CR-23-1583_Order-Evaluation for Competency to Proceed (Rule 20.01)_2024-04-30_20251126190111_META.txt</v>
      </c>
      <c r="K398" s="7" t="str">
        <f aca="false">HYPERLINK("https://mncourtfraud.com/file/MCRO_27-CR-23-1583_Order-Evaluation for Competency to Proceed (Rule 20.01)_2024-04-30_20251126190111_PDFSIGS.txt","MCRO_27-CR-23-1583_Order-Evaluation for Competency to Proceed (Rule 20.01)_2024-04-30_20251126190111_PDFSIGS.txt")</f>
        <v>MCRO_27-CR-23-1583_Order-Evaluation for Competency to Proceed (Rule 20.01)_2024-04-30_20251126190111_PDFSIGS.txt</v>
      </c>
      <c r="L398" s="7" t="str">
        <f aca="false">HYPERLINK("https://mncourtfraud.com/file/MCRO_27-CR-23-1583_Order-Evaluation_for_Competency_to_Proceed_(Rule_20.01)_2024-04-30_20251126190111.zip","MCRO_27-CR-23-1583_Order-Evaluation_for_Competency_to_Proceed_(Rule_20.01)_2024-04-30_20251126190111.zip")</f>
        <v>MCRO_27-CR-23-1583_Order-Evaluation_for_Competency_to_Proceed_(Rule_20.01)_2024-04-30_20251126190111.zip</v>
      </c>
    </row>
    <row r="399" customFormat="false" ht="18.7" hidden="false" customHeight="true" outlineLevel="0" collapsed="false">
      <c r="A399" s="1" t="n">
        <v>398</v>
      </c>
      <c r="B399" s="7" t="str">
        <f aca="false">HYPERLINK("https://mncourtfraud.com/file/27-CR-23-4900.pdf","27-CR-23-4900")</f>
        <v>27-CR-23-4900</v>
      </c>
      <c r="C399" s="1" t="n">
        <v>1</v>
      </c>
      <c r="D399" s="2" t="s">
        <v>12</v>
      </c>
      <c r="E399" s="8" t="n">
        <v>45048</v>
      </c>
      <c r="F399" s="2" t="s">
        <v>80</v>
      </c>
      <c r="G399" s="7" t="str">
        <f aca="false">HYPERLINK("https://mncourtfraud.com/file/MCRO_27-CR-23-4900_Finding of Incompetency and Order_2023-05-02_20251126190145.pdf","MCRO_27-CR-23-4900_Finding of Incompetency and Order_2023-05-02_20251126190145.pdf")</f>
        <v>MCRO_27-CR-23-4900_Finding of Incompetency and Order_2023-05-02_20251126190145.pdf</v>
      </c>
      <c r="H399" s="2" t="s">
        <v>420</v>
      </c>
      <c r="I399" s="7" t="str">
        <f aca="false">HYPERLINK("https://mncourtfraud.com/file/MCRO_27-CR-23-4900_Finding of Incompetency and Order_2023-05-02_20251126190145.pdf.ots","MCRO_27-CR-23-4900_Finding of Incompetency and Order_2023-05-02_20251126190145.pdf.ots")</f>
        <v>MCRO_27-CR-23-4900_Finding of Incompetency and Order_2023-05-02_20251126190145.pdf.ots</v>
      </c>
      <c r="J399" s="7" t="str">
        <f aca="false">HYPERLINK("https://mncourtfraud.com/file/MCRO_27-CR-23-4900_Finding of Incompetency and Order_2023-05-02_20251126190145_META.txt","MCRO_27-CR-23-4900_Finding of Incompetency and Order_2023-05-02_20251126190145_META.txt")</f>
        <v>MCRO_27-CR-23-4900_Finding of Incompetency and Order_2023-05-02_20251126190145_META.txt</v>
      </c>
      <c r="K399" s="7" t="str">
        <f aca="false">HYPERLINK("https://mncourtfraud.com/file/MCRO_27-CR-23-4900_Finding of Incompetency and Order_2023-05-02_20251126190145_PDFSIGS.txt","MCRO_27-CR-23-4900_Finding of Incompetency and Order_2023-05-02_20251126190145_PDFSIGS.txt")</f>
        <v>MCRO_27-CR-23-4900_Finding of Incompetency and Order_2023-05-02_20251126190145_PDFSIGS.txt</v>
      </c>
      <c r="L399" s="7" t="str">
        <f aca="false">HYPERLINK("https://mncourtfraud.com/file/MCRO_27-CR-23-4900_Finding_of_Incompetency_and_Order_2023-05-02_20251126190145.zip","MCRO_27-CR-23-4900_Finding_of_Incompetency_and_Order_2023-05-02_20251126190145.zip")</f>
        <v>MCRO_27-CR-23-4900_Finding_of_Incompetency_and_Order_2023-05-02_20251126190145.zip</v>
      </c>
    </row>
    <row r="400" customFormat="false" ht="18.7" hidden="false" customHeight="true" outlineLevel="0" collapsed="false">
      <c r="A400" s="1" t="n">
        <v>399</v>
      </c>
      <c r="B400" s="7" t="str">
        <f aca="false">HYPERLINK("https://mncourtfraud.com/file/27-CR-23-4900.pdf","27-CR-23-4900")</f>
        <v>27-CR-23-4900</v>
      </c>
      <c r="C400" s="1" t="n">
        <v>1</v>
      </c>
      <c r="D400" s="2" t="s">
        <v>12</v>
      </c>
      <c r="E400" s="8" t="n">
        <v>45093</v>
      </c>
      <c r="F400" s="2" t="s">
        <v>82</v>
      </c>
      <c r="G400" s="7" t="str">
        <f aca="false">HYPERLINK("https://mncourtfraud.com/file/MCRO_27-CR-23-4900_Notice of Case Reassignment_2023-06-16_20251126190156.pdf","MCRO_27-CR-23-4900_Notice of Case Reassignment_2023-06-16_20251126190156.pdf")</f>
        <v>MCRO_27-CR-23-4900_Notice of Case Reassignment_2023-06-16_20251126190156.pdf</v>
      </c>
      <c r="H400" s="2" t="s">
        <v>421</v>
      </c>
      <c r="I400" s="7" t="str">
        <f aca="false">HYPERLINK("https://mncourtfraud.com/file/MCRO_27-CR-23-4900_Notice of Case Reassignment_2023-06-16_20251126190156.pdf.ots","MCRO_27-CR-23-4900_Notice of Case Reassignment_2023-06-16_20251126190156.pdf.ots")</f>
        <v>MCRO_27-CR-23-4900_Notice of Case Reassignment_2023-06-16_20251126190156.pdf.ots</v>
      </c>
      <c r="J400" s="7" t="str">
        <f aca="false">HYPERLINK("https://mncourtfraud.com/file/MCRO_27-CR-23-4900_Notice of Case Reassignment_2023-06-16_20251126190156_META.txt","MCRO_27-CR-23-4900_Notice of Case Reassignment_2023-06-16_20251126190156_META.txt")</f>
        <v>MCRO_27-CR-23-4900_Notice of Case Reassignment_2023-06-16_20251126190156_META.txt</v>
      </c>
      <c r="K400" s="7" t="str">
        <f aca="false">HYPERLINK("https://mncourtfraud.com/file/MCRO_27-CR-23-4900_Notice of Case Reassignment_2023-06-16_20251126190156_PDFSIGS.txt","MCRO_27-CR-23-4900_Notice of Case Reassignment_2023-06-16_20251126190156_PDFSIGS.txt")</f>
        <v>MCRO_27-CR-23-4900_Notice of Case Reassignment_2023-06-16_20251126190156_PDFSIGS.txt</v>
      </c>
      <c r="L400" s="7" t="str">
        <f aca="false">HYPERLINK("https://mncourtfraud.com/file/MCRO_27-CR-23-4900_Notice_of_Case_Reassignment_2023-06-16_20251126190156.zip","MCRO_27-CR-23-4900_Notice_of_Case_Reassignment_2023-06-16_20251126190156.zip")</f>
        <v>MCRO_27-CR-23-4900_Notice_of_Case_Reassignment_2023-06-16_20251126190156.zip</v>
      </c>
    </row>
    <row r="401" customFormat="false" ht="18.7" hidden="false" customHeight="true" outlineLevel="0" collapsed="false">
      <c r="A401" s="1" t="n">
        <v>400</v>
      </c>
      <c r="B401" s="7" t="str">
        <f aca="false">HYPERLINK("https://mncourtfraud.com/file/27-CR-23-4900.pdf","27-CR-23-4900")</f>
        <v>27-CR-23-4900</v>
      </c>
      <c r="C401" s="1" t="n">
        <v>1</v>
      </c>
      <c r="D401" s="2" t="s">
        <v>12</v>
      </c>
      <c r="E401" s="8" t="n">
        <v>45160</v>
      </c>
      <c r="F401" s="2" t="s">
        <v>15</v>
      </c>
      <c r="G401" s="7" t="str">
        <f aca="false">HYPERLINK("https://mncourtfraud.com/file/MCRO_27-CR-23-4900_Order-Evaluation for Competency to Proceed (Rule 20.01)_2023-08-22_20251126190217.pdf","MCRO_27-CR-23-4900_Order-Evaluation for Competency to Proceed (Rule 20.01)_2023-08-22_20251126190217.pdf")</f>
        <v>MCRO_27-CR-23-4900_Order-Evaluation for Competency to Proceed (Rule 20.01)_2023-08-22_20251126190217.pdf</v>
      </c>
      <c r="H401" s="2" t="s">
        <v>422</v>
      </c>
      <c r="I401" s="7" t="str">
        <f aca="false">HYPERLINK("https://mncourtfraud.com/file/MCRO_27-CR-23-4900_Order-Evaluation for Competency to Proceed (Rule 20.01)_2023-08-22_20251126190217.pdf.ots","MCRO_27-CR-23-4900_Order-Evaluation for Competency to Proceed (Rule 20.01)_2023-08-22_20251126190217.pdf.ots")</f>
        <v>MCRO_27-CR-23-4900_Order-Evaluation for Competency to Proceed (Rule 20.01)_2023-08-22_20251126190217.pdf.ots</v>
      </c>
      <c r="J401" s="7" t="str">
        <f aca="false">HYPERLINK("https://mncourtfraud.com/file/MCRO_27-CR-23-4900_Order-Evaluation for Competency to Proceed (Rule 20.01)_2023-08-22_20251126190217_META.txt","MCRO_27-CR-23-4900_Order-Evaluation for Competency to Proceed (Rule 20.01)_2023-08-22_20251126190217_META.txt")</f>
        <v>MCRO_27-CR-23-4900_Order-Evaluation for Competency to Proceed (Rule 20.01)_2023-08-22_20251126190217_META.txt</v>
      </c>
      <c r="K401" s="7" t="str">
        <f aca="false">HYPERLINK("https://mncourtfraud.com/file/MCRO_27-CR-23-4900_Order-Evaluation for Competency to Proceed (Rule 20.01)_2023-08-22_20251126190217_PDFSIGS.txt","MCRO_27-CR-23-4900_Order-Evaluation for Competency to Proceed (Rule 20.01)_2023-08-22_20251126190217_PDFSIGS.txt")</f>
        <v>MCRO_27-CR-23-4900_Order-Evaluation for Competency to Proceed (Rule 20.01)_2023-08-22_20251126190217_PDFSIGS.txt</v>
      </c>
      <c r="L401" s="7" t="str">
        <f aca="false">HYPERLINK("https://mncourtfraud.com/file/MCRO_27-CR-23-4900_Order-Evaluation_for_Competency_to_Proceed_(Rule_20.01)_2023-08-22_20251126190217.zip","MCRO_27-CR-23-4900_Order-Evaluation_for_Competency_to_Proceed_(Rule_20.01)_2023-08-22_20251126190217.zip")</f>
        <v>MCRO_27-CR-23-4900_Order-Evaluation_for_Competency_to_Proceed_(Rule_20.01)_2023-08-22_20251126190217.zip</v>
      </c>
    </row>
    <row r="402" customFormat="false" ht="18.7" hidden="false" customHeight="true" outlineLevel="0" collapsed="false">
      <c r="A402" s="1" t="n">
        <v>401</v>
      </c>
      <c r="B402" s="7" t="str">
        <f aca="false">HYPERLINK("https://mncourtfraud.com/file/27-CR-23-4900.pdf","27-CR-23-4900")</f>
        <v>27-CR-23-4900</v>
      </c>
      <c r="C402" s="1" t="n">
        <v>1</v>
      </c>
      <c r="D402" s="2" t="s">
        <v>12</v>
      </c>
      <c r="E402" s="8" t="n">
        <v>45412</v>
      </c>
      <c r="F402" s="2" t="s">
        <v>24</v>
      </c>
      <c r="G402" s="7" t="str">
        <f aca="false">HYPERLINK("https://mncourtfraud.com/file/MCRO_27-CR-23-4900_Order for Conditional Release_2024-04-30_20251126190206.pdf","MCRO_27-CR-23-4900_Order for Conditional Release_2024-04-30_20251126190206.pdf")</f>
        <v>MCRO_27-CR-23-4900_Order for Conditional Release_2024-04-30_20251126190206.pdf</v>
      </c>
      <c r="H402" s="2" t="s">
        <v>423</v>
      </c>
      <c r="I402" s="7" t="str">
        <f aca="false">HYPERLINK("https://mncourtfraud.com/file/MCRO_27-CR-23-4900_Order for Conditional Release_2024-04-30_20251126190206.pdf.ots","MCRO_27-CR-23-4900_Order for Conditional Release_2024-04-30_20251126190206.pdf.ots")</f>
        <v>MCRO_27-CR-23-4900_Order for Conditional Release_2024-04-30_20251126190206.pdf.ots</v>
      </c>
      <c r="J402" s="7" t="str">
        <f aca="false">HYPERLINK("https://mncourtfraud.com/file/MCRO_27-CR-23-4900_Order for Conditional Release_2024-04-30_20251126190206_META.txt","MCRO_27-CR-23-4900_Order for Conditional Release_2024-04-30_20251126190206_META.txt")</f>
        <v>MCRO_27-CR-23-4900_Order for Conditional Release_2024-04-30_20251126190206_META.txt</v>
      </c>
      <c r="K402" s="7" t="str">
        <f aca="false">HYPERLINK("https://mncourtfraud.com/file/MCRO_27-CR-23-4900_Order for Conditional Release_2024-04-30_20251126190206_PDFSIGS.txt","MCRO_27-CR-23-4900_Order for Conditional Release_2024-04-30_20251126190206_PDFSIGS.txt")</f>
        <v>MCRO_27-CR-23-4900_Order for Conditional Release_2024-04-30_20251126190206_PDFSIGS.txt</v>
      </c>
      <c r="L402" s="7" t="str">
        <f aca="false">HYPERLINK("https://mncourtfraud.com/file/MCRO_27-CR-23-4900_Order_for_Conditional_Release_2024-04-30_20251126190206.zip","MCRO_27-CR-23-4900_Order_for_Conditional_Release_2024-04-30_20251126190206.zip")</f>
        <v>MCRO_27-CR-23-4900_Order_for_Conditional_Release_2024-04-30_20251126190206.zip</v>
      </c>
    </row>
    <row r="403" customFormat="false" ht="18.7" hidden="false" customHeight="true" outlineLevel="0" collapsed="false">
      <c r="A403" s="1" t="n">
        <v>402</v>
      </c>
      <c r="B403" s="7" t="str">
        <f aca="false">HYPERLINK("https://mncourtfraud.com/file/27-CR-23-4900.pdf","27-CR-23-4900")</f>
        <v>27-CR-23-4900</v>
      </c>
      <c r="C403" s="1" t="n">
        <v>1</v>
      </c>
      <c r="D403" s="2" t="s">
        <v>12</v>
      </c>
      <c r="E403" s="8" t="n">
        <v>45412</v>
      </c>
      <c r="F403" s="2" t="s">
        <v>15</v>
      </c>
      <c r="G403" s="7" t="str">
        <f aca="false">HYPERLINK("https://mncourtfraud.com/file/MCRO_27-CR-23-4900_Order-Evaluation for Competency to Proceed (Rule 20.01)_2024-04-30_20251126190224.pdf","MCRO_27-CR-23-4900_Order-Evaluation for Competency to Proceed (Rule 20.01)_2024-04-30_20251126190224.pdf")</f>
        <v>MCRO_27-CR-23-4900_Order-Evaluation for Competency to Proceed (Rule 20.01)_2024-04-30_20251126190224.pdf</v>
      </c>
      <c r="H403" s="2" t="s">
        <v>424</v>
      </c>
      <c r="I403" s="7" t="str">
        <f aca="false">HYPERLINK("https://mncourtfraud.com/file/MCRO_27-CR-23-4900_Order-Evaluation for Competency to Proceed (Rule 20.01)_2024-04-30_20251126190224.pdf.ots","MCRO_27-CR-23-4900_Order-Evaluation for Competency to Proceed (Rule 20.01)_2024-04-30_20251126190224.pdf.ots")</f>
        <v>MCRO_27-CR-23-4900_Order-Evaluation for Competency to Proceed (Rule 20.01)_2024-04-30_20251126190224.pdf.ots</v>
      </c>
      <c r="J403" s="7" t="str">
        <f aca="false">HYPERLINK("https://mncourtfraud.com/file/MCRO_27-CR-23-4900_Order-Evaluation for Competency to Proceed (Rule 20.01)_2024-04-30_20251126190224_META.txt","MCRO_27-CR-23-4900_Order-Evaluation for Competency to Proceed (Rule 20.01)_2024-04-30_20251126190224_META.txt")</f>
        <v>MCRO_27-CR-23-4900_Order-Evaluation for Competency to Proceed (Rule 20.01)_2024-04-30_20251126190224_META.txt</v>
      </c>
      <c r="K403" s="7" t="str">
        <f aca="false">HYPERLINK("https://mncourtfraud.com/file/MCRO_27-CR-23-4900_Order-Evaluation for Competency to Proceed (Rule 20.01)_2024-04-30_20251126190224_PDFSIGS.txt","MCRO_27-CR-23-4900_Order-Evaluation for Competency to Proceed (Rule 20.01)_2024-04-30_20251126190224_PDFSIGS.txt")</f>
        <v>MCRO_27-CR-23-4900_Order-Evaluation for Competency to Proceed (Rule 20.01)_2024-04-30_20251126190224_PDFSIGS.txt</v>
      </c>
      <c r="L403" s="7" t="str">
        <f aca="false">HYPERLINK("https://mncourtfraud.com/file/MCRO_27-CR-23-4900_Order-Evaluation_for_Competency_to_Proceed_(Rule_20.01)_2024-04-30_20251126190224.zip","MCRO_27-CR-23-4900_Order-Evaluation_for_Competency_to_Proceed_(Rule_20.01)_2024-04-30_20251126190224.zip")</f>
        <v>MCRO_27-CR-23-4900_Order-Evaluation_for_Competency_to_Proceed_(Rule_20.01)_2024-04-30_20251126190224.zip</v>
      </c>
    </row>
    <row r="404" customFormat="false" ht="18.7" hidden="false" customHeight="true" outlineLevel="0" collapsed="false">
      <c r="A404" s="1" t="n">
        <v>403</v>
      </c>
      <c r="B404" s="7" t="str">
        <f aca="false">HYPERLINK("https://mncourtfraud.com/file/27-CR-23-4904.pdf","27-CR-23-4904")</f>
        <v>27-CR-23-4904</v>
      </c>
      <c r="C404" s="1" t="n">
        <v>1</v>
      </c>
      <c r="D404" s="2" t="s">
        <v>12</v>
      </c>
      <c r="E404" s="8" t="n">
        <v>45048</v>
      </c>
      <c r="F404" s="2" t="s">
        <v>80</v>
      </c>
      <c r="G404" s="7" t="str">
        <f aca="false">HYPERLINK("https://mncourtfraud.com/file/MCRO_27-CR-23-4904_Finding of Incompetency and Order_2023-05-02_20251126190244.pdf","MCRO_27-CR-23-4904_Finding of Incompetency and Order_2023-05-02_20251126190244.pdf")</f>
        <v>MCRO_27-CR-23-4904_Finding of Incompetency and Order_2023-05-02_20251126190244.pdf</v>
      </c>
      <c r="H404" s="2" t="s">
        <v>425</v>
      </c>
      <c r="I404" s="7" t="str">
        <f aca="false">HYPERLINK("https://mncourtfraud.com/file/MCRO_27-CR-23-4904_Finding of Incompetency and Order_2023-05-02_20251126190244.pdf.ots","MCRO_27-CR-23-4904_Finding of Incompetency and Order_2023-05-02_20251126190244.pdf.ots")</f>
        <v>MCRO_27-CR-23-4904_Finding of Incompetency and Order_2023-05-02_20251126190244.pdf.ots</v>
      </c>
      <c r="J404" s="7" t="str">
        <f aca="false">HYPERLINK("https://mncourtfraud.com/file/MCRO_27-CR-23-4904_Finding of Incompetency and Order_2023-05-02_20251126190244_META.txt","MCRO_27-CR-23-4904_Finding of Incompetency and Order_2023-05-02_20251126190244_META.txt")</f>
        <v>MCRO_27-CR-23-4904_Finding of Incompetency and Order_2023-05-02_20251126190244_META.txt</v>
      </c>
      <c r="K404" s="7" t="str">
        <f aca="false">HYPERLINK("https://mncourtfraud.com/file/MCRO_27-CR-23-4904_Finding of Incompetency and Order_2023-05-02_20251126190244_PDFSIGS.txt","MCRO_27-CR-23-4904_Finding of Incompetency and Order_2023-05-02_20251126190244_PDFSIGS.txt")</f>
        <v>MCRO_27-CR-23-4904_Finding of Incompetency and Order_2023-05-02_20251126190244_PDFSIGS.txt</v>
      </c>
      <c r="L404" s="7" t="str">
        <f aca="false">HYPERLINK("https://mncourtfraud.com/file/MCRO_27-CR-23-4904_Finding_of_Incompetency_and_Order_2023-05-02_20251126190244.zip","MCRO_27-CR-23-4904_Finding_of_Incompetency_and_Order_2023-05-02_20251126190244.zip")</f>
        <v>MCRO_27-CR-23-4904_Finding_of_Incompetency_and_Order_2023-05-02_20251126190244.zip</v>
      </c>
    </row>
    <row r="405" customFormat="false" ht="18.7" hidden="false" customHeight="true" outlineLevel="0" collapsed="false">
      <c r="A405" s="1" t="n">
        <v>404</v>
      </c>
      <c r="B405" s="7" t="str">
        <f aca="false">HYPERLINK("https://mncourtfraud.com/file/27-CR-23-4904.pdf","27-CR-23-4904")</f>
        <v>27-CR-23-4904</v>
      </c>
      <c r="C405" s="1" t="n">
        <v>1</v>
      </c>
      <c r="D405" s="2" t="s">
        <v>12</v>
      </c>
      <c r="E405" s="8" t="n">
        <v>45093</v>
      </c>
      <c r="F405" s="2" t="s">
        <v>82</v>
      </c>
      <c r="G405" s="7" t="str">
        <f aca="false">HYPERLINK("https://mncourtfraud.com/file/MCRO_27-CR-23-4904_Notice of Case Reassignment_2023-06-16_20251126190256.pdf","MCRO_27-CR-23-4904_Notice of Case Reassignment_2023-06-16_20251126190256.pdf")</f>
        <v>MCRO_27-CR-23-4904_Notice of Case Reassignment_2023-06-16_20251126190256.pdf</v>
      </c>
      <c r="H405" s="2" t="s">
        <v>426</v>
      </c>
      <c r="I405" s="7" t="str">
        <f aca="false">HYPERLINK("https://mncourtfraud.com/file/MCRO_27-CR-23-4904_Notice of Case Reassignment_2023-06-16_20251126190256.pdf.ots","MCRO_27-CR-23-4904_Notice of Case Reassignment_2023-06-16_20251126190256.pdf.ots")</f>
        <v>MCRO_27-CR-23-4904_Notice of Case Reassignment_2023-06-16_20251126190256.pdf.ots</v>
      </c>
      <c r="J405" s="7" t="str">
        <f aca="false">HYPERLINK("https://mncourtfraud.com/file/MCRO_27-CR-23-4904_Notice of Case Reassignment_2023-06-16_20251126190256_META.txt","MCRO_27-CR-23-4904_Notice of Case Reassignment_2023-06-16_20251126190256_META.txt")</f>
        <v>MCRO_27-CR-23-4904_Notice of Case Reassignment_2023-06-16_20251126190256_META.txt</v>
      </c>
      <c r="K405" s="7" t="str">
        <f aca="false">HYPERLINK("https://mncourtfraud.com/file/MCRO_27-CR-23-4904_Notice of Case Reassignment_2023-06-16_20251126190256_PDFSIGS.txt","MCRO_27-CR-23-4904_Notice of Case Reassignment_2023-06-16_20251126190256_PDFSIGS.txt")</f>
        <v>MCRO_27-CR-23-4904_Notice of Case Reassignment_2023-06-16_20251126190256_PDFSIGS.txt</v>
      </c>
      <c r="L405" s="7" t="str">
        <f aca="false">HYPERLINK("https://mncourtfraud.com/file/MCRO_27-CR-23-4904_Notice_of_Case_Reassignment_2023-06-16_20251126190256.zip","MCRO_27-CR-23-4904_Notice_of_Case_Reassignment_2023-06-16_20251126190256.zip")</f>
        <v>MCRO_27-CR-23-4904_Notice_of_Case_Reassignment_2023-06-16_20251126190256.zip</v>
      </c>
    </row>
    <row r="406" customFormat="false" ht="18.7" hidden="false" customHeight="true" outlineLevel="0" collapsed="false">
      <c r="A406" s="1" t="n">
        <v>405</v>
      </c>
      <c r="B406" s="7" t="str">
        <f aca="false">HYPERLINK("https://mncourtfraud.com/file/27-CR-23-4904.pdf","27-CR-23-4904")</f>
        <v>27-CR-23-4904</v>
      </c>
      <c r="C406" s="1" t="n">
        <v>1</v>
      </c>
      <c r="D406" s="2" t="s">
        <v>12</v>
      </c>
      <c r="E406" s="8" t="n">
        <v>45160</v>
      </c>
      <c r="F406" s="2" t="s">
        <v>15</v>
      </c>
      <c r="G406" s="7" t="str">
        <f aca="false">HYPERLINK("https://mncourtfraud.com/file/MCRO_27-CR-23-4904_Order-Evaluation for Competency to Proceed (Rule 20.01)_2023-08-22_20251126190323.pdf","MCRO_27-CR-23-4904_Order-Evaluation for Competency to Proceed (Rule 20.01)_2023-08-22_20251126190323.pdf")</f>
        <v>MCRO_27-CR-23-4904_Order-Evaluation for Competency to Proceed (Rule 20.01)_2023-08-22_20251126190323.pdf</v>
      </c>
      <c r="H406" s="2" t="s">
        <v>427</v>
      </c>
      <c r="I406" s="7" t="str">
        <f aca="false">HYPERLINK("https://mncourtfraud.com/file/MCRO_27-CR-23-4904_Order-Evaluation for Competency to Proceed (Rule 20.01)_2023-08-22_20251126190323.pdf.ots","MCRO_27-CR-23-4904_Order-Evaluation for Competency to Proceed (Rule 20.01)_2023-08-22_20251126190323.pdf.ots")</f>
        <v>MCRO_27-CR-23-4904_Order-Evaluation for Competency to Proceed (Rule 20.01)_2023-08-22_20251126190323.pdf.ots</v>
      </c>
      <c r="J406" s="7" t="str">
        <f aca="false">HYPERLINK("https://mncourtfraud.com/file/MCRO_27-CR-23-4904_Order-Evaluation for Competency to Proceed (Rule 20.01)_2023-08-22_20251126190323_META.txt","MCRO_27-CR-23-4904_Order-Evaluation for Competency to Proceed (Rule 20.01)_2023-08-22_20251126190323_META.txt")</f>
        <v>MCRO_27-CR-23-4904_Order-Evaluation for Competency to Proceed (Rule 20.01)_2023-08-22_20251126190323_META.txt</v>
      </c>
      <c r="K406" s="7" t="str">
        <f aca="false">HYPERLINK("https://mncourtfraud.com/file/MCRO_27-CR-23-4904_Order-Evaluation for Competency to Proceed (Rule 20.01)_2023-08-22_20251126190323_PDFSIGS.txt","MCRO_27-CR-23-4904_Order-Evaluation for Competency to Proceed (Rule 20.01)_2023-08-22_20251126190323_PDFSIGS.txt")</f>
        <v>MCRO_27-CR-23-4904_Order-Evaluation for Competency to Proceed (Rule 20.01)_2023-08-22_20251126190323_PDFSIGS.txt</v>
      </c>
      <c r="L406" s="7" t="str">
        <f aca="false">HYPERLINK("https://mncourtfraud.com/file/MCRO_27-CR-23-4904_Order-Evaluation_for_Competency_to_Proceed_(Rule_20.01)_2023-08-22_20251126190323.zip","MCRO_27-CR-23-4904_Order-Evaluation_for_Competency_to_Proceed_(Rule_20.01)_2023-08-22_20251126190323.zip")</f>
        <v>MCRO_27-CR-23-4904_Order-Evaluation_for_Competency_to_Proceed_(Rule_20.01)_2023-08-22_20251126190323.zip</v>
      </c>
    </row>
    <row r="407" customFormat="false" ht="18.7" hidden="false" customHeight="true" outlineLevel="0" collapsed="false">
      <c r="A407" s="1" t="n">
        <v>406</v>
      </c>
      <c r="B407" s="7" t="str">
        <f aca="false">HYPERLINK("https://mncourtfraud.com/file/27-CR-23-4904.pdf","27-CR-23-4904")</f>
        <v>27-CR-23-4904</v>
      </c>
      <c r="C407" s="1" t="n">
        <v>1</v>
      </c>
      <c r="D407" s="2" t="s">
        <v>12</v>
      </c>
      <c r="E407" s="8" t="n">
        <v>45412</v>
      </c>
      <c r="F407" s="2" t="s">
        <v>24</v>
      </c>
      <c r="G407" s="7" t="str">
        <f aca="false">HYPERLINK("https://mncourtfraud.com/file/MCRO_27-CR-23-4904_Order for Conditional Release_2024-04-30_20251126190306.pdf","MCRO_27-CR-23-4904_Order for Conditional Release_2024-04-30_20251126190306.pdf")</f>
        <v>MCRO_27-CR-23-4904_Order for Conditional Release_2024-04-30_20251126190306.pdf</v>
      </c>
      <c r="H407" s="2" t="s">
        <v>428</v>
      </c>
      <c r="I407" s="7" t="str">
        <f aca="false">HYPERLINK("https://mncourtfraud.com/file/MCRO_27-CR-23-4904_Order for Conditional Release_2024-04-30_20251126190306.pdf.ots","MCRO_27-CR-23-4904_Order for Conditional Release_2024-04-30_20251126190306.pdf.ots")</f>
        <v>MCRO_27-CR-23-4904_Order for Conditional Release_2024-04-30_20251126190306.pdf.ots</v>
      </c>
      <c r="J407" s="7" t="str">
        <f aca="false">HYPERLINK("https://mncourtfraud.com/file/MCRO_27-CR-23-4904_Order for Conditional Release_2024-04-30_20251126190306_META.txt","MCRO_27-CR-23-4904_Order for Conditional Release_2024-04-30_20251126190306_META.txt")</f>
        <v>MCRO_27-CR-23-4904_Order for Conditional Release_2024-04-30_20251126190306_META.txt</v>
      </c>
      <c r="K407" s="7" t="str">
        <f aca="false">HYPERLINK("https://mncourtfraud.com/file/MCRO_27-CR-23-4904_Order for Conditional Release_2024-04-30_20251126190306_PDFSIGS.txt","MCRO_27-CR-23-4904_Order for Conditional Release_2024-04-30_20251126190306_PDFSIGS.txt")</f>
        <v>MCRO_27-CR-23-4904_Order for Conditional Release_2024-04-30_20251126190306_PDFSIGS.txt</v>
      </c>
      <c r="L407" s="7" t="str">
        <f aca="false">HYPERLINK("https://mncourtfraud.com/file/MCRO_27-CR-23-4904_Order_for_Conditional_Release_2024-04-30_20251126190306.zip","MCRO_27-CR-23-4904_Order_for_Conditional_Release_2024-04-30_20251126190306.zip")</f>
        <v>MCRO_27-CR-23-4904_Order_for_Conditional_Release_2024-04-30_20251126190306.zip</v>
      </c>
    </row>
    <row r="408" customFormat="false" ht="18.7" hidden="false" customHeight="true" outlineLevel="0" collapsed="false">
      <c r="A408" s="1" t="n">
        <v>407</v>
      </c>
      <c r="B408" s="7" t="str">
        <f aca="false">HYPERLINK("https://mncourtfraud.com/file/27-CR-23-4904.pdf","27-CR-23-4904")</f>
        <v>27-CR-23-4904</v>
      </c>
      <c r="C408" s="1" t="n">
        <v>1</v>
      </c>
      <c r="D408" s="2" t="s">
        <v>12</v>
      </c>
      <c r="E408" s="8" t="n">
        <v>45412</v>
      </c>
      <c r="F408" s="2" t="s">
        <v>15</v>
      </c>
      <c r="G408" s="7" t="str">
        <f aca="false">HYPERLINK("https://mncourtfraud.com/file/MCRO_27-CR-23-4904_Order-Evaluation for Competency to Proceed (Rule 20.01)_2024-04-30_20251126190319.pdf","MCRO_27-CR-23-4904_Order-Evaluation for Competency to Proceed (Rule 20.01)_2024-04-30_20251126190319.pdf")</f>
        <v>MCRO_27-CR-23-4904_Order-Evaluation for Competency to Proceed (Rule 20.01)_2024-04-30_20251126190319.pdf</v>
      </c>
      <c r="H408" s="2" t="s">
        <v>429</v>
      </c>
      <c r="I408" s="7" t="str">
        <f aca="false">HYPERLINK("https://mncourtfraud.com/file/MCRO_27-CR-23-4904_Order-Evaluation for Competency to Proceed (Rule 20.01)_2024-04-30_20251126190319.pdf.ots","MCRO_27-CR-23-4904_Order-Evaluation for Competency to Proceed (Rule 20.01)_2024-04-30_20251126190319.pdf.ots")</f>
        <v>MCRO_27-CR-23-4904_Order-Evaluation for Competency to Proceed (Rule 20.01)_2024-04-30_20251126190319.pdf.ots</v>
      </c>
      <c r="J408" s="7" t="str">
        <f aca="false">HYPERLINK("https://mncourtfraud.com/file/MCRO_27-CR-23-4904_Order-Evaluation for Competency to Proceed (Rule 20.01)_2024-04-30_20251126190319_META.txt","MCRO_27-CR-23-4904_Order-Evaluation for Competency to Proceed (Rule 20.01)_2024-04-30_20251126190319_META.txt")</f>
        <v>MCRO_27-CR-23-4904_Order-Evaluation for Competency to Proceed (Rule 20.01)_2024-04-30_20251126190319_META.txt</v>
      </c>
      <c r="K408" s="7" t="str">
        <f aca="false">HYPERLINK("https://mncourtfraud.com/file/MCRO_27-CR-23-4904_Order-Evaluation for Competency to Proceed (Rule 20.01)_2024-04-30_20251126190319_PDFSIGS.txt","MCRO_27-CR-23-4904_Order-Evaluation for Competency to Proceed (Rule 20.01)_2024-04-30_20251126190319_PDFSIGS.txt")</f>
        <v>MCRO_27-CR-23-4904_Order-Evaluation for Competency to Proceed (Rule 20.01)_2024-04-30_20251126190319_PDFSIGS.txt</v>
      </c>
      <c r="L408" s="7" t="str">
        <f aca="false">HYPERLINK("https://mncourtfraud.com/file/MCRO_27-CR-23-4904_Order-Evaluation_for_Competency_to_Proceed_(Rule_20.01)_2024-04-30_20251126190319.zip","MCRO_27-CR-23-4904_Order-Evaluation_for_Competency_to_Proceed_(Rule_20.01)_2024-04-30_20251126190319.zip")</f>
        <v>MCRO_27-CR-23-4904_Order-Evaluation_for_Competency_to_Proceed_(Rule_20.01)_2024-04-30_20251126190319.zip</v>
      </c>
    </row>
    <row r="409" customFormat="false" ht="18.7" hidden="false" customHeight="true" outlineLevel="0" collapsed="false">
      <c r="A409" s="1" t="n">
        <v>408</v>
      </c>
      <c r="B409" s="7" t="str">
        <f aca="false">HYPERLINK("https://mncourtfraud.com/file/27-CR-23-7087.pdf","27-CR-23-7087")</f>
        <v>27-CR-23-7087</v>
      </c>
      <c r="C409" s="1" t="n">
        <v>1</v>
      </c>
      <c r="D409" s="2" t="s">
        <v>12</v>
      </c>
      <c r="E409" s="8" t="n">
        <v>45048</v>
      </c>
      <c r="F409" s="2" t="s">
        <v>80</v>
      </c>
      <c r="G409" s="7" t="str">
        <f aca="false">HYPERLINK("https://mncourtfraud.com/file/MCRO_27-CR-23-7087_Finding of Incompetency and Order_2023-05-02_20251126190352.pdf","MCRO_27-CR-23-7087_Finding of Incompetency and Order_2023-05-02_20251126190352.pdf")</f>
        <v>MCRO_27-CR-23-7087_Finding of Incompetency and Order_2023-05-02_20251126190352.pdf</v>
      </c>
      <c r="H409" s="2" t="s">
        <v>430</v>
      </c>
      <c r="I409" s="7" t="str">
        <f aca="false">HYPERLINK("https://mncourtfraud.com/file/MCRO_27-CR-23-7087_Finding of Incompetency and Order_2023-05-02_20251126190352.pdf.ots","MCRO_27-CR-23-7087_Finding of Incompetency and Order_2023-05-02_20251126190352.pdf.ots")</f>
        <v>MCRO_27-CR-23-7087_Finding of Incompetency and Order_2023-05-02_20251126190352.pdf.ots</v>
      </c>
      <c r="J409" s="7" t="str">
        <f aca="false">HYPERLINK("https://mncourtfraud.com/file/MCRO_27-CR-23-7087_Finding of Incompetency and Order_2023-05-02_20251126190352_META.txt","MCRO_27-CR-23-7087_Finding of Incompetency and Order_2023-05-02_20251126190352_META.txt")</f>
        <v>MCRO_27-CR-23-7087_Finding of Incompetency and Order_2023-05-02_20251126190352_META.txt</v>
      </c>
      <c r="K409" s="7" t="str">
        <f aca="false">HYPERLINK("https://mncourtfraud.com/file/MCRO_27-CR-23-7087_Finding of Incompetency and Order_2023-05-02_20251126190352_PDFSIGS.txt","MCRO_27-CR-23-7087_Finding of Incompetency and Order_2023-05-02_20251126190352_PDFSIGS.txt")</f>
        <v>MCRO_27-CR-23-7087_Finding of Incompetency and Order_2023-05-02_20251126190352_PDFSIGS.txt</v>
      </c>
      <c r="L409" s="7" t="str">
        <f aca="false">HYPERLINK("https://mncourtfraud.com/file/MCRO_27-CR-23-7087_Finding_of_Incompetency_and_Order_2023-05-02_20251126190352.zip","MCRO_27-CR-23-7087_Finding_of_Incompetency_and_Order_2023-05-02_20251126190352.zip")</f>
        <v>MCRO_27-CR-23-7087_Finding_of_Incompetency_and_Order_2023-05-02_20251126190352.zip</v>
      </c>
    </row>
    <row r="410" customFormat="false" ht="18.7" hidden="false" customHeight="true" outlineLevel="0" collapsed="false">
      <c r="A410" s="1" t="n">
        <v>409</v>
      </c>
      <c r="B410" s="7" t="str">
        <f aca="false">HYPERLINK("https://mncourtfraud.com/file/27-CR-23-7087.pdf","27-CR-23-7087")</f>
        <v>27-CR-23-7087</v>
      </c>
      <c r="C410" s="1" t="n">
        <v>1</v>
      </c>
      <c r="D410" s="2" t="s">
        <v>12</v>
      </c>
      <c r="E410" s="8" t="n">
        <v>45160</v>
      </c>
      <c r="F410" s="2" t="s">
        <v>15</v>
      </c>
      <c r="G410" s="7" t="str">
        <f aca="false">HYPERLINK("https://mncourtfraud.com/file/MCRO_27-CR-23-7087_Order-Evaluation for Competency to Proceed (Rule 20.01)_2023-08-22_20251126190421.pdf","MCRO_27-CR-23-7087_Order-Evaluation for Competency to Proceed (Rule 20.01)_2023-08-22_20251126190421.pdf")</f>
        <v>MCRO_27-CR-23-7087_Order-Evaluation for Competency to Proceed (Rule 20.01)_2023-08-22_20251126190421.pdf</v>
      </c>
      <c r="H410" s="2" t="s">
        <v>431</v>
      </c>
      <c r="I410" s="7" t="str">
        <f aca="false">HYPERLINK("https://mncourtfraud.com/file/MCRO_27-CR-23-7087_Order-Evaluation for Competency to Proceed (Rule 20.01)_2023-08-22_20251126190421.pdf.ots","MCRO_27-CR-23-7087_Order-Evaluation for Competency to Proceed (Rule 20.01)_2023-08-22_20251126190421.pdf.ots")</f>
        <v>MCRO_27-CR-23-7087_Order-Evaluation for Competency to Proceed (Rule 20.01)_2023-08-22_20251126190421.pdf.ots</v>
      </c>
      <c r="J410" s="7" t="str">
        <f aca="false">HYPERLINK("https://mncourtfraud.com/file/MCRO_27-CR-23-7087_Order-Evaluation for Competency to Proceed (Rule 20.01)_2023-08-22_20251126190421_META.txt","MCRO_27-CR-23-7087_Order-Evaluation for Competency to Proceed (Rule 20.01)_2023-08-22_20251126190421_META.txt")</f>
        <v>MCRO_27-CR-23-7087_Order-Evaluation for Competency to Proceed (Rule 20.01)_2023-08-22_20251126190421_META.txt</v>
      </c>
      <c r="K410" s="7" t="str">
        <f aca="false">HYPERLINK("https://mncourtfraud.com/file/MCRO_27-CR-23-7087_Order-Evaluation for Competency to Proceed (Rule 20.01)_2023-08-22_20251126190421_PDFSIGS.txt","MCRO_27-CR-23-7087_Order-Evaluation for Competency to Proceed (Rule 20.01)_2023-08-22_20251126190421_PDFSIGS.txt")</f>
        <v>MCRO_27-CR-23-7087_Order-Evaluation for Competency to Proceed (Rule 20.01)_2023-08-22_20251126190421_PDFSIGS.txt</v>
      </c>
      <c r="L410" s="7" t="str">
        <f aca="false">HYPERLINK("https://mncourtfraud.com/file/MCRO_27-CR-23-7087_Order-Evaluation_for_Competency_to_Proceed_(Rule_20.01)_2023-08-22_20251126190421.zip","MCRO_27-CR-23-7087_Order-Evaluation_for_Competency_to_Proceed_(Rule_20.01)_2023-08-22_20251126190421.zip")</f>
        <v>MCRO_27-CR-23-7087_Order-Evaluation_for_Competency_to_Proceed_(Rule_20.01)_2023-08-22_20251126190421.zip</v>
      </c>
    </row>
    <row r="411" customFormat="false" ht="18.7" hidden="false" customHeight="true" outlineLevel="0" collapsed="false">
      <c r="A411" s="1" t="n">
        <v>410</v>
      </c>
      <c r="B411" s="7" t="str">
        <f aca="false">HYPERLINK("https://mncourtfraud.com/file/27-CR-23-7087.pdf","27-CR-23-7087")</f>
        <v>27-CR-23-7087</v>
      </c>
      <c r="C411" s="1" t="n">
        <v>1</v>
      </c>
      <c r="D411" s="2" t="s">
        <v>12</v>
      </c>
      <c r="E411" s="8" t="n">
        <v>45412</v>
      </c>
      <c r="F411" s="2" t="s">
        <v>24</v>
      </c>
      <c r="G411" s="7" t="str">
        <f aca="false">HYPERLINK("https://mncourtfraud.com/file/MCRO_27-CR-23-7087_Order for Conditional Release_2024-04-30_20251126190403.pdf","MCRO_27-CR-23-7087_Order for Conditional Release_2024-04-30_20251126190403.pdf")</f>
        <v>MCRO_27-CR-23-7087_Order for Conditional Release_2024-04-30_20251126190403.pdf</v>
      </c>
      <c r="H411" s="2" t="s">
        <v>432</v>
      </c>
      <c r="I411" s="7" t="str">
        <f aca="false">HYPERLINK("https://mncourtfraud.com/file/MCRO_27-CR-23-7087_Order for Conditional Release_2024-04-30_20251126190403.pdf.ots","MCRO_27-CR-23-7087_Order for Conditional Release_2024-04-30_20251126190403.pdf.ots")</f>
        <v>MCRO_27-CR-23-7087_Order for Conditional Release_2024-04-30_20251126190403.pdf.ots</v>
      </c>
      <c r="J411" s="7" t="str">
        <f aca="false">HYPERLINK("https://mncourtfraud.com/file/MCRO_27-CR-23-7087_Order for Conditional Release_2024-04-30_20251126190403_META.txt","MCRO_27-CR-23-7087_Order for Conditional Release_2024-04-30_20251126190403_META.txt")</f>
        <v>MCRO_27-CR-23-7087_Order for Conditional Release_2024-04-30_20251126190403_META.txt</v>
      </c>
      <c r="K411" s="7" t="str">
        <f aca="false">HYPERLINK("https://mncourtfraud.com/file/MCRO_27-CR-23-7087_Order for Conditional Release_2024-04-30_20251126190403_PDFSIGS.txt","MCRO_27-CR-23-7087_Order for Conditional Release_2024-04-30_20251126190403_PDFSIGS.txt")</f>
        <v>MCRO_27-CR-23-7087_Order for Conditional Release_2024-04-30_20251126190403_PDFSIGS.txt</v>
      </c>
      <c r="L411" s="7" t="str">
        <f aca="false">HYPERLINK("https://mncourtfraud.com/file/MCRO_27-CR-23-7087_Order_for_Conditional_Release_2024-04-30_20251126190403.zip","MCRO_27-CR-23-7087_Order_for_Conditional_Release_2024-04-30_20251126190403.zip")</f>
        <v>MCRO_27-CR-23-7087_Order_for_Conditional_Release_2024-04-30_20251126190403.zip</v>
      </c>
    </row>
    <row r="412" customFormat="false" ht="18.7" hidden="false" customHeight="true" outlineLevel="0" collapsed="false">
      <c r="A412" s="1" t="n">
        <v>411</v>
      </c>
      <c r="B412" s="7" t="str">
        <f aca="false">HYPERLINK("https://mncourtfraud.com/file/27-CR-23-7087.pdf","27-CR-23-7087")</f>
        <v>27-CR-23-7087</v>
      </c>
      <c r="C412" s="1" t="n">
        <v>1</v>
      </c>
      <c r="D412" s="2" t="s">
        <v>12</v>
      </c>
      <c r="E412" s="8" t="n">
        <v>45412</v>
      </c>
      <c r="F412" s="2" t="s">
        <v>15</v>
      </c>
      <c r="G412" s="7" t="str">
        <f aca="false">HYPERLINK("https://mncourtfraud.com/file/MCRO_27-CR-23-7087_Order-Evaluation for Competency to Proceed (Rule 20.01)_2024-04-30_20251126190428.pdf","MCRO_27-CR-23-7087_Order-Evaluation for Competency to Proceed (Rule 20.01)_2024-04-30_20251126190428.pdf")</f>
        <v>MCRO_27-CR-23-7087_Order-Evaluation for Competency to Proceed (Rule 20.01)_2024-04-30_20251126190428.pdf</v>
      </c>
      <c r="H412" s="2" t="s">
        <v>433</v>
      </c>
      <c r="I412" s="7" t="str">
        <f aca="false">HYPERLINK("https://mncourtfraud.com/file/MCRO_27-CR-23-7087_Order-Evaluation for Competency to Proceed (Rule 20.01)_2024-04-30_20251126190428.pdf.ots","MCRO_27-CR-23-7087_Order-Evaluation for Competency to Proceed (Rule 20.01)_2024-04-30_20251126190428.pdf.ots")</f>
        <v>MCRO_27-CR-23-7087_Order-Evaluation for Competency to Proceed (Rule 20.01)_2024-04-30_20251126190428.pdf.ots</v>
      </c>
      <c r="J412" s="7" t="str">
        <f aca="false">HYPERLINK("https://mncourtfraud.com/file/MCRO_27-CR-23-7087_Order-Evaluation for Competency to Proceed (Rule 20.01)_2024-04-30_20251126190428_META.txt","MCRO_27-CR-23-7087_Order-Evaluation for Competency to Proceed (Rule 20.01)_2024-04-30_20251126190428_META.txt")</f>
        <v>MCRO_27-CR-23-7087_Order-Evaluation for Competency to Proceed (Rule 20.01)_2024-04-30_20251126190428_META.txt</v>
      </c>
      <c r="K412" s="7" t="str">
        <f aca="false">HYPERLINK("https://mncourtfraud.com/file/MCRO_27-CR-23-7087_Order-Evaluation for Competency to Proceed (Rule 20.01)_2024-04-30_20251126190428_PDFSIGS.txt","MCRO_27-CR-23-7087_Order-Evaluation for Competency to Proceed (Rule 20.01)_2024-04-30_20251126190428_PDFSIGS.txt")</f>
        <v>MCRO_27-CR-23-7087_Order-Evaluation for Competency to Proceed (Rule 20.01)_2024-04-30_20251126190428_PDFSIGS.txt</v>
      </c>
      <c r="L412" s="7" t="str">
        <f aca="false">HYPERLINK("https://mncourtfraud.com/file/MCRO_27-CR-23-7087_Order-Evaluation_for_Competency_to_Proceed_(Rule_20.01)_2024-04-30_20251126190428.zip","MCRO_27-CR-23-7087_Order-Evaluation_for_Competency_to_Proceed_(Rule_20.01)_2024-04-30_20251126190428.zip")</f>
        <v>MCRO_27-CR-23-7087_Order-Evaluation_for_Competency_to_Proceed_(Rule_20.01)_2024-04-30_20251126190428.zip</v>
      </c>
    </row>
    <row r="413" customFormat="false" ht="18.7" hidden="false" customHeight="true" outlineLevel="0" collapsed="false">
      <c r="A413" s="1" t="n">
        <v>412</v>
      </c>
      <c r="B413" s="7" t="str">
        <f aca="false">HYPERLINK("https://mncourtfraud.com/file/27-CR-23-7088.pdf","27-CR-23-7088")</f>
        <v>27-CR-23-7088</v>
      </c>
      <c r="C413" s="1" t="n">
        <v>1</v>
      </c>
      <c r="D413" s="2" t="s">
        <v>12</v>
      </c>
      <c r="E413" s="8" t="n">
        <v>45048</v>
      </c>
      <c r="F413" s="2" t="s">
        <v>80</v>
      </c>
      <c r="G413" s="7" t="str">
        <f aca="false">HYPERLINK("https://mncourtfraud.com/file/MCRO_27-CR-23-7088_Finding of Incompetency and Order_2023-05-02_20251126190457.pdf","MCRO_27-CR-23-7088_Finding of Incompetency and Order_2023-05-02_20251126190457.pdf")</f>
        <v>MCRO_27-CR-23-7088_Finding of Incompetency and Order_2023-05-02_20251126190457.pdf</v>
      </c>
      <c r="H413" s="2" t="s">
        <v>434</v>
      </c>
      <c r="I413" s="7" t="str">
        <f aca="false">HYPERLINK("https://mncourtfraud.com/file/MCRO_27-CR-23-7088_Finding of Incompetency and Order_2023-05-02_20251126190457.pdf.ots","MCRO_27-CR-23-7088_Finding of Incompetency and Order_2023-05-02_20251126190457.pdf.ots")</f>
        <v>MCRO_27-CR-23-7088_Finding of Incompetency and Order_2023-05-02_20251126190457.pdf.ots</v>
      </c>
      <c r="J413" s="7" t="str">
        <f aca="false">HYPERLINK("https://mncourtfraud.com/file/MCRO_27-CR-23-7088_Finding of Incompetency and Order_2023-05-02_20251126190457_META.txt","MCRO_27-CR-23-7088_Finding of Incompetency and Order_2023-05-02_20251126190457_META.txt")</f>
        <v>MCRO_27-CR-23-7088_Finding of Incompetency and Order_2023-05-02_20251126190457_META.txt</v>
      </c>
      <c r="K413" s="7" t="str">
        <f aca="false">HYPERLINK("https://mncourtfraud.com/file/MCRO_27-CR-23-7088_Finding of Incompetency and Order_2023-05-02_20251126190457_PDFSIGS.txt","MCRO_27-CR-23-7088_Finding of Incompetency and Order_2023-05-02_20251126190457_PDFSIGS.txt")</f>
        <v>MCRO_27-CR-23-7088_Finding of Incompetency and Order_2023-05-02_20251126190457_PDFSIGS.txt</v>
      </c>
      <c r="L413" s="7" t="str">
        <f aca="false">HYPERLINK("https://mncourtfraud.com/file/MCRO_27-CR-23-7088_Finding_of_Incompetency_and_Order_2023-05-02_20251126190457.zip","MCRO_27-CR-23-7088_Finding_of_Incompetency_and_Order_2023-05-02_20251126190457.zip")</f>
        <v>MCRO_27-CR-23-7088_Finding_of_Incompetency_and_Order_2023-05-02_20251126190457.zip</v>
      </c>
    </row>
    <row r="414" customFormat="false" ht="18.7" hidden="false" customHeight="true" outlineLevel="0" collapsed="false">
      <c r="A414" s="1" t="n">
        <v>413</v>
      </c>
      <c r="B414" s="7" t="str">
        <f aca="false">HYPERLINK("https://mncourtfraud.com/file/27-CR-23-7088.pdf","27-CR-23-7088")</f>
        <v>27-CR-23-7088</v>
      </c>
      <c r="C414" s="1" t="n">
        <v>1</v>
      </c>
      <c r="D414" s="2" t="s">
        <v>12</v>
      </c>
      <c r="E414" s="8" t="n">
        <v>45160</v>
      </c>
      <c r="F414" s="2" t="s">
        <v>15</v>
      </c>
      <c r="G414" s="7" t="str">
        <f aca="false">HYPERLINK("https://mncourtfraud.com/file/MCRO_27-CR-23-7088_Order-Evaluation for Competency to Proceed (Rule 20.01)_2023-08-22_20251126190533.pdf","MCRO_27-CR-23-7088_Order-Evaluation for Competency to Proceed (Rule 20.01)_2023-08-22_20251126190533.pdf")</f>
        <v>MCRO_27-CR-23-7088_Order-Evaluation for Competency to Proceed (Rule 20.01)_2023-08-22_20251126190533.pdf</v>
      </c>
      <c r="H414" s="2" t="s">
        <v>435</v>
      </c>
      <c r="I414" s="7" t="str">
        <f aca="false">HYPERLINK("https://mncourtfraud.com/file/MCRO_27-CR-23-7088_Order-Evaluation for Competency to Proceed (Rule 20.01)_2023-08-22_20251126190533.pdf.ots","MCRO_27-CR-23-7088_Order-Evaluation for Competency to Proceed (Rule 20.01)_2023-08-22_20251126190533.pdf.ots")</f>
        <v>MCRO_27-CR-23-7088_Order-Evaluation for Competency to Proceed (Rule 20.01)_2023-08-22_20251126190533.pdf.ots</v>
      </c>
      <c r="J414" s="7" t="str">
        <f aca="false">HYPERLINK("https://mncourtfraud.com/file/MCRO_27-CR-23-7088_Order-Evaluation for Competency to Proceed (Rule 20.01)_2023-08-22_20251126190533_META.txt","MCRO_27-CR-23-7088_Order-Evaluation for Competency to Proceed (Rule 20.01)_2023-08-22_20251126190533_META.txt")</f>
        <v>MCRO_27-CR-23-7088_Order-Evaluation for Competency to Proceed (Rule 20.01)_2023-08-22_20251126190533_META.txt</v>
      </c>
      <c r="K414" s="7" t="str">
        <f aca="false">HYPERLINK("https://mncourtfraud.com/file/MCRO_27-CR-23-7088_Order-Evaluation for Competency to Proceed (Rule 20.01)_2023-08-22_20251126190533_PDFSIGS.txt","MCRO_27-CR-23-7088_Order-Evaluation for Competency to Proceed (Rule 20.01)_2023-08-22_20251126190533_PDFSIGS.txt")</f>
        <v>MCRO_27-CR-23-7088_Order-Evaluation for Competency to Proceed (Rule 20.01)_2023-08-22_20251126190533_PDFSIGS.txt</v>
      </c>
      <c r="L414" s="7" t="str">
        <f aca="false">HYPERLINK("https://mncourtfraud.com/file/MCRO_27-CR-23-7088_Order-Evaluation_for_Competency_to_Proceed_(Rule_20.01)_2023-08-22_20251126190533.zip","MCRO_27-CR-23-7088_Order-Evaluation_for_Competency_to_Proceed_(Rule_20.01)_2023-08-22_20251126190533.zip")</f>
        <v>MCRO_27-CR-23-7088_Order-Evaluation_for_Competency_to_Proceed_(Rule_20.01)_2023-08-22_20251126190533.zip</v>
      </c>
    </row>
    <row r="415" customFormat="false" ht="18.7" hidden="false" customHeight="true" outlineLevel="0" collapsed="false">
      <c r="A415" s="1" t="n">
        <v>414</v>
      </c>
      <c r="B415" s="7" t="str">
        <f aca="false">HYPERLINK("https://mncourtfraud.com/file/27-CR-23-7088.pdf","27-CR-23-7088")</f>
        <v>27-CR-23-7088</v>
      </c>
      <c r="C415" s="1" t="n">
        <v>1</v>
      </c>
      <c r="D415" s="2" t="s">
        <v>12</v>
      </c>
      <c r="E415" s="8" t="n">
        <v>45412</v>
      </c>
      <c r="F415" s="2" t="s">
        <v>24</v>
      </c>
      <c r="G415" s="7" t="str">
        <f aca="false">HYPERLINK("https://mncourtfraud.com/file/MCRO_27-CR-23-7088_Order for Conditional Release_2024-04-30_20251126190516.pdf","MCRO_27-CR-23-7088_Order for Conditional Release_2024-04-30_20251126190516.pdf")</f>
        <v>MCRO_27-CR-23-7088_Order for Conditional Release_2024-04-30_20251126190516.pdf</v>
      </c>
      <c r="H415" s="2" t="s">
        <v>436</v>
      </c>
      <c r="I415" s="7" t="str">
        <f aca="false">HYPERLINK("https://mncourtfraud.com/file/MCRO_27-CR-23-7088_Order for Conditional Release_2024-04-30_20251126190516.pdf.ots","MCRO_27-CR-23-7088_Order for Conditional Release_2024-04-30_20251126190516.pdf.ots")</f>
        <v>MCRO_27-CR-23-7088_Order for Conditional Release_2024-04-30_20251126190516.pdf.ots</v>
      </c>
      <c r="J415" s="7" t="str">
        <f aca="false">HYPERLINK("https://mncourtfraud.com/file/MCRO_27-CR-23-7088_Order for Conditional Release_2024-04-30_20251126190516_META.txt","MCRO_27-CR-23-7088_Order for Conditional Release_2024-04-30_20251126190516_META.txt")</f>
        <v>MCRO_27-CR-23-7088_Order for Conditional Release_2024-04-30_20251126190516_META.txt</v>
      </c>
      <c r="K415" s="7" t="str">
        <f aca="false">HYPERLINK("https://mncourtfraud.com/file/MCRO_27-CR-23-7088_Order for Conditional Release_2024-04-30_20251126190516_PDFSIGS.txt","MCRO_27-CR-23-7088_Order for Conditional Release_2024-04-30_20251126190516_PDFSIGS.txt")</f>
        <v>MCRO_27-CR-23-7088_Order for Conditional Release_2024-04-30_20251126190516_PDFSIGS.txt</v>
      </c>
      <c r="L415" s="7" t="str">
        <f aca="false">HYPERLINK("https://mncourtfraud.com/file/MCRO_27-CR-23-7088_Order_for_Conditional_Release_2024-04-30_20251126190516.zip","MCRO_27-CR-23-7088_Order_for_Conditional_Release_2024-04-30_20251126190516.zip")</f>
        <v>MCRO_27-CR-23-7088_Order_for_Conditional_Release_2024-04-30_20251126190516.zip</v>
      </c>
    </row>
    <row r="416" customFormat="false" ht="18.7" hidden="false" customHeight="true" outlineLevel="0" collapsed="false">
      <c r="A416" s="1" t="n">
        <v>415</v>
      </c>
      <c r="B416" s="7" t="str">
        <f aca="false">HYPERLINK("https://mncourtfraud.com/file/27-CR-23-7088.pdf","27-CR-23-7088")</f>
        <v>27-CR-23-7088</v>
      </c>
      <c r="C416" s="1" t="n">
        <v>1</v>
      </c>
      <c r="D416" s="2" t="s">
        <v>12</v>
      </c>
      <c r="E416" s="8" t="n">
        <v>45412</v>
      </c>
      <c r="F416" s="2" t="s">
        <v>15</v>
      </c>
      <c r="G416" s="7" t="str">
        <f aca="false">HYPERLINK("https://mncourtfraud.com/file/MCRO_27-CR-23-7088_Order-Evaluation for Competency to Proceed (Rule 20.01)_2024-04-30_20251126190522.pdf","MCRO_27-CR-23-7088_Order-Evaluation for Competency to Proceed (Rule 20.01)_2024-04-30_20251126190522.pdf")</f>
        <v>MCRO_27-CR-23-7088_Order-Evaluation for Competency to Proceed (Rule 20.01)_2024-04-30_20251126190522.pdf</v>
      </c>
      <c r="H416" s="2" t="s">
        <v>437</v>
      </c>
      <c r="I416" s="7" t="str">
        <f aca="false">HYPERLINK("https://mncourtfraud.com/file/MCRO_27-CR-23-7088_Order-Evaluation for Competency to Proceed (Rule 20.01)_2024-04-30_20251126190522.pdf.ots","MCRO_27-CR-23-7088_Order-Evaluation for Competency to Proceed (Rule 20.01)_2024-04-30_20251126190522.pdf.ots")</f>
        <v>MCRO_27-CR-23-7088_Order-Evaluation for Competency to Proceed (Rule 20.01)_2024-04-30_20251126190522.pdf.ots</v>
      </c>
      <c r="J416" s="7" t="str">
        <f aca="false">HYPERLINK("https://mncourtfraud.com/file/MCRO_27-CR-23-7088_Order-Evaluation for Competency to Proceed (Rule 20.01)_2024-04-30_20251126190522_META.txt","MCRO_27-CR-23-7088_Order-Evaluation for Competency to Proceed (Rule 20.01)_2024-04-30_20251126190522_META.txt")</f>
        <v>MCRO_27-CR-23-7088_Order-Evaluation for Competency to Proceed (Rule 20.01)_2024-04-30_20251126190522_META.txt</v>
      </c>
      <c r="K416" s="7" t="str">
        <f aca="false">HYPERLINK("https://mncourtfraud.com/file/MCRO_27-CR-23-7088_Order-Evaluation for Competency to Proceed (Rule 20.01)_2024-04-30_20251126190522_PDFSIGS.txt","MCRO_27-CR-23-7088_Order-Evaluation for Competency to Proceed (Rule 20.01)_2024-04-30_20251126190522_PDFSIGS.txt")</f>
        <v>MCRO_27-CR-23-7088_Order-Evaluation for Competency to Proceed (Rule 20.01)_2024-04-30_20251126190522_PDFSIGS.txt</v>
      </c>
      <c r="L416" s="7" t="str">
        <f aca="false">HYPERLINK("https://mncourtfraud.com/file/MCRO_27-CR-23-7088_Order-Evaluation_for_Competency_to_Proceed_(Rule_20.01)_2024-04-30_20251126190522.zip","MCRO_27-CR-23-7088_Order-Evaluation_for_Competency_to_Proceed_(Rule_20.01)_2024-04-30_20251126190522.zip")</f>
        <v>MCRO_27-CR-23-7088_Order-Evaluation_for_Competency_to_Proceed_(Rule_20.01)_2024-04-30_20251126190522.zip</v>
      </c>
    </row>
    <row r="417" customFormat="false" ht="18.7" hidden="false" customHeight="true" outlineLevel="0" collapsed="false">
      <c r="A417" s="1" t="n">
        <v>416</v>
      </c>
      <c r="B417" s="7" t="str">
        <f aca="false">HYPERLINK("https://mncourtfraud.com/file/27-CR-23-7089.pdf","27-CR-23-7089")</f>
        <v>27-CR-23-7089</v>
      </c>
      <c r="C417" s="1" t="n">
        <v>1</v>
      </c>
      <c r="D417" s="2" t="s">
        <v>12</v>
      </c>
      <c r="E417" s="8" t="n">
        <v>45048</v>
      </c>
      <c r="F417" s="2" t="s">
        <v>80</v>
      </c>
      <c r="G417" s="7" t="str">
        <f aca="false">HYPERLINK("https://mncourtfraud.com/file/MCRO_27-CR-23-7089_Finding of Incompetency and Order_2023-05-02_20251126190557.pdf","MCRO_27-CR-23-7089_Finding of Incompetency and Order_2023-05-02_20251126190557.pdf")</f>
        <v>MCRO_27-CR-23-7089_Finding of Incompetency and Order_2023-05-02_20251126190557.pdf</v>
      </c>
      <c r="H417" s="2" t="s">
        <v>438</v>
      </c>
      <c r="I417" s="7" t="str">
        <f aca="false">HYPERLINK("https://mncourtfraud.com/file/MCRO_27-CR-23-7089_Finding of Incompetency and Order_2023-05-02_20251126190557.pdf.ots","MCRO_27-CR-23-7089_Finding of Incompetency and Order_2023-05-02_20251126190557.pdf.ots")</f>
        <v>MCRO_27-CR-23-7089_Finding of Incompetency and Order_2023-05-02_20251126190557.pdf.ots</v>
      </c>
      <c r="J417" s="7" t="str">
        <f aca="false">HYPERLINK("https://mncourtfraud.com/file/MCRO_27-CR-23-7089_Finding of Incompetency and Order_2023-05-02_20251126190557_META.txt","MCRO_27-CR-23-7089_Finding of Incompetency and Order_2023-05-02_20251126190557_META.txt")</f>
        <v>MCRO_27-CR-23-7089_Finding of Incompetency and Order_2023-05-02_20251126190557_META.txt</v>
      </c>
      <c r="K417" s="7" t="str">
        <f aca="false">HYPERLINK("https://mncourtfraud.com/file/MCRO_27-CR-23-7089_Finding of Incompetency and Order_2023-05-02_20251126190557_PDFSIGS.txt","MCRO_27-CR-23-7089_Finding of Incompetency and Order_2023-05-02_20251126190557_PDFSIGS.txt")</f>
        <v>MCRO_27-CR-23-7089_Finding of Incompetency and Order_2023-05-02_20251126190557_PDFSIGS.txt</v>
      </c>
      <c r="L417" s="7" t="str">
        <f aca="false">HYPERLINK("https://mncourtfraud.com/file/MCRO_27-CR-23-7089_Finding_of_Incompetency_and_Order_2023-05-02_20251126190557.zip","MCRO_27-CR-23-7089_Finding_of_Incompetency_and_Order_2023-05-02_20251126190557.zip")</f>
        <v>MCRO_27-CR-23-7089_Finding_of_Incompetency_and_Order_2023-05-02_20251126190557.zip</v>
      </c>
    </row>
    <row r="418" customFormat="false" ht="18.7" hidden="false" customHeight="true" outlineLevel="0" collapsed="false">
      <c r="A418" s="1" t="n">
        <v>417</v>
      </c>
      <c r="B418" s="7" t="str">
        <f aca="false">HYPERLINK("https://mncourtfraud.com/file/27-CR-23-7089.pdf","27-CR-23-7089")</f>
        <v>27-CR-23-7089</v>
      </c>
      <c r="C418" s="1" t="n">
        <v>1</v>
      </c>
      <c r="D418" s="2" t="s">
        <v>12</v>
      </c>
      <c r="E418" s="8" t="n">
        <v>45160</v>
      </c>
      <c r="F418" s="2" t="s">
        <v>15</v>
      </c>
      <c r="G418" s="7" t="str">
        <f aca="false">HYPERLINK("https://mncourtfraud.com/file/MCRO_27-CR-23-7089_Order-Evaluation for Competency to Proceed (Rule 20.01)_2023-08-22_20251126190622.pdf","MCRO_27-CR-23-7089_Order-Evaluation for Competency to Proceed (Rule 20.01)_2023-08-22_20251126190622.pdf")</f>
        <v>MCRO_27-CR-23-7089_Order-Evaluation for Competency to Proceed (Rule 20.01)_2023-08-22_20251126190622.pdf</v>
      </c>
      <c r="H418" s="2" t="s">
        <v>439</v>
      </c>
      <c r="I418" s="7" t="str">
        <f aca="false">HYPERLINK("https://mncourtfraud.com/file/MCRO_27-CR-23-7089_Order-Evaluation for Competency to Proceed (Rule 20.01)_2023-08-22_20251126190622.pdf.ots","MCRO_27-CR-23-7089_Order-Evaluation for Competency to Proceed (Rule 20.01)_2023-08-22_20251126190622.pdf.ots")</f>
        <v>MCRO_27-CR-23-7089_Order-Evaluation for Competency to Proceed (Rule 20.01)_2023-08-22_20251126190622.pdf.ots</v>
      </c>
      <c r="J418" s="7" t="str">
        <f aca="false">HYPERLINK("https://mncourtfraud.com/file/MCRO_27-CR-23-7089_Order-Evaluation for Competency to Proceed (Rule 20.01)_2023-08-22_20251126190622_META.txt","MCRO_27-CR-23-7089_Order-Evaluation for Competency to Proceed (Rule 20.01)_2023-08-22_20251126190622_META.txt")</f>
        <v>MCRO_27-CR-23-7089_Order-Evaluation for Competency to Proceed (Rule 20.01)_2023-08-22_20251126190622_META.txt</v>
      </c>
      <c r="K418" s="7" t="str">
        <f aca="false">HYPERLINK("https://mncourtfraud.com/file/MCRO_27-CR-23-7089_Order-Evaluation for Competency to Proceed (Rule 20.01)_2023-08-22_20251126190622_PDFSIGS.txt","MCRO_27-CR-23-7089_Order-Evaluation for Competency to Proceed (Rule 20.01)_2023-08-22_20251126190622_PDFSIGS.txt")</f>
        <v>MCRO_27-CR-23-7089_Order-Evaluation for Competency to Proceed (Rule 20.01)_2023-08-22_20251126190622_PDFSIGS.txt</v>
      </c>
      <c r="L418" s="7" t="str">
        <f aca="false">HYPERLINK("https://mncourtfraud.com/file/MCRO_27-CR-23-7089_Order-Evaluation_for_Competency_to_Proceed_(Rule_20.01)_2023-08-22_20251126190622.zip","MCRO_27-CR-23-7089_Order-Evaluation_for_Competency_to_Proceed_(Rule_20.01)_2023-08-22_20251126190622.zip")</f>
        <v>MCRO_27-CR-23-7089_Order-Evaluation_for_Competency_to_Proceed_(Rule_20.01)_2023-08-22_20251126190622.zip</v>
      </c>
    </row>
    <row r="419" customFormat="false" ht="18.7" hidden="false" customHeight="true" outlineLevel="0" collapsed="false">
      <c r="A419" s="1" t="n">
        <v>418</v>
      </c>
      <c r="B419" s="7" t="str">
        <f aca="false">HYPERLINK("https://mncourtfraud.com/file/27-CR-23-7089.pdf","27-CR-23-7089")</f>
        <v>27-CR-23-7089</v>
      </c>
      <c r="C419" s="1" t="n">
        <v>1</v>
      </c>
      <c r="D419" s="2" t="s">
        <v>12</v>
      </c>
      <c r="E419" s="8" t="n">
        <v>45412</v>
      </c>
      <c r="F419" s="2" t="s">
        <v>24</v>
      </c>
      <c r="G419" s="7" t="str">
        <f aca="false">HYPERLINK("https://mncourtfraud.com/file/MCRO_27-CR-23-7089_Order for Conditional Release_2024-04-30_20251126190607.pdf","MCRO_27-CR-23-7089_Order for Conditional Release_2024-04-30_20251126190607.pdf")</f>
        <v>MCRO_27-CR-23-7089_Order for Conditional Release_2024-04-30_20251126190607.pdf</v>
      </c>
      <c r="H419" s="2" t="s">
        <v>440</v>
      </c>
      <c r="I419" s="7" t="str">
        <f aca="false">HYPERLINK("https://mncourtfraud.com/file/MCRO_27-CR-23-7089_Order for Conditional Release_2024-04-30_20251126190607.pdf.ots","MCRO_27-CR-23-7089_Order for Conditional Release_2024-04-30_20251126190607.pdf.ots")</f>
        <v>MCRO_27-CR-23-7089_Order for Conditional Release_2024-04-30_20251126190607.pdf.ots</v>
      </c>
      <c r="J419" s="7" t="str">
        <f aca="false">HYPERLINK("https://mncourtfraud.com/file/MCRO_27-CR-23-7089_Order for Conditional Release_2024-04-30_20251126190607_META.txt","MCRO_27-CR-23-7089_Order for Conditional Release_2024-04-30_20251126190607_META.txt")</f>
        <v>MCRO_27-CR-23-7089_Order for Conditional Release_2024-04-30_20251126190607_META.txt</v>
      </c>
      <c r="K419" s="7" t="str">
        <f aca="false">HYPERLINK("https://mncourtfraud.com/file/MCRO_27-CR-23-7089_Order for Conditional Release_2024-04-30_20251126190607_PDFSIGS.txt","MCRO_27-CR-23-7089_Order for Conditional Release_2024-04-30_20251126190607_PDFSIGS.txt")</f>
        <v>MCRO_27-CR-23-7089_Order for Conditional Release_2024-04-30_20251126190607_PDFSIGS.txt</v>
      </c>
      <c r="L419" s="7" t="str">
        <f aca="false">HYPERLINK("https://mncourtfraud.com/file/MCRO_27-CR-23-7089_Order_for_Conditional_Release_2024-04-30_20251126190607.zip","MCRO_27-CR-23-7089_Order_for_Conditional_Release_2024-04-30_20251126190607.zip")</f>
        <v>MCRO_27-CR-23-7089_Order_for_Conditional_Release_2024-04-30_20251126190607.zip</v>
      </c>
    </row>
    <row r="420" customFormat="false" ht="18.7" hidden="false" customHeight="true" outlineLevel="0" collapsed="false">
      <c r="A420" s="1" t="n">
        <v>419</v>
      </c>
      <c r="B420" s="7" t="str">
        <f aca="false">HYPERLINK("https://mncourtfraud.com/file/27-CR-23-7089.pdf","27-CR-23-7089")</f>
        <v>27-CR-23-7089</v>
      </c>
      <c r="C420" s="1" t="n">
        <v>1</v>
      </c>
      <c r="D420" s="2" t="s">
        <v>12</v>
      </c>
      <c r="E420" s="8" t="n">
        <v>45412</v>
      </c>
      <c r="F420" s="2" t="s">
        <v>15</v>
      </c>
      <c r="G420" s="7" t="str">
        <f aca="false">HYPERLINK("https://mncourtfraud.com/file/MCRO_27-CR-23-7089_Order-Evaluation for Competency to Proceed (Rule 20.01)_2024-04-30_20251126190615.pdf","MCRO_27-CR-23-7089_Order-Evaluation for Competency to Proceed (Rule 20.01)_2024-04-30_20251126190615.pdf")</f>
        <v>MCRO_27-CR-23-7089_Order-Evaluation for Competency to Proceed (Rule 20.01)_2024-04-30_20251126190615.pdf</v>
      </c>
      <c r="H420" s="2" t="s">
        <v>441</v>
      </c>
      <c r="I420" s="7" t="str">
        <f aca="false">HYPERLINK("https://mncourtfraud.com/file/MCRO_27-CR-23-7089_Order-Evaluation for Competency to Proceed (Rule 20.01)_2024-04-30_20251126190615.pdf.ots","MCRO_27-CR-23-7089_Order-Evaluation for Competency to Proceed (Rule 20.01)_2024-04-30_20251126190615.pdf.ots")</f>
        <v>MCRO_27-CR-23-7089_Order-Evaluation for Competency to Proceed (Rule 20.01)_2024-04-30_20251126190615.pdf.ots</v>
      </c>
      <c r="J420" s="7" t="str">
        <f aca="false">HYPERLINK("https://mncourtfraud.com/file/MCRO_27-CR-23-7089_Order-Evaluation for Competency to Proceed (Rule 20.01)_2024-04-30_20251126190615_META.txt","MCRO_27-CR-23-7089_Order-Evaluation for Competency to Proceed (Rule 20.01)_2024-04-30_20251126190615_META.txt")</f>
        <v>MCRO_27-CR-23-7089_Order-Evaluation for Competency to Proceed (Rule 20.01)_2024-04-30_20251126190615_META.txt</v>
      </c>
      <c r="K420" s="7" t="str">
        <f aca="false">HYPERLINK("https://mncourtfraud.com/file/MCRO_27-CR-23-7089_Order-Evaluation for Competency to Proceed (Rule 20.01)_2024-04-30_20251126190615_PDFSIGS.txt","MCRO_27-CR-23-7089_Order-Evaluation for Competency to Proceed (Rule 20.01)_2024-04-30_20251126190615_PDFSIGS.txt")</f>
        <v>MCRO_27-CR-23-7089_Order-Evaluation for Competency to Proceed (Rule 20.01)_2024-04-30_20251126190615_PDFSIGS.txt</v>
      </c>
      <c r="L420" s="7" t="str">
        <f aca="false">HYPERLINK("https://mncourtfraud.com/file/MCRO_27-CR-23-7089_Order-Evaluation_for_Competency_to_Proceed_(Rule_20.01)_2024-04-30_20251126190615.zip","MCRO_27-CR-23-7089_Order-Evaluation_for_Competency_to_Proceed_(Rule_20.01)_2024-04-30_20251126190615.zip")</f>
        <v>MCRO_27-CR-23-7089_Order-Evaluation_for_Competency_to_Proceed_(Rule_20.01)_2024-04-30_20251126190615.zip</v>
      </c>
    </row>
    <row r="421" customFormat="false" ht="18.7" hidden="false" customHeight="true" outlineLevel="0" collapsed="false">
      <c r="A421" s="1" t="n">
        <v>420</v>
      </c>
      <c r="B421" s="7" t="str">
        <f aca="false">HYPERLINK("https://mncourtfraud.com/file/27-CR-23-7275.pdf","27-CR-23-7275")</f>
        <v>27-CR-23-7275</v>
      </c>
      <c r="C421" s="1" t="n">
        <v>1</v>
      </c>
      <c r="D421" s="2" t="s">
        <v>12</v>
      </c>
      <c r="E421" s="8" t="n">
        <v>45048</v>
      </c>
      <c r="F421" s="2" t="s">
        <v>80</v>
      </c>
      <c r="G421" s="7" t="str">
        <f aca="false">HYPERLINK("https://mncourtfraud.com/file/MCRO_27-CR-23-7275_Finding of Incompetency and Order_2023-05-02_20251126190643.pdf","MCRO_27-CR-23-7275_Finding of Incompetency and Order_2023-05-02_20251126190643.pdf")</f>
        <v>MCRO_27-CR-23-7275_Finding of Incompetency and Order_2023-05-02_20251126190643.pdf</v>
      </c>
      <c r="H421" s="2" t="s">
        <v>442</v>
      </c>
      <c r="I421" s="7" t="str">
        <f aca="false">HYPERLINK("https://mncourtfraud.com/file/MCRO_27-CR-23-7275_Finding of Incompetency and Order_2023-05-02_20251126190643.pdf.ots","MCRO_27-CR-23-7275_Finding of Incompetency and Order_2023-05-02_20251126190643.pdf.ots")</f>
        <v>MCRO_27-CR-23-7275_Finding of Incompetency and Order_2023-05-02_20251126190643.pdf.ots</v>
      </c>
      <c r="J421" s="7" t="str">
        <f aca="false">HYPERLINK("https://mncourtfraud.com/file/MCRO_27-CR-23-7275_Finding of Incompetency and Order_2023-05-02_20251126190643_META.txt","MCRO_27-CR-23-7275_Finding of Incompetency and Order_2023-05-02_20251126190643_META.txt")</f>
        <v>MCRO_27-CR-23-7275_Finding of Incompetency and Order_2023-05-02_20251126190643_META.txt</v>
      </c>
      <c r="K421" s="7" t="str">
        <f aca="false">HYPERLINK("https://mncourtfraud.com/file/MCRO_27-CR-23-7275_Finding of Incompetency and Order_2023-05-02_20251126190643_PDFSIGS.txt","MCRO_27-CR-23-7275_Finding of Incompetency and Order_2023-05-02_20251126190643_PDFSIGS.txt")</f>
        <v>MCRO_27-CR-23-7275_Finding of Incompetency and Order_2023-05-02_20251126190643_PDFSIGS.txt</v>
      </c>
      <c r="L421" s="7" t="str">
        <f aca="false">HYPERLINK("https://mncourtfraud.com/file/MCRO_27-CR-23-7275_Finding_of_Incompetency_and_Order_2023-05-02_20251126190643.zip","MCRO_27-CR-23-7275_Finding_of_Incompetency_and_Order_2023-05-02_20251126190643.zip")</f>
        <v>MCRO_27-CR-23-7275_Finding_of_Incompetency_and_Order_2023-05-02_20251126190643.zip</v>
      </c>
    </row>
    <row r="422" customFormat="false" ht="18.7" hidden="false" customHeight="true" outlineLevel="0" collapsed="false">
      <c r="A422" s="1" t="n">
        <v>421</v>
      </c>
      <c r="B422" s="7" t="str">
        <f aca="false">HYPERLINK("https://mncourtfraud.com/file/27-CR-23-7275.pdf","27-CR-23-7275")</f>
        <v>27-CR-23-7275</v>
      </c>
      <c r="C422" s="1" t="n">
        <v>1</v>
      </c>
      <c r="D422" s="2" t="s">
        <v>12</v>
      </c>
      <c r="E422" s="8" t="n">
        <v>45160</v>
      </c>
      <c r="F422" s="2" t="s">
        <v>15</v>
      </c>
      <c r="G422" s="7" t="str">
        <f aca="false">HYPERLINK("https://mncourtfraud.com/file/MCRO_27-CR-23-7275_Order-Evaluation for Competency to Proceed (Rule 20.01)_2023-08-22_20251126190704.pdf","MCRO_27-CR-23-7275_Order-Evaluation for Competency to Proceed (Rule 20.01)_2023-08-22_20251126190704.pdf")</f>
        <v>MCRO_27-CR-23-7275_Order-Evaluation for Competency to Proceed (Rule 20.01)_2023-08-22_20251126190704.pdf</v>
      </c>
      <c r="H422" s="2" t="s">
        <v>443</v>
      </c>
      <c r="I422" s="7" t="str">
        <f aca="false">HYPERLINK("https://mncourtfraud.com/file/MCRO_27-CR-23-7275_Order-Evaluation for Competency to Proceed (Rule 20.01)_2023-08-22_20251126190704.pdf.ots","MCRO_27-CR-23-7275_Order-Evaluation for Competency to Proceed (Rule 20.01)_2023-08-22_20251126190704.pdf.ots")</f>
        <v>MCRO_27-CR-23-7275_Order-Evaluation for Competency to Proceed (Rule 20.01)_2023-08-22_20251126190704.pdf.ots</v>
      </c>
      <c r="J422" s="7" t="str">
        <f aca="false">HYPERLINK("https://mncourtfraud.com/file/MCRO_27-CR-23-7275_Order-Evaluation for Competency to Proceed (Rule 20.01)_2023-08-22_20251126190704_META.txt","MCRO_27-CR-23-7275_Order-Evaluation for Competency to Proceed (Rule 20.01)_2023-08-22_20251126190704_META.txt")</f>
        <v>MCRO_27-CR-23-7275_Order-Evaluation for Competency to Proceed (Rule 20.01)_2023-08-22_20251126190704_META.txt</v>
      </c>
      <c r="K422" s="7" t="str">
        <f aca="false">HYPERLINK("https://mncourtfraud.com/file/MCRO_27-CR-23-7275_Order-Evaluation for Competency to Proceed (Rule 20.01)_2023-08-22_20251126190704_PDFSIGS.txt","MCRO_27-CR-23-7275_Order-Evaluation for Competency to Proceed (Rule 20.01)_2023-08-22_20251126190704_PDFSIGS.txt")</f>
        <v>MCRO_27-CR-23-7275_Order-Evaluation for Competency to Proceed (Rule 20.01)_2023-08-22_20251126190704_PDFSIGS.txt</v>
      </c>
      <c r="L422" s="7" t="str">
        <f aca="false">HYPERLINK("https://mncourtfraud.com/file/MCRO_27-CR-23-7275_Order-Evaluation_for_Competency_to_Proceed_(Rule_20.01)_2023-08-22_20251126190704.zip","MCRO_27-CR-23-7275_Order-Evaluation_for_Competency_to_Proceed_(Rule_20.01)_2023-08-22_20251126190704.zip")</f>
        <v>MCRO_27-CR-23-7275_Order-Evaluation_for_Competency_to_Proceed_(Rule_20.01)_2023-08-22_20251126190704.zip</v>
      </c>
    </row>
    <row r="423" customFormat="false" ht="18.7" hidden="false" customHeight="true" outlineLevel="0" collapsed="false">
      <c r="A423" s="1" t="n">
        <v>422</v>
      </c>
      <c r="B423" s="7" t="str">
        <f aca="false">HYPERLINK("https://mncourtfraud.com/file/27-CR-23-7275.pdf","27-CR-23-7275")</f>
        <v>27-CR-23-7275</v>
      </c>
      <c r="C423" s="1" t="n">
        <v>1</v>
      </c>
      <c r="D423" s="2" t="s">
        <v>12</v>
      </c>
      <c r="E423" s="8" t="n">
        <v>45412</v>
      </c>
      <c r="F423" s="2" t="s">
        <v>24</v>
      </c>
      <c r="G423" s="7" t="str">
        <f aca="false">HYPERLINK("https://mncourtfraud.com/file/MCRO_27-CR-23-7275_Order for Conditional Release_2024-04-30_20251126190652.pdf","MCRO_27-CR-23-7275_Order for Conditional Release_2024-04-30_20251126190652.pdf")</f>
        <v>MCRO_27-CR-23-7275_Order for Conditional Release_2024-04-30_20251126190652.pdf</v>
      </c>
      <c r="H423" s="2" t="s">
        <v>444</v>
      </c>
      <c r="I423" s="7" t="str">
        <f aca="false">HYPERLINK("https://mncourtfraud.com/file/MCRO_27-CR-23-7275_Order for Conditional Release_2024-04-30_20251126190652.pdf.ots","MCRO_27-CR-23-7275_Order for Conditional Release_2024-04-30_20251126190652.pdf.ots")</f>
        <v>MCRO_27-CR-23-7275_Order for Conditional Release_2024-04-30_20251126190652.pdf.ots</v>
      </c>
      <c r="J423" s="7" t="str">
        <f aca="false">HYPERLINK("https://mncourtfraud.com/file/MCRO_27-CR-23-7275_Order for Conditional Release_2024-04-30_20251126190652_META.txt","MCRO_27-CR-23-7275_Order for Conditional Release_2024-04-30_20251126190652_META.txt")</f>
        <v>MCRO_27-CR-23-7275_Order for Conditional Release_2024-04-30_20251126190652_META.txt</v>
      </c>
      <c r="K423" s="7" t="str">
        <f aca="false">HYPERLINK("https://mncourtfraud.com/file/MCRO_27-CR-23-7275_Order for Conditional Release_2024-04-30_20251126190652_PDFSIGS.txt","MCRO_27-CR-23-7275_Order for Conditional Release_2024-04-30_20251126190652_PDFSIGS.txt")</f>
        <v>MCRO_27-CR-23-7275_Order for Conditional Release_2024-04-30_20251126190652_PDFSIGS.txt</v>
      </c>
      <c r="L423" s="7" t="str">
        <f aca="false">HYPERLINK("https://mncourtfraud.com/file/MCRO_27-CR-23-7275_Order_for_Conditional_Release_2024-04-30_20251126190652.zip","MCRO_27-CR-23-7275_Order_for_Conditional_Release_2024-04-30_20251126190652.zip")</f>
        <v>MCRO_27-CR-23-7275_Order_for_Conditional_Release_2024-04-30_20251126190652.zip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4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H8" activeCellId="0" sqref="H8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9.72"/>
    <col collapsed="false" customWidth="true" hidden="false" outlineLevel="0" max="2" min="2" style="2" width="21.38"/>
    <col collapsed="false" customWidth="true" hidden="false" outlineLevel="0" max="3" min="3" style="1" width="14.31"/>
    <col collapsed="false" customWidth="true" hidden="false" outlineLevel="0" max="4" min="4" style="2" width="27.23"/>
    <col collapsed="false" customWidth="true" hidden="false" outlineLevel="0" max="5" min="5" style="1" width="17.09"/>
    <col collapsed="false" customWidth="true" hidden="false" outlineLevel="0" max="6" min="6" style="2" width="64.18"/>
    <col collapsed="false" customWidth="true" hidden="false" outlineLevel="0" max="7" min="7" style="2" width="124.41"/>
    <col collapsed="false" customWidth="true" hidden="false" outlineLevel="0" max="8" min="8" style="2" width="45.3"/>
    <col collapsed="false" customWidth="true" hidden="false" outlineLevel="0" max="9" min="9" style="2" width="44.87"/>
    <col collapsed="false" customWidth="true" hidden="false" outlineLevel="0" max="10" min="10" style="2" width="38.07"/>
    <col collapsed="false" customWidth="true" hidden="false" outlineLevel="0" max="11" min="11" style="2" width="154.5"/>
    <col collapsed="false" customWidth="true" hidden="false" outlineLevel="0" max="12" min="12" style="2" width="34.04"/>
    <col collapsed="false" customWidth="true" hidden="false" outlineLevel="0" max="13" min="13" style="1" width="23.48"/>
    <col collapsed="false" customWidth="true" hidden="false" outlineLevel="0" max="14" min="14" style="1" width="31.12"/>
    <col collapsed="false" customWidth="true" hidden="false" outlineLevel="0" max="15" min="15" style="1" width="42.37"/>
    <col collapsed="false" customWidth="true" hidden="false" outlineLevel="0" max="16" min="16" style="1" width="31.1"/>
    <col collapsed="false" customWidth="true" hidden="false" outlineLevel="0" max="17" min="17" style="1" width="45.02"/>
    <col collapsed="false" customWidth="true" hidden="false" outlineLevel="0" max="18" min="18" style="1" width="31.1"/>
    <col collapsed="false" customWidth="true" hidden="false" outlineLevel="0" max="19" min="19" style="1" width="26.95"/>
    <col collapsed="false" customWidth="true" hidden="false" outlineLevel="0" max="20" min="20" style="2" width="58.07"/>
    <col collapsed="false" customWidth="true" hidden="false" outlineLevel="0" max="21" min="21" style="2" width="58.06"/>
    <col collapsed="false" customWidth="true" hidden="false" outlineLevel="0" max="22" min="22" style="2" width="37.79"/>
    <col collapsed="false" customWidth="true" hidden="false" outlineLevel="0" max="23" min="23" style="2" width="77.76"/>
    <col collapsed="false" customWidth="true" hidden="false" outlineLevel="0" max="24" min="24" style="2" width="19.72"/>
    <col collapsed="false" customWidth="true" hidden="false" outlineLevel="0" max="25" min="25" style="1" width="17.36"/>
    <col collapsed="false" customWidth="true" hidden="false" outlineLevel="0" max="26" min="26" style="1" width="18.33"/>
    <col collapsed="false" customWidth="true" hidden="false" outlineLevel="0" max="27" min="27" style="1" width="17.64"/>
    <col collapsed="false" customWidth="true" hidden="false" outlineLevel="0" max="28" min="28" style="2" width="18.06"/>
    <col collapsed="false" customWidth="true" hidden="false" outlineLevel="0" max="29" min="29" style="0" width="21.38"/>
    <col collapsed="false" customWidth="true" hidden="false" outlineLevel="0" max="30" min="30" style="0" width="17.09"/>
    <col collapsed="false" customWidth="true" hidden="false" outlineLevel="0" max="31" min="31" style="0" width="64.18"/>
    <col collapsed="false" customWidth="true" hidden="false" outlineLevel="0" max="32" min="32" style="0" width="23.2"/>
    <col collapsed="false" customWidth="false" hidden="false" outlineLevel="0" max="1023" min="33" style="2" width="11.52"/>
  </cols>
  <sheetData>
    <row r="1" s="6" customFormat="true" ht="23.05" hidden="false" customHeight="true" outlineLevel="0" collapsed="false">
      <c r="A1" s="3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445</v>
      </c>
      <c r="I1" s="3" t="s">
        <v>446</v>
      </c>
      <c r="J1" s="3" t="s">
        <v>447</v>
      </c>
      <c r="K1" s="3" t="s">
        <v>448</v>
      </c>
      <c r="L1" s="3" t="s">
        <v>449</v>
      </c>
      <c r="M1" s="3" t="s">
        <v>450</v>
      </c>
      <c r="N1" s="3" t="s">
        <v>451</v>
      </c>
      <c r="O1" s="3" t="s">
        <v>452</v>
      </c>
      <c r="P1" s="3" t="s">
        <v>453</v>
      </c>
      <c r="Q1" s="3" t="s">
        <v>454</v>
      </c>
      <c r="R1" s="3" t="s">
        <v>455</v>
      </c>
      <c r="S1" s="3" t="s">
        <v>456</v>
      </c>
      <c r="T1" s="3" t="s">
        <v>457</v>
      </c>
      <c r="U1" s="3" t="s">
        <v>458</v>
      </c>
      <c r="V1" s="3" t="s">
        <v>459</v>
      </c>
      <c r="W1" s="3" t="s">
        <v>460</v>
      </c>
      <c r="X1" s="3" t="s">
        <v>461</v>
      </c>
      <c r="Y1" s="3" t="s">
        <v>462</v>
      </c>
      <c r="Z1" s="3" t="s">
        <v>463</v>
      </c>
      <c r="AA1" s="3" t="s">
        <v>464</v>
      </c>
      <c r="AB1" s="2"/>
      <c r="AC1" s="0"/>
      <c r="AD1" s="0"/>
      <c r="AE1" s="0"/>
      <c r="AF1" s="0"/>
      <c r="AG1" s="5"/>
      <c r="AMJ1" s="0"/>
    </row>
    <row r="2" customFormat="false" ht="18.7" hidden="false" customHeight="true" outlineLevel="0" collapsed="false">
      <c r="A2" s="1" t="n">
        <v>1</v>
      </c>
      <c r="B2" s="7" t="str">
        <f aca="false">HYPERLINK("https://mncourtfraud.com/file/27-CR-19-26893.pdf","27-CR-19-26893")</f>
        <v>27-CR-19-26893</v>
      </c>
      <c r="C2" s="1" t="n">
        <v>1</v>
      </c>
      <c r="D2" s="2" t="s">
        <v>12</v>
      </c>
      <c r="E2" s="8" t="n">
        <v>43844</v>
      </c>
      <c r="F2" s="2" t="s">
        <v>13</v>
      </c>
      <c r="G2" s="7" t="str">
        <f aca="false">HYPERLINK("https://mncourtfraud.com/file/MCRO_27-CR-19-26893_Find of Fact-Order, Pet Commitment-Dfd Found Incompetent_2020-01-14_20251126174653.pdf","MCRO_27-CR-19-26893_Find of Fact-Order, Pet Commitment-Dfd Found Incompetent_2020-01-14_20251126174653.pdf")</f>
        <v>MCRO_27-CR-19-26893_Find of Fact-Order, Pet Commitment-Dfd Found Incompetent_2020-01-14_20251126174653.pdf</v>
      </c>
      <c r="H2" s="2" t="s">
        <v>465</v>
      </c>
      <c r="I2" s="2" t="s">
        <v>466</v>
      </c>
      <c r="J2" s="2" t="s">
        <v>467</v>
      </c>
      <c r="K2" s="2" t="s">
        <v>468</v>
      </c>
      <c r="L2" s="2" t="s">
        <v>469</v>
      </c>
      <c r="M2" s="8" t="n">
        <v>43844</v>
      </c>
      <c r="N2" s="1" t="s">
        <v>470</v>
      </c>
      <c r="O2" s="1" t="n">
        <v>0</v>
      </c>
      <c r="P2" s="1" t="s">
        <v>471</v>
      </c>
      <c r="Q2" s="1" t="n">
        <v>0</v>
      </c>
      <c r="R2" s="1" t="s">
        <v>472</v>
      </c>
      <c r="S2" s="1" t="n">
        <v>20251126174653</v>
      </c>
      <c r="T2" s="2" t="s">
        <v>473</v>
      </c>
      <c r="U2" s="2" t="s">
        <v>474</v>
      </c>
      <c r="X2" s="2" t="n">
        <v>232652</v>
      </c>
      <c r="Y2" s="1" t="n">
        <v>1.5</v>
      </c>
      <c r="Z2" s="1" t="n">
        <v>5</v>
      </c>
      <c r="AA2" s="9" t="s">
        <v>475</v>
      </c>
    </row>
    <row r="3" customFormat="false" ht="18.7" hidden="false" customHeight="true" outlineLevel="0" collapsed="false">
      <c r="A3" s="1" t="n">
        <v>2</v>
      </c>
      <c r="B3" s="7" t="str">
        <f aca="false">HYPERLINK("https://mncourtfraud.com/file/27-CR-19-26893.pdf","27-CR-19-26893")</f>
        <v>27-CR-19-26893</v>
      </c>
      <c r="C3" s="1" t="n">
        <v>1</v>
      </c>
      <c r="D3" s="2" t="s">
        <v>12</v>
      </c>
      <c r="E3" s="8" t="n">
        <v>43902</v>
      </c>
      <c r="F3" s="2" t="s">
        <v>15</v>
      </c>
      <c r="G3" s="7" t="str">
        <f aca="false">HYPERLINK("https://mncourtfraud.com/file/MCRO_27-CR-19-26893_Order-Evaluation for Competency to Proceed (Rule 20.01)_2020-03-12_20251126174914.pdf","MCRO_27-CR-19-26893_Order-Evaluation for Competency to Proceed (Rule 20.01)_2020-03-12_20251126174914.pdf")</f>
        <v>MCRO_27-CR-19-26893_Order-Evaluation for Competency to Proceed (Rule 20.01)_2020-03-12_20251126174914.pdf</v>
      </c>
      <c r="J3" s="2" t="s">
        <v>476</v>
      </c>
      <c r="K3" s="2" t="s">
        <v>477</v>
      </c>
      <c r="L3" s="2" t="s">
        <v>469</v>
      </c>
      <c r="M3" s="8" t="n">
        <v>43902</v>
      </c>
      <c r="N3" s="1" t="s">
        <v>478</v>
      </c>
      <c r="O3" s="1" t="n">
        <v>6</v>
      </c>
      <c r="P3" s="1" t="s">
        <v>478</v>
      </c>
      <c r="Q3" s="1" t="n">
        <v>6</v>
      </c>
      <c r="R3" s="1" t="s">
        <v>479</v>
      </c>
      <c r="S3" s="1" t="n">
        <v>20251126174914</v>
      </c>
      <c r="T3" s="2" t="s">
        <v>480</v>
      </c>
      <c r="U3" s="2" t="s">
        <v>480</v>
      </c>
      <c r="X3" s="2" t="n">
        <v>1182673</v>
      </c>
      <c r="Y3" s="1" t="n">
        <v>1.7</v>
      </c>
      <c r="Z3" s="1" t="n">
        <v>2</v>
      </c>
      <c r="AA3" s="9" t="s">
        <v>475</v>
      </c>
    </row>
    <row r="4" customFormat="false" ht="18.7" hidden="false" customHeight="true" outlineLevel="0" collapsed="false">
      <c r="A4" s="1" t="n">
        <v>3</v>
      </c>
      <c r="B4" s="7" t="str">
        <f aca="false">HYPERLINK("https://mncourtfraud.com/file/27-CR-19-26893.pdf","27-CR-19-26893")</f>
        <v>27-CR-19-26893</v>
      </c>
      <c r="C4" s="1" t="n">
        <v>1</v>
      </c>
      <c r="D4" s="2" t="s">
        <v>12</v>
      </c>
      <c r="E4" s="8" t="n">
        <v>43970</v>
      </c>
      <c r="F4" s="2" t="s">
        <v>17</v>
      </c>
      <c r="G4" s="7" t="str">
        <f aca="false">HYPERLINK("https://mncourtfraud.com/file/MCRO_27-CR-19-26893_Returned Mail_2020-05-19_20251126174953.pdf","MCRO_27-CR-19-26893_Returned Mail_2020-05-19_20251126174953.pdf")</f>
        <v>MCRO_27-CR-19-26893_Returned Mail_2020-05-19_20251126174953.pdf</v>
      </c>
      <c r="I4" s="2" t="s">
        <v>481</v>
      </c>
      <c r="J4" s="2" t="s">
        <v>481</v>
      </c>
      <c r="K4" s="2" t="s">
        <v>482</v>
      </c>
      <c r="L4" s="2" t="s">
        <v>469</v>
      </c>
      <c r="M4" s="8" t="n">
        <v>43970</v>
      </c>
      <c r="N4" s="1" t="s">
        <v>483</v>
      </c>
      <c r="O4" s="1" t="n">
        <v>0</v>
      </c>
      <c r="P4" s="1" t="s">
        <v>484</v>
      </c>
      <c r="Q4" s="1" t="n">
        <v>0</v>
      </c>
      <c r="R4" s="1" t="s">
        <v>485</v>
      </c>
      <c r="S4" s="1" t="n">
        <v>20251126174953</v>
      </c>
      <c r="T4" s="2" t="s">
        <v>486</v>
      </c>
      <c r="U4" s="2" t="s">
        <v>487</v>
      </c>
      <c r="X4" s="2" t="n">
        <v>262935</v>
      </c>
      <c r="Y4" s="1" t="n">
        <v>1.6</v>
      </c>
      <c r="Z4" s="1" t="n">
        <v>1</v>
      </c>
    </row>
    <row r="5" customFormat="false" ht="18.7" hidden="false" customHeight="true" outlineLevel="0" collapsed="false">
      <c r="A5" s="1" t="n">
        <v>4</v>
      </c>
      <c r="B5" s="7" t="str">
        <f aca="false">HYPERLINK("https://mncourtfraud.com/file/27-CR-19-26893.pdf","27-CR-19-26893")</f>
        <v>27-CR-19-26893</v>
      </c>
      <c r="C5" s="1" t="n">
        <v>1</v>
      </c>
      <c r="D5" s="2" t="s">
        <v>12</v>
      </c>
      <c r="E5" s="8" t="n">
        <v>44103</v>
      </c>
      <c r="F5" s="2" t="s">
        <v>19</v>
      </c>
      <c r="G5" s="7" t="str">
        <f aca="false">HYPERLINK("https://mncourtfraud.com/file/MCRO_27-CR-19-26893_Findings and Order_2020-09-29_20251126174721.pdf","MCRO_27-CR-19-26893_Findings and Order_2020-09-29_20251126174721.pdf")</f>
        <v>MCRO_27-CR-19-26893_Findings and Order_2020-09-29_20251126174721.pdf</v>
      </c>
      <c r="I5" s="2" t="s">
        <v>481</v>
      </c>
      <c r="J5" s="2" t="s">
        <v>481</v>
      </c>
      <c r="K5" s="2" t="s">
        <v>482</v>
      </c>
      <c r="L5" s="2" t="s">
        <v>469</v>
      </c>
      <c r="M5" s="8" t="n">
        <v>44103</v>
      </c>
      <c r="N5" s="1" t="s">
        <v>488</v>
      </c>
      <c r="O5" s="1" t="n">
        <v>1</v>
      </c>
      <c r="P5" s="1" t="s">
        <v>489</v>
      </c>
      <c r="Q5" s="1" t="n">
        <v>1</v>
      </c>
      <c r="R5" s="1" t="s">
        <v>490</v>
      </c>
      <c r="S5" s="1" t="n">
        <v>20251126174721</v>
      </c>
      <c r="T5" s="2" t="s">
        <v>491</v>
      </c>
      <c r="U5" s="2" t="s">
        <v>492</v>
      </c>
      <c r="X5" s="2" t="n">
        <v>334914</v>
      </c>
      <c r="Y5" s="1" t="n">
        <v>1.5</v>
      </c>
      <c r="Z5" s="1" t="n">
        <v>5</v>
      </c>
    </row>
    <row r="6" customFormat="false" ht="18.7" hidden="false" customHeight="true" outlineLevel="0" collapsed="false">
      <c r="A6" s="1" t="n">
        <v>5</v>
      </c>
      <c r="B6" s="7" t="str">
        <f aca="false">HYPERLINK("https://mncourtfraud.com/file/27-CR-19-26893.pdf","27-CR-19-26893")</f>
        <v>27-CR-19-26893</v>
      </c>
      <c r="C6" s="1" t="n">
        <v>1</v>
      </c>
      <c r="D6" s="2" t="s">
        <v>12</v>
      </c>
      <c r="E6" s="8" t="n">
        <v>44225</v>
      </c>
      <c r="F6" s="2" t="s">
        <v>15</v>
      </c>
      <c r="G6" s="7" t="str">
        <f aca="false">HYPERLINK("https://mncourtfraud.com/file/MCRO_27-CR-19-26893_Order-Evaluation for Competency to Proceed (Rule 20.01)_2021-01-29_20251126174927.pdf","MCRO_27-CR-19-26893_Order-Evaluation for Competency to Proceed (Rule 20.01)_2021-01-29_20251126174927.pdf")</f>
        <v>MCRO_27-CR-19-26893_Order-Evaluation for Competency to Proceed (Rule 20.01)_2021-01-29_20251126174927.pdf</v>
      </c>
      <c r="H6" s="2" t="s">
        <v>465</v>
      </c>
      <c r="I6" s="2" t="s">
        <v>466</v>
      </c>
      <c r="J6" s="2" t="s">
        <v>467</v>
      </c>
      <c r="K6" s="2" t="s">
        <v>468</v>
      </c>
      <c r="L6" s="2" t="s">
        <v>469</v>
      </c>
      <c r="M6" s="8" t="n">
        <v>44225</v>
      </c>
      <c r="N6" s="1" t="s">
        <v>493</v>
      </c>
      <c r="O6" s="1" t="n">
        <v>0</v>
      </c>
      <c r="P6" s="1" t="s">
        <v>494</v>
      </c>
      <c r="Q6" s="1" t="n">
        <v>0</v>
      </c>
      <c r="R6" s="1" t="s">
        <v>495</v>
      </c>
      <c r="S6" s="1" t="n">
        <v>20251126174927</v>
      </c>
      <c r="T6" s="2" t="s">
        <v>496</v>
      </c>
      <c r="U6" s="2" t="s">
        <v>497</v>
      </c>
      <c r="X6" s="2" t="n">
        <v>454205</v>
      </c>
      <c r="Y6" s="1" t="n">
        <v>1.6</v>
      </c>
      <c r="Z6" s="1" t="n">
        <v>2</v>
      </c>
      <c r="AA6" s="9" t="s">
        <v>475</v>
      </c>
    </row>
    <row r="7" customFormat="false" ht="18.7" hidden="false" customHeight="true" outlineLevel="0" collapsed="false">
      <c r="A7" s="1" t="n">
        <v>6</v>
      </c>
      <c r="B7" s="7" t="str">
        <f aca="false">HYPERLINK("https://mncourtfraud.com/file/27-CR-19-26893.pdf","27-CR-19-26893")</f>
        <v>27-CR-19-26893</v>
      </c>
      <c r="C7" s="1" t="n">
        <v>1</v>
      </c>
      <c r="D7" s="2" t="s">
        <v>12</v>
      </c>
      <c r="E7" s="8" t="n">
        <v>44396</v>
      </c>
      <c r="F7" s="2" t="s">
        <v>15</v>
      </c>
      <c r="G7" s="7" t="str">
        <f aca="false">HYPERLINK("https://mncourtfraud.com/file/MCRO_27-CR-19-26893_Order-Evaluation for Competency to Proceed (Rule 20.01)_2021-07-19_20251126174939.pdf","MCRO_27-CR-19-26893_Order-Evaluation for Competency to Proceed (Rule 20.01)_2021-07-19_20251126174939.pdf")</f>
        <v>MCRO_27-CR-19-26893_Order-Evaluation for Competency to Proceed (Rule 20.01)_2021-07-19_20251126174939.pdf</v>
      </c>
      <c r="J7" s="2" t="s">
        <v>498</v>
      </c>
      <c r="K7" s="2" t="s">
        <v>499</v>
      </c>
      <c r="L7" s="2" t="s">
        <v>469</v>
      </c>
      <c r="M7" s="8" t="n">
        <v>44396</v>
      </c>
      <c r="N7" s="1" t="s">
        <v>500</v>
      </c>
      <c r="O7" s="1" t="n">
        <v>0</v>
      </c>
      <c r="P7" s="1" t="s">
        <v>500</v>
      </c>
      <c r="Q7" s="1" t="n">
        <v>0</v>
      </c>
      <c r="R7" s="1" t="s">
        <v>501</v>
      </c>
      <c r="S7" s="1" t="n">
        <v>20251126174939</v>
      </c>
      <c r="T7" s="2" t="s">
        <v>502</v>
      </c>
      <c r="U7" s="2" t="s">
        <v>502</v>
      </c>
      <c r="X7" s="2" t="n">
        <v>197313</v>
      </c>
      <c r="Y7" s="1" t="n">
        <v>1.7</v>
      </c>
      <c r="Z7" s="1" t="n">
        <v>2</v>
      </c>
      <c r="AA7" s="9" t="s">
        <v>475</v>
      </c>
    </row>
    <row r="8" customFormat="false" ht="18.7" hidden="false" customHeight="true" outlineLevel="0" collapsed="false">
      <c r="A8" s="1" t="n">
        <v>7</v>
      </c>
      <c r="B8" s="7" t="str">
        <f aca="false">HYPERLINK("https://mncourtfraud.com/file/27-CR-19-26893.pdf","27-CR-19-26893")</f>
        <v>27-CR-19-26893</v>
      </c>
      <c r="C8" s="1" t="n">
        <v>1</v>
      </c>
      <c r="D8" s="2" t="s">
        <v>12</v>
      </c>
      <c r="E8" s="8" t="n">
        <v>44439</v>
      </c>
      <c r="F8" s="2" t="s">
        <v>19</v>
      </c>
      <c r="G8" s="7" t="str">
        <f aca="false">HYPERLINK("https://mncourtfraud.com/file/MCRO_27-CR-19-26893_Findings and Order_2021-08-31_20251126174732.pdf","MCRO_27-CR-19-26893_Findings and Order_2021-08-31_20251126174732.pdf")</f>
        <v>MCRO_27-CR-19-26893_Findings and Order_2021-08-31_20251126174732.pdf</v>
      </c>
      <c r="H8" s="2" t="s">
        <v>503</v>
      </c>
      <c r="I8" s="2" t="s">
        <v>503</v>
      </c>
      <c r="J8" s="2" t="s">
        <v>467</v>
      </c>
      <c r="K8" s="2" t="s">
        <v>468</v>
      </c>
      <c r="L8" s="2" t="s">
        <v>469</v>
      </c>
      <c r="M8" s="8" t="n">
        <v>44439</v>
      </c>
      <c r="N8" s="1" t="s">
        <v>504</v>
      </c>
      <c r="O8" s="1" t="n">
        <v>0</v>
      </c>
      <c r="P8" s="1" t="s">
        <v>505</v>
      </c>
      <c r="Q8" s="1" t="n">
        <v>0</v>
      </c>
      <c r="R8" s="1" t="s">
        <v>506</v>
      </c>
      <c r="S8" s="1" t="n">
        <v>20251126174732</v>
      </c>
      <c r="T8" s="2" t="s">
        <v>507</v>
      </c>
      <c r="U8" s="2" t="s">
        <v>508</v>
      </c>
      <c r="W8" s="2" t="s">
        <v>509</v>
      </c>
      <c r="X8" s="2" t="n">
        <v>375490</v>
      </c>
      <c r="Y8" s="1" t="n">
        <v>1.7</v>
      </c>
      <c r="Z8" s="1" t="n">
        <v>7</v>
      </c>
      <c r="AA8" s="9" t="s">
        <v>475</v>
      </c>
    </row>
    <row r="9" customFormat="false" ht="18.7" hidden="false" customHeight="true" outlineLevel="0" collapsed="false">
      <c r="A9" s="1" t="n">
        <v>8</v>
      </c>
      <c r="B9" s="7" t="str">
        <f aca="false">HYPERLINK("https://mncourtfraud.com/file/27-CR-19-26893.pdf","27-CR-19-26893")</f>
        <v>27-CR-19-26893</v>
      </c>
      <c r="C9" s="1" t="n">
        <v>1</v>
      </c>
      <c r="D9" s="2" t="s">
        <v>12</v>
      </c>
      <c r="E9" s="8" t="n">
        <v>44460</v>
      </c>
      <c r="F9" s="2" t="s">
        <v>24</v>
      </c>
      <c r="G9" s="7" t="str">
        <f aca="false">HYPERLINK("https://mncourtfraud.com/file/MCRO_27-CR-19-26893_Order for Conditional Release_2021-09-21_20251126174758.pdf","MCRO_27-CR-19-26893_Order for Conditional Release_2021-09-21_20251126174758.pdf")</f>
        <v>MCRO_27-CR-19-26893_Order for Conditional Release_2021-09-21_20251126174758.pdf</v>
      </c>
      <c r="I9" s="2" t="s">
        <v>481</v>
      </c>
      <c r="J9" s="2" t="s">
        <v>481</v>
      </c>
      <c r="K9" s="2" t="s">
        <v>482</v>
      </c>
      <c r="L9" s="2" t="s">
        <v>469</v>
      </c>
      <c r="M9" s="8" t="n">
        <v>44460</v>
      </c>
      <c r="N9" s="1" t="s">
        <v>510</v>
      </c>
      <c r="O9" s="1" t="n">
        <v>0</v>
      </c>
      <c r="P9" s="1" t="s">
        <v>511</v>
      </c>
      <c r="Q9" s="1" t="n">
        <v>0</v>
      </c>
      <c r="R9" s="1" t="s">
        <v>512</v>
      </c>
      <c r="S9" s="1" t="n">
        <v>20251126174758</v>
      </c>
      <c r="T9" s="2" t="s">
        <v>513</v>
      </c>
      <c r="U9" s="2" t="s">
        <v>514</v>
      </c>
      <c r="X9" s="2" t="n">
        <v>105849</v>
      </c>
      <c r="Y9" s="1" t="n">
        <v>1.5</v>
      </c>
      <c r="Z9" s="1" t="n">
        <v>1</v>
      </c>
    </row>
    <row r="10" customFormat="false" ht="18.7" hidden="false" customHeight="true" outlineLevel="0" collapsed="false">
      <c r="A10" s="1" t="n">
        <v>9</v>
      </c>
      <c r="B10" s="7" t="str">
        <f aca="false">HYPERLINK("https://mncourtfraud.com/file/27-CR-19-26893.pdf","27-CR-19-26893")</f>
        <v>27-CR-19-26893</v>
      </c>
      <c r="C10" s="1" t="n">
        <v>1</v>
      </c>
      <c r="D10" s="2" t="s">
        <v>12</v>
      </c>
      <c r="E10" s="8" t="n">
        <v>44468</v>
      </c>
      <c r="F10" s="2" t="s">
        <v>24</v>
      </c>
      <c r="G10" s="7" t="str">
        <f aca="false">HYPERLINK("https://mncourtfraud.com/file/MCRO_27-CR-19-26893_Order for Conditional Release_2021-09-29_20251126174746.pdf","MCRO_27-CR-19-26893_Order for Conditional Release_2021-09-29_20251126174746.pdf")</f>
        <v>MCRO_27-CR-19-26893_Order for Conditional Release_2021-09-29_20251126174746.pdf</v>
      </c>
      <c r="I10" s="2" t="s">
        <v>481</v>
      </c>
      <c r="J10" s="2" t="s">
        <v>481</v>
      </c>
      <c r="K10" s="2" t="s">
        <v>482</v>
      </c>
      <c r="L10" s="2" t="s">
        <v>469</v>
      </c>
      <c r="M10" s="8" t="n">
        <v>44468</v>
      </c>
      <c r="N10" s="1" t="s">
        <v>515</v>
      </c>
      <c r="O10" s="1" t="n">
        <v>0</v>
      </c>
      <c r="P10" s="1" t="s">
        <v>516</v>
      </c>
      <c r="Q10" s="1" t="n">
        <v>0</v>
      </c>
      <c r="R10" s="1" t="s">
        <v>517</v>
      </c>
      <c r="S10" s="1" t="n">
        <v>20251126174746</v>
      </c>
      <c r="T10" s="2" t="s">
        <v>513</v>
      </c>
      <c r="U10" s="2" t="s">
        <v>518</v>
      </c>
      <c r="X10" s="2" t="n">
        <v>151812</v>
      </c>
      <c r="Y10" s="1" t="n">
        <v>1.6</v>
      </c>
      <c r="Z10" s="1" t="n">
        <v>1</v>
      </c>
    </row>
    <row r="11" customFormat="false" ht="18.7" hidden="false" customHeight="true" outlineLevel="0" collapsed="false">
      <c r="A11" s="1" t="n">
        <v>10</v>
      </c>
      <c r="B11" s="7" t="str">
        <f aca="false">HYPERLINK("https://mncourtfraud.com/file/27-CR-19-26893.pdf","27-CR-19-26893")</f>
        <v>27-CR-19-26893</v>
      </c>
      <c r="C11" s="1" t="n">
        <v>1</v>
      </c>
      <c r="D11" s="2" t="s">
        <v>12</v>
      </c>
      <c r="E11" s="8" t="n">
        <v>44543</v>
      </c>
      <c r="F11" s="2" t="s">
        <v>15</v>
      </c>
      <c r="G11" s="7" t="str">
        <f aca="false">HYPERLINK("https://mncourtfraud.com/file/MCRO_27-CR-19-26893_Order-Evaluation for Competency to Proceed (Rule 20.01)_2021-12-13_20251126174821.pdf","MCRO_27-CR-19-26893_Order-Evaluation for Competency to Proceed (Rule 20.01)_2021-12-13_20251126174821.pdf")</f>
        <v>MCRO_27-CR-19-26893_Order-Evaluation for Competency to Proceed (Rule 20.01)_2021-12-13_20251126174821.pdf</v>
      </c>
      <c r="H11" s="2" t="s">
        <v>465</v>
      </c>
      <c r="I11" s="2" t="s">
        <v>466</v>
      </c>
      <c r="J11" s="2" t="s">
        <v>519</v>
      </c>
      <c r="K11" s="2" t="s">
        <v>520</v>
      </c>
      <c r="L11" s="2" t="s">
        <v>469</v>
      </c>
      <c r="M11" s="8" t="n">
        <v>44543</v>
      </c>
      <c r="N11" s="1" t="s">
        <v>521</v>
      </c>
      <c r="O11" s="1" t="n">
        <v>0</v>
      </c>
      <c r="P11" s="1" t="s">
        <v>522</v>
      </c>
      <c r="Q11" s="1" t="n">
        <v>0</v>
      </c>
      <c r="R11" s="1" t="s">
        <v>523</v>
      </c>
      <c r="S11" s="1" t="n">
        <v>20251126174821</v>
      </c>
      <c r="T11" s="2" t="s">
        <v>524</v>
      </c>
      <c r="U11" s="2" t="s">
        <v>525</v>
      </c>
      <c r="X11" s="2" t="n">
        <v>233840</v>
      </c>
      <c r="Y11" s="1" t="n">
        <v>1.7</v>
      </c>
      <c r="Z11" s="1" t="n">
        <v>2</v>
      </c>
      <c r="AA11" s="9" t="s">
        <v>475</v>
      </c>
    </row>
    <row r="12" customFormat="false" ht="18.7" hidden="false" customHeight="true" outlineLevel="0" collapsed="false">
      <c r="A12" s="1" t="n">
        <v>11</v>
      </c>
      <c r="B12" s="7" t="str">
        <f aca="false">HYPERLINK("https://mncourtfraud.com/file/27-CR-19-26893.pdf","27-CR-19-26893")</f>
        <v>27-CR-19-26893</v>
      </c>
      <c r="C12" s="1" t="n">
        <v>1</v>
      </c>
      <c r="D12" s="2" t="s">
        <v>12</v>
      </c>
      <c r="E12" s="8" t="n">
        <v>44558</v>
      </c>
      <c r="F12" s="2" t="s">
        <v>15</v>
      </c>
      <c r="G12" s="7" t="str">
        <f aca="false">HYPERLINK("https://mncourtfraud.com/file/MCRO_27-CR-19-26893_Order-Evaluation for Competency to Proceed (Rule 20.01)_2021-12-28_20251126174832.pdf","MCRO_27-CR-19-26893_Order-Evaluation for Competency to Proceed (Rule 20.01)_2021-12-28_20251126174832.pdf")</f>
        <v>MCRO_27-CR-19-26893_Order-Evaluation for Competency to Proceed (Rule 20.01)_2021-12-28_20251126174832.pdf</v>
      </c>
      <c r="J12" s="2" t="s">
        <v>498</v>
      </c>
      <c r="K12" s="2" t="s">
        <v>499</v>
      </c>
      <c r="L12" s="2" t="s">
        <v>469</v>
      </c>
      <c r="M12" s="8" t="n">
        <v>44558</v>
      </c>
      <c r="N12" s="1" t="s">
        <v>526</v>
      </c>
      <c r="O12" s="1" t="n">
        <v>0</v>
      </c>
      <c r="P12" s="1" t="s">
        <v>526</v>
      </c>
      <c r="Q12" s="1" t="n">
        <v>0</v>
      </c>
      <c r="R12" s="1" t="s">
        <v>527</v>
      </c>
      <c r="S12" s="1" t="n">
        <v>20251126174832</v>
      </c>
      <c r="T12" s="2" t="s">
        <v>528</v>
      </c>
      <c r="U12" s="2" t="s">
        <v>528</v>
      </c>
      <c r="X12" s="2" t="n">
        <v>242646</v>
      </c>
      <c r="Y12" s="1" t="n">
        <v>1.7</v>
      </c>
      <c r="Z12" s="1" t="n">
        <v>3</v>
      </c>
      <c r="AA12" s="9" t="s">
        <v>475</v>
      </c>
    </row>
    <row r="13" customFormat="false" ht="18.7" hidden="false" customHeight="true" outlineLevel="0" collapsed="false">
      <c r="A13" s="1" t="n">
        <v>12</v>
      </c>
      <c r="B13" s="7" t="str">
        <f aca="false">HYPERLINK("https://mncourtfraud.com/file/27-CR-19-26893.pdf","27-CR-19-26893")</f>
        <v>27-CR-19-26893</v>
      </c>
      <c r="C13" s="1" t="n">
        <v>1</v>
      </c>
      <c r="D13" s="2" t="s">
        <v>12</v>
      </c>
      <c r="E13" s="8" t="n">
        <v>44593</v>
      </c>
      <c r="F13" s="2" t="s">
        <v>19</v>
      </c>
      <c r="G13" s="7" t="str">
        <f aca="false">HYPERLINK("https://mncourtfraud.com/file/MCRO_27-CR-19-26893_Findings and Order_2022-02-01_20251126174710.pdf","MCRO_27-CR-19-26893_Findings and Order_2022-02-01_20251126174710.pdf")</f>
        <v>MCRO_27-CR-19-26893_Findings and Order_2022-02-01_20251126174710.pdf</v>
      </c>
      <c r="H13" s="2" t="s">
        <v>503</v>
      </c>
      <c r="I13" s="2" t="s">
        <v>503</v>
      </c>
      <c r="J13" s="2" t="s">
        <v>519</v>
      </c>
      <c r="K13" s="2" t="s">
        <v>520</v>
      </c>
      <c r="L13" s="2" t="s">
        <v>469</v>
      </c>
      <c r="M13" s="8" t="n">
        <v>44593</v>
      </c>
      <c r="N13" s="1" t="s">
        <v>529</v>
      </c>
      <c r="O13" s="1" t="n">
        <v>0</v>
      </c>
      <c r="P13" s="1" t="s">
        <v>530</v>
      </c>
      <c r="Q13" s="1" t="n">
        <v>0</v>
      </c>
      <c r="R13" s="1" t="s">
        <v>531</v>
      </c>
      <c r="S13" s="1" t="n">
        <v>20251126174710</v>
      </c>
      <c r="T13" s="2" t="s">
        <v>532</v>
      </c>
      <c r="U13" s="2" t="s">
        <v>533</v>
      </c>
      <c r="W13" s="2" t="s">
        <v>509</v>
      </c>
      <c r="X13" s="2" t="n">
        <v>361786</v>
      </c>
      <c r="Y13" s="1" t="n">
        <v>1.7</v>
      </c>
      <c r="Z13" s="1" t="n">
        <v>7</v>
      </c>
      <c r="AA13" s="9" t="s">
        <v>475</v>
      </c>
    </row>
    <row r="14" customFormat="false" ht="18.7" hidden="false" customHeight="true" outlineLevel="0" collapsed="false">
      <c r="A14" s="1" t="n">
        <v>13</v>
      </c>
      <c r="B14" s="7" t="str">
        <f aca="false">HYPERLINK("https://mncourtfraud.com/file/27-CR-19-26893.pdf","27-CR-19-26893")</f>
        <v>27-CR-19-26893</v>
      </c>
      <c r="C14" s="1" t="n">
        <v>1</v>
      </c>
      <c r="D14" s="2" t="s">
        <v>12</v>
      </c>
      <c r="E14" s="8" t="n">
        <v>44692</v>
      </c>
      <c r="F14" s="2" t="s">
        <v>15</v>
      </c>
      <c r="G14" s="7" t="str">
        <f aca="false">HYPERLINK("https://mncourtfraud.com/file/MCRO_27-CR-19-26893_Order-Evaluation for Competency to Proceed (Rule 20.01)_2022-05-11_20251126174846.pdf","MCRO_27-CR-19-26893_Order-Evaluation for Competency to Proceed (Rule 20.01)_2022-05-11_20251126174846.pdf")</f>
        <v>MCRO_27-CR-19-26893_Order-Evaluation for Competency to Proceed (Rule 20.01)_2022-05-11_20251126174846.pdf</v>
      </c>
      <c r="H14" s="2" t="s">
        <v>534</v>
      </c>
      <c r="I14" s="2" t="s">
        <v>534</v>
      </c>
      <c r="J14" s="2" t="s">
        <v>535</v>
      </c>
      <c r="K14" s="2" t="s">
        <v>536</v>
      </c>
      <c r="L14" s="2" t="s">
        <v>469</v>
      </c>
      <c r="M14" s="8" t="n">
        <v>44692</v>
      </c>
      <c r="N14" s="1" t="s">
        <v>537</v>
      </c>
      <c r="O14" s="1" t="n">
        <v>0</v>
      </c>
      <c r="P14" s="1" t="s">
        <v>538</v>
      </c>
      <c r="Q14" s="1" t="n">
        <v>0</v>
      </c>
      <c r="R14" s="1" t="s">
        <v>539</v>
      </c>
      <c r="S14" s="1" t="n">
        <v>20251126174846</v>
      </c>
      <c r="T14" s="2" t="s">
        <v>540</v>
      </c>
      <c r="U14" s="2" t="s">
        <v>541</v>
      </c>
      <c r="W14" s="2" t="s">
        <v>542</v>
      </c>
      <c r="X14" s="2" t="n">
        <v>239814</v>
      </c>
      <c r="Y14" s="1" t="n">
        <v>1.6</v>
      </c>
      <c r="Z14" s="1" t="n">
        <v>2</v>
      </c>
    </row>
    <row r="15" customFormat="false" ht="18.7" hidden="false" customHeight="true" outlineLevel="0" collapsed="false">
      <c r="A15" s="1" t="n">
        <v>14</v>
      </c>
      <c r="B15" s="7" t="str">
        <f aca="false">HYPERLINK("https://mncourtfraud.com/file/27-CR-19-26893.pdf","27-CR-19-26893")</f>
        <v>27-CR-19-26893</v>
      </c>
      <c r="C15" s="1" t="n">
        <v>1</v>
      </c>
      <c r="D15" s="2" t="s">
        <v>12</v>
      </c>
      <c r="E15" s="8" t="n">
        <v>44895</v>
      </c>
      <c r="F15" s="2" t="s">
        <v>15</v>
      </c>
      <c r="G15" s="7" t="str">
        <f aca="false">HYPERLINK("https://mncourtfraud.com/file/MCRO_27-CR-19-26893_Order-Evaluation for Competency to Proceed (Rule 20.01)_2022-11-30_20251126174859.pdf","MCRO_27-CR-19-26893_Order-Evaluation for Competency to Proceed (Rule 20.01)_2022-11-30_20251126174859.pdf")</f>
        <v>MCRO_27-CR-19-26893_Order-Evaluation for Competency to Proceed (Rule 20.01)_2022-11-30_20251126174859.pdf</v>
      </c>
      <c r="H15" s="2" t="s">
        <v>543</v>
      </c>
      <c r="I15" s="2" t="s">
        <v>544</v>
      </c>
      <c r="J15" s="2" t="s">
        <v>519</v>
      </c>
      <c r="K15" s="2" t="s">
        <v>520</v>
      </c>
      <c r="L15" s="2" t="s">
        <v>469</v>
      </c>
      <c r="M15" s="8" t="n">
        <v>44895</v>
      </c>
      <c r="N15" s="1" t="s">
        <v>545</v>
      </c>
      <c r="O15" s="1" t="n">
        <v>0</v>
      </c>
      <c r="P15" s="1" t="s">
        <v>546</v>
      </c>
      <c r="Q15" s="1" t="n">
        <v>0</v>
      </c>
      <c r="R15" s="1" t="s">
        <v>547</v>
      </c>
      <c r="S15" s="1" t="n">
        <v>20251126174859</v>
      </c>
      <c r="T15" s="2" t="s">
        <v>548</v>
      </c>
      <c r="U15" s="2" t="s">
        <v>549</v>
      </c>
      <c r="X15" s="2" t="n">
        <v>816996</v>
      </c>
      <c r="Y15" s="1" t="n">
        <v>1.7</v>
      </c>
      <c r="Z15" s="1" t="n">
        <v>2</v>
      </c>
      <c r="AA15" s="9" t="s">
        <v>475</v>
      </c>
    </row>
    <row r="16" customFormat="false" ht="18.7" hidden="false" customHeight="true" outlineLevel="0" collapsed="false">
      <c r="A16" s="1" t="n">
        <v>15</v>
      </c>
      <c r="B16" s="7" t="str">
        <f aca="false">HYPERLINK("https://mncourtfraud.com/file/27-CR-19-4578.pdf","27-CR-19-4578")</f>
        <v>27-CR-19-4578</v>
      </c>
      <c r="C16" s="1" t="n">
        <v>1</v>
      </c>
      <c r="D16" s="2" t="s">
        <v>12</v>
      </c>
      <c r="E16" s="8" t="n">
        <v>43844</v>
      </c>
      <c r="F16" s="2" t="s">
        <v>13</v>
      </c>
      <c r="G16" s="7" t="str">
        <f aca="false">HYPERLINK("https://mncourtfraud.com/file/MCRO_27-CR-19-4578_Find of Fact-Order, Pet Commitment-Dfd Found Incompetent_2020-01-14_20251126175028.pdf","MCRO_27-CR-19-4578_Find of Fact-Order, Pet Commitment-Dfd Found Incompetent_2020-01-14_20251126175028.pdf")</f>
        <v>MCRO_27-CR-19-4578_Find of Fact-Order, Pet Commitment-Dfd Found Incompetent_2020-01-14_20251126175028.pdf</v>
      </c>
      <c r="H16" s="2" t="s">
        <v>465</v>
      </c>
      <c r="I16" s="2" t="s">
        <v>466</v>
      </c>
      <c r="J16" s="2" t="s">
        <v>467</v>
      </c>
      <c r="K16" s="2" t="s">
        <v>468</v>
      </c>
      <c r="L16" s="2" t="s">
        <v>469</v>
      </c>
      <c r="M16" s="8" t="n">
        <v>43844</v>
      </c>
      <c r="N16" s="1" t="s">
        <v>470</v>
      </c>
      <c r="O16" s="1" t="n">
        <v>0</v>
      </c>
      <c r="P16" s="1" t="s">
        <v>471</v>
      </c>
      <c r="Q16" s="1" t="n">
        <v>0</v>
      </c>
      <c r="R16" s="1" t="s">
        <v>550</v>
      </c>
      <c r="S16" s="1" t="n">
        <v>20251126175028</v>
      </c>
      <c r="T16" s="2" t="s">
        <v>473</v>
      </c>
      <c r="U16" s="2" t="s">
        <v>474</v>
      </c>
      <c r="X16" s="2" t="n">
        <v>232657</v>
      </c>
      <c r="Y16" s="1" t="n">
        <v>1.5</v>
      </c>
      <c r="Z16" s="1" t="n">
        <v>5</v>
      </c>
      <c r="AA16" s="9" t="s">
        <v>475</v>
      </c>
    </row>
    <row r="17" customFormat="false" ht="18.7" hidden="false" customHeight="true" outlineLevel="0" collapsed="false">
      <c r="A17" s="1" t="n">
        <v>16</v>
      </c>
      <c r="B17" s="7" t="str">
        <f aca="false">HYPERLINK("https://mncourtfraud.com/file/27-CR-19-4578.pdf","27-CR-19-4578")</f>
        <v>27-CR-19-4578</v>
      </c>
      <c r="C17" s="1" t="n">
        <v>1</v>
      </c>
      <c r="D17" s="2" t="s">
        <v>12</v>
      </c>
      <c r="E17" s="8" t="n">
        <v>43902</v>
      </c>
      <c r="F17" s="2" t="s">
        <v>15</v>
      </c>
      <c r="G17" s="7" t="str">
        <f aca="false">HYPERLINK("https://mncourtfraud.com/file/MCRO_27-CR-19-4578_Order-Evaluation for Competency to Proceed (Rule 20.01)_2020-03-12_20251126175310.pdf","MCRO_27-CR-19-4578_Order-Evaluation for Competency to Proceed (Rule 20.01)_2020-03-12_20251126175310.pdf")</f>
        <v>MCRO_27-CR-19-4578_Order-Evaluation for Competency to Proceed (Rule 20.01)_2020-03-12_20251126175310.pdf</v>
      </c>
      <c r="J17" s="2" t="s">
        <v>476</v>
      </c>
      <c r="K17" s="2" t="s">
        <v>477</v>
      </c>
      <c r="L17" s="2" t="s">
        <v>469</v>
      </c>
      <c r="M17" s="8" t="n">
        <v>43902</v>
      </c>
      <c r="N17" s="1" t="s">
        <v>551</v>
      </c>
      <c r="O17" s="1" t="n">
        <v>6</v>
      </c>
      <c r="P17" s="1" t="s">
        <v>551</v>
      </c>
      <c r="Q17" s="1" t="n">
        <v>6</v>
      </c>
      <c r="R17" s="1" t="s">
        <v>552</v>
      </c>
      <c r="S17" s="1" t="n">
        <v>20251126175310</v>
      </c>
      <c r="T17" s="2" t="s">
        <v>553</v>
      </c>
      <c r="U17" s="2" t="s">
        <v>553</v>
      </c>
      <c r="X17" s="2" t="n">
        <v>1186589</v>
      </c>
      <c r="Y17" s="1" t="n">
        <v>1.7</v>
      </c>
      <c r="Z17" s="1" t="n">
        <v>2</v>
      </c>
      <c r="AA17" s="9" t="s">
        <v>475</v>
      </c>
    </row>
    <row r="18" customFormat="false" ht="18.7" hidden="false" customHeight="true" outlineLevel="0" collapsed="false">
      <c r="A18" s="1" t="n">
        <v>17</v>
      </c>
      <c r="B18" s="7" t="str">
        <f aca="false">HYPERLINK("https://mncourtfraud.com/file/27-CR-19-4578.pdf","27-CR-19-4578")</f>
        <v>27-CR-19-4578</v>
      </c>
      <c r="C18" s="1" t="n">
        <v>1</v>
      </c>
      <c r="D18" s="2" t="s">
        <v>12</v>
      </c>
      <c r="E18" s="8" t="n">
        <v>43970</v>
      </c>
      <c r="F18" s="2" t="s">
        <v>17</v>
      </c>
      <c r="G18" s="7" t="str">
        <f aca="false">HYPERLINK("https://mncourtfraud.com/file/MCRO_27-CR-19-4578_Returned Mail_2020-05-19_20251126175340.pdf","MCRO_27-CR-19-4578_Returned Mail_2020-05-19_20251126175340.pdf")</f>
        <v>MCRO_27-CR-19-4578_Returned Mail_2020-05-19_20251126175340.pdf</v>
      </c>
      <c r="I18" s="2" t="s">
        <v>481</v>
      </c>
      <c r="J18" s="2" t="s">
        <v>481</v>
      </c>
      <c r="K18" s="2" t="s">
        <v>482</v>
      </c>
      <c r="L18" s="2" t="s">
        <v>469</v>
      </c>
      <c r="M18" s="8" t="n">
        <v>43970</v>
      </c>
      <c r="N18" s="1" t="s">
        <v>483</v>
      </c>
      <c r="O18" s="1" t="n">
        <v>0</v>
      </c>
      <c r="P18" s="1" t="s">
        <v>554</v>
      </c>
      <c r="Q18" s="1" t="n">
        <v>0</v>
      </c>
      <c r="R18" s="1" t="s">
        <v>555</v>
      </c>
      <c r="S18" s="1" t="n">
        <v>20251126175340</v>
      </c>
      <c r="T18" s="2" t="s">
        <v>486</v>
      </c>
      <c r="U18" s="2" t="s">
        <v>556</v>
      </c>
      <c r="X18" s="2" t="n">
        <v>262926</v>
      </c>
      <c r="Y18" s="1" t="n">
        <v>1.6</v>
      </c>
      <c r="Z18" s="1" t="n">
        <v>1</v>
      </c>
    </row>
    <row r="19" customFormat="false" ht="18.7" hidden="false" customHeight="true" outlineLevel="0" collapsed="false">
      <c r="A19" s="1" t="n">
        <v>18</v>
      </c>
      <c r="B19" s="7" t="str">
        <f aca="false">HYPERLINK("https://mncourtfraud.com/file/27-CR-19-4578.pdf","27-CR-19-4578")</f>
        <v>27-CR-19-4578</v>
      </c>
      <c r="C19" s="1" t="n">
        <v>1</v>
      </c>
      <c r="D19" s="2" t="s">
        <v>12</v>
      </c>
      <c r="E19" s="8" t="n">
        <v>44103</v>
      </c>
      <c r="F19" s="2" t="s">
        <v>19</v>
      </c>
      <c r="G19" s="7" t="str">
        <f aca="false">HYPERLINK("https://mncourtfraud.com/file/MCRO_27-CR-19-4578_Findings and Order_2020-09-29_20251126175057.pdf","MCRO_27-CR-19-4578_Findings and Order_2020-09-29_20251126175057.pdf")</f>
        <v>MCRO_27-CR-19-4578_Findings and Order_2020-09-29_20251126175057.pdf</v>
      </c>
      <c r="I19" s="2" t="s">
        <v>481</v>
      </c>
      <c r="J19" s="2" t="s">
        <v>481</v>
      </c>
      <c r="K19" s="2" t="s">
        <v>482</v>
      </c>
      <c r="L19" s="2" t="s">
        <v>469</v>
      </c>
      <c r="M19" s="8" t="n">
        <v>44103</v>
      </c>
      <c r="N19" s="1" t="s">
        <v>488</v>
      </c>
      <c r="O19" s="1" t="n">
        <v>1</v>
      </c>
      <c r="P19" s="1" t="s">
        <v>489</v>
      </c>
      <c r="Q19" s="1" t="n">
        <v>1</v>
      </c>
      <c r="R19" s="1" t="s">
        <v>557</v>
      </c>
      <c r="S19" s="1" t="n">
        <v>20251126175057</v>
      </c>
      <c r="T19" s="2" t="s">
        <v>491</v>
      </c>
      <c r="U19" s="2" t="s">
        <v>492</v>
      </c>
      <c r="X19" s="2" t="n">
        <v>334802</v>
      </c>
      <c r="Y19" s="1" t="n">
        <v>1.5</v>
      </c>
      <c r="Z19" s="1" t="n">
        <v>5</v>
      </c>
    </row>
    <row r="20" customFormat="false" ht="18.7" hidden="false" customHeight="true" outlineLevel="0" collapsed="false">
      <c r="A20" s="1" t="n">
        <v>19</v>
      </c>
      <c r="B20" s="7" t="str">
        <f aca="false">HYPERLINK("https://mncourtfraud.com/file/27-CR-19-4578.pdf","27-CR-19-4578")</f>
        <v>27-CR-19-4578</v>
      </c>
      <c r="C20" s="1" t="n">
        <v>1</v>
      </c>
      <c r="D20" s="2" t="s">
        <v>12</v>
      </c>
      <c r="E20" s="8" t="n">
        <v>44225</v>
      </c>
      <c r="F20" s="2" t="s">
        <v>15</v>
      </c>
      <c r="G20" s="7" t="str">
        <f aca="false">HYPERLINK("https://mncourtfraud.com/file/MCRO_27-CR-19-4578_Order-Evaluation for Competency to Proceed (Rule 20.01)_2021-01-29_20251126175321.pdf","MCRO_27-CR-19-4578_Order-Evaluation for Competency to Proceed (Rule 20.01)_2021-01-29_20251126175321.pdf")</f>
        <v>MCRO_27-CR-19-4578_Order-Evaluation for Competency to Proceed (Rule 20.01)_2021-01-29_20251126175321.pdf</v>
      </c>
      <c r="H20" s="2" t="s">
        <v>465</v>
      </c>
      <c r="I20" s="2" t="s">
        <v>466</v>
      </c>
      <c r="J20" s="2" t="s">
        <v>467</v>
      </c>
      <c r="K20" s="2" t="s">
        <v>468</v>
      </c>
      <c r="L20" s="2" t="s">
        <v>469</v>
      </c>
      <c r="M20" s="8" t="n">
        <v>44225</v>
      </c>
      <c r="N20" s="1" t="s">
        <v>493</v>
      </c>
      <c r="O20" s="1" t="n">
        <v>0</v>
      </c>
      <c r="P20" s="1" t="s">
        <v>558</v>
      </c>
      <c r="Q20" s="1" t="n">
        <v>0</v>
      </c>
      <c r="R20" s="1" t="s">
        <v>559</v>
      </c>
      <c r="S20" s="1" t="n">
        <v>20251126175321</v>
      </c>
      <c r="T20" s="2" t="s">
        <v>496</v>
      </c>
      <c r="U20" s="2" t="s">
        <v>560</v>
      </c>
      <c r="X20" s="2" t="n">
        <v>454204</v>
      </c>
      <c r="Y20" s="1" t="n">
        <v>1.6</v>
      </c>
      <c r="Z20" s="1" t="n">
        <v>2</v>
      </c>
      <c r="AA20" s="9" t="s">
        <v>475</v>
      </c>
    </row>
    <row r="21" customFormat="false" ht="18.7" hidden="false" customHeight="true" outlineLevel="0" collapsed="false">
      <c r="A21" s="1" t="n">
        <v>20</v>
      </c>
      <c r="B21" s="7" t="str">
        <f aca="false">HYPERLINK("https://mncourtfraud.com/file/27-CR-19-4578.pdf","27-CR-19-4578")</f>
        <v>27-CR-19-4578</v>
      </c>
      <c r="C21" s="1" t="n">
        <v>1</v>
      </c>
      <c r="D21" s="2" t="s">
        <v>12</v>
      </c>
      <c r="E21" s="8" t="n">
        <v>44396</v>
      </c>
      <c r="F21" s="2" t="s">
        <v>15</v>
      </c>
      <c r="G21" s="7" t="str">
        <f aca="false">HYPERLINK("https://mncourtfraud.com/file/MCRO_27-CR-19-4578_Order-Evaluation for Competency to Proceed (Rule 20.01)_2021-07-19_20251126175155.pdf","MCRO_27-CR-19-4578_Order-Evaluation for Competency to Proceed (Rule 20.01)_2021-07-19_20251126175155.pdf")</f>
        <v>MCRO_27-CR-19-4578_Order-Evaluation for Competency to Proceed (Rule 20.01)_2021-07-19_20251126175155.pdf</v>
      </c>
      <c r="J21" s="2" t="s">
        <v>498</v>
      </c>
      <c r="K21" s="2" t="s">
        <v>499</v>
      </c>
      <c r="L21" s="2" t="s">
        <v>469</v>
      </c>
      <c r="M21" s="8" t="n">
        <v>44396</v>
      </c>
      <c r="N21" s="1" t="s">
        <v>561</v>
      </c>
      <c r="O21" s="1" t="n">
        <v>0</v>
      </c>
      <c r="P21" s="1" t="s">
        <v>561</v>
      </c>
      <c r="Q21" s="1" t="n">
        <v>0</v>
      </c>
      <c r="R21" s="1" t="s">
        <v>562</v>
      </c>
      <c r="S21" s="1" t="n">
        <v>20251126175155</v>
      </c>
      <c r="T21" s="2" t="s">
        <v>563</v>
      </c>
      <c r="U21" s="2" t="s">
        <v>563</v>
      </c>
      <c r="X21" s="2" t="n">
        <v>194851</v>
      </c>
      <c r="Y21" s="1" t="n">
        <v>1.7</v>
      </c>
      <c r="Z21" s="1" t="n">
        <v>2</v>
      </c>
      <c r="AA21" s="9" t="s">
        <v>475</v>
      </c>
    </row>
    <row r="22" customFormat="false" ht="18.7" hidden="false" customHeight="true" outlineLevel="0" collapsed="false">
      <c r="A22" s="1" t="n">
        <v>21</v>
      </c>
      <c r="B22" s="7" t="str">
        <f aca="false">HYPERLINK("https://mncourtfraud.com/file/27-CR-19-4578.pdf","27-CR-19-4578")</f>
        <v>27-CR-19-4578</v>
      </c>
      <c r="C22" s="1" t="n">
        <v>1</v>
      </c>
      <c r="D22" s="2" t="s">
        <v>12</v>
      </c>
      <c r="E22" s="8" t="n">
        <v>44439</v>
      </c>
      <c r="F22" s="2" t="s">
        <v>19</v>
      </c>
      <c r="G22" s="7" t="str">
        <f aca="false">HYPERLINK("https://mncourtfraud.com/file/MCRO_27-CR-19-4578_Findings and Order_2021-08-31_20251126175106.pdf","MCRO_27-CR-19-4578_Findings and Order_2021-08-31_20251126175106.pdf")</f>
        <v>MCRO_27-CR-19-4578_Findings and Order_2021-08-31_20251126175106.pdf</v>
      </c>
      <c r="H22" s="2" t="s">
        <v>503</v>
      </c>
      <c r="I22" s="2" t="s">
        <v>503</v>
      </c>
      <c r="J22" s="2" t="s">
        <v>467</v>
      </c>
      <c r="K22" s="2" t="s">
        <v>468</v>
      </c>
      <c r="L22" s="2" t="s">
        <v>469</v>
      </c>
      <c r="M22" s="8" t="n">
        <v>44439</v>
      </c>
      <c r="N22" s="1" t="s">
        <v>504</v>
      </c>
      <c r="O22" s="1" t="n">
        <v>0</v>
      </c>
      <c r="P22" s="1" t="s">
        <v>505</v>
      </c>
      <c r="Q22" s="1" t="n">
        <v>0</v>
      </c>
      <c r="R22" s="1" t="s">
        <v>564</v>
      </c>
      <c r="S22" s="1" t="n">
        <v>20251126175106</v>
      </c>
      <c r="T22" s="2" t="s">
        <v>507</v>
      </c>
      <c r="U22" s="2" t="s">
        <v>508</v>
      </c>
      <c r="W22" s="2" t="s">
        <v>509</v>
      </c>
      <c r="X22" s="2" t="n">
        <v>375485</v>
      </c>
      <c r="Y22" s="1" t="n">
        <v>1.7</v>
      </c>
      <c r="Z22" s="1" t="n">
        <v>7</v>
      </c>
      <c r="AA22" s="9" t="s">
        <v>475</v>
      </c>
    </row>
    <row r="23" customFormat="false" ht="18.7" hidden="false" customHeight="true" outlineLevel="0" collapsed="false">
      <c r="A23" s="1" t="n">
        <v>22</v>
      </c>
      <c r="B23" s="7" t="str">
        <f aca="false">HYPERLINK("https://mncourtfraud.com/file/27-CR-19-4578.pdf","27-CR-19-4578")</f>
        <v>27-CR-19-4578</v>
      </c>
      <c r="C23" s="1" t="n">
        <v>1</v>
      </c>
      <c r="D23" s="2" t="s">
        <v>12</v>
      </c>
      <c r="E23" s="8" t="n">
        <v>44460</v>
      </c>
      <c r="F23" s="2" t="s">
        <v>24</v>
      </c>
      <c r="G23" s="7" t="str">
        <f aca="false">HYPERLINK("https://mncourtfraud.com/file/MCRO_27-CR-19-4578_Order for Conditional Release_2021-09-21_20251126175125.pdf","MCRO_27-CR-19-4578_Order for Conditional Release_2021-09-21_20251126175125.pdf")</f>
        <v>MCRO_27-CR-19-4578_Order for Conditional Release_2021-09-21_20251126175125.pdf</v>
      </c>
      <c r="I23" s="2" t="s">
        <v>481</v>
      </c>
      <c r="J23" s="2" t="s">
        <v>481</v>
      </c>
      <c r="K23" s="2" t="s">
        <v>482</v>
      </c>
      <c r="L23" s="2" t="s">
        <v>469</v>
      </c>
      <c r="M23" s="8" t="n">
        <v>44460</v>
      </c>
      <c r="N23" s="1" t="s">
        <v>510</v>
      </c>
      <c r="O23" s="1" t="n">
        <v>0</v>
      </c>
      <c r="P23" s="1" t="s">
        <v>511</v>
      </c>
      <c r="Q23" s="1" t="n">
        <v>0</v>
      </c>
      <c r="R23" s="1" t="s">
        <v>565</v>
      </c>
      <c r="S23" s="1" t="n">
        <v>20251126175125</v>
      </c>
      <c r="T23" s="2" t="s">
        <v>513</v>
      </c>
      <c r="U23" s="2" t="s">
        <v>514</v>
      </c>
      <c r="X23" s="2" t="n">
        <v>105848</v>
      </c>
      <c r="Y23" s="1" t="n">
        <v>1.5</v>
      </c>
      <c r="Z23" s="1" t="n">
        <v>1</v>
      </c>
    </row>
    <row r="24" customFormat="false" ht="18.7" hidden="false" customHeight="true" outlineLevel="0" collapsed="false">
      <c r="A24" s="1" t="n">
        <v>23</v>
      </c>
      <c r="B24" s="7" t="str">
        <f aca="false">HYPERLINK("https://mncourtfraud.com/file/27-CR-19-4578.pdf","27-CR-19-4578")</f>
        <v>27-CR-19-4578</v>
      </c>
      <c r="C24" s="1" t="n">
        <v>1</v>
      </c>
      <c r="D24" s="2" t="s">
        <v>12</v>
      </c>
      <c r="E24" s="8" t="n">
        <v>44468</v>
      </c>
      <c r="F24" s="2" t="s">
        <v>24</v>
      </c>
      <c r="G24" s="7" t="str">
        <f aca="false">HYPERLINK("https://mncourtfraud.com/file/MCRO_27-CR-19-4578_Order for Conditional Release_2021-09-29_20251126175138.pdf","MCRO_27-CR-19-4578_Order for Conditional Release_2021-09-29_20251126175138.pdf")</f>
        <v>MCRO_27-CR-19-4578_Order for Conditional Release_2021-09-29_20251126175138.pdf</v>
      </c>
      <c r="I24" s="2" t="s">
        <v>481</v>
      </c>
      <c r="J24" s="2" t="s">
        <v>481</v>
      </c>
      <c r="K24" s="2" t="s">
        <v>482</v>
      </c>
      <c r="L24" s="2" t="s">
        <v>469</v>
      </c>
      <c r="M24" s="8" t="n">
        <v>44468</v>
      </c>
      <c r="N24" s="1" t="s">
        <v>515</v>
      </c>
      <c r="O24" s="1" t="n">
        <v>0</v>
      </c>
      <c r="P24" s="1" t="s">
        <v>516</v>
      </c>
      <c r="Q24" s="1" t="n">
        <v>0</v>
      </c>
      <c r="R24" s="1" t="s">
        <v>566</v>
      </c>
      <c r="S24" s="1" t="n">
        <v>20251126175138</v>
      </c>
      <c r="T24" s="2" t="s">
        <v>513</v>
      </c>
      <c r="U24" s="2" t="s">
        <v>518</v>
      </c>
      <c r="X24" s="2" t="n">
        <v>151810</v>
      </c>
      <c r="Y24" s="1" t="n">
        <v>1.6</v>
      </c>
      <c r="Z24" s="1" t="n">
        <v>1</v>
      </c>
    </row>
    <row r="25" customFormat="false" ht="18.7" hidden="false" customHeight="true" outlineLevel="0" collapsed="false">
      <c r="A25" s="1" t="n">
        <v>24</v>
      </c>
      <c r="B25" s="7" t="str">
        <f aca="false">HYPERLINK("https://mncourtfraud.com/file/27-CR-19-4578.pdf","27-CR-19-4578")</f>
        <v>27-CR-19-4578</v>
      </c>
      <c r="C25" s="1" t="n">
        <v>1</v>
      </c>
      <c r="D25" s="2" t="s">
        <v>12</v>
      </c>
      <c r="E25" s="8" t="n">
        <v>44543</v>
      </c>
      <c r="F25" s="2" t="s">
        <v>15</v>
      </c>
      <c r="G25" s="7" t="str">
        <f aca="false">HYPERLINK("https://mncourtfraud.com/file/MCRO_27-CR-19-4578_Order-Evaluation for Competency to Proceed (Rule 20.01)_2021-12-13_20251126175209.pdf","MCRO_27-CR-19-4578_Order-Evaluation for Competency to Proceed (Rule 20.01)_2021-12-13_20251126175209.pdf")</f>
        <v>MCRO_27-CR-19-4578_Order-Evaluation for Competency to Proceed (Rule 20.01)_2021-12-13_20251126175209.pdf</v>
      </c>
      <c r="H25" s="2" t="s">
        <v>465</v>
      </c>
      <c r="I25" s="2" t="s">
        <v>466</v>
      </c>
      <c r="J25" s="2" t="s">
        <v>519</v>
      </c>
      <c r="K25" s="2" t="s">
        <v>520</v>
      </c>
      <c r="L25" s="2" t="s">
        <v>469</v>
      </c>
      <c r="M25" s="8" t="n">
        <v>44543</v>
      </c>
      <c r="N25" s="1" t="s">
        <v>521</v>
      </c>
      <c r="O25" s="1" t="n">
        <v>0</v>
      </c>
      <c r="P25" s="1" t="s">
        <v>567</v>
      </c>
      <c r="Q25" s="1" t="n">
        <v>0</v>
      </c>
      <c r="R25" s="1" t="s">
        <v>568</v>
      </c>
      <c r="S25" s="1" t="n">
        <v>20251126175209</v>
      </c>
      <c r="T25" s="2" t="s">
        <v>524</v>
      </c>
      <c r="U25" s="2" t="s">
        <v>569</v>
      </c>
      <c r="X25" s="2" t="n">
        <v>233850</v>
      </c>
      <c r="Y25" s="1" t="n">
        <v>1.7</v>
      </c>
      <c r="Z25" s="1" t="n">
        <v>2</v>
      </c>
      <c r="AA25" s="9" t="s">
        <v>475</v>
      </c>
    </row>
    <row r="26" customFormat="false" ht="18.7" hidden="false" customHeight="true" outlineLevel="0" collapsed="false">
      <c r="A26" s="1" t="n">
        <v>25</v>
      </c>
      <c r="B26" s="7" t="str">
        <f aca="false">HYPERLINK("https://mncourtfraud.com/file/27-CR-19-4578.pdf","27-CR-19-4578")</f>
        <v>27-CR-19-4578</v>
      </c>
      <c r="C26" s="1" t="n">
        <v>1</v>
      </c>
      <c r="D26" s="2" t="s">
        <v>12</v>
      </c>
      <c r="E26" s="8" t="n">
        <v>44558</v>
      </c>
      <c r="F26" s="2" t="s">
        <v>15</v>
      </c>
      <c r="G26" s="7" t="str">
        <f aca="false">HYPERLINK("https://mncourtfraud.com/file/MCRO_27-CR-19-4578_Order-Evaluation for Competency to Proceed (Rule 20.01)_2021-12-28_20251126175221.pdf","MCRO_27-CR-19-4578_Order-Evaluation for Competency to Proceed (Rule 20.01)_2021-12-28_20251126175221.pdf")</f>
        <v>MCRO_27-CR-19-4578_Order-Evaluation for Competency to Proceed (Rule 20.01)_2021-12-28_20251126175221.pdf</v>
      </c>
      <c r="J26" s="2" t="s">
        <v>498</v>
      </c>
      <c r="K26" s="2" t="s">
        <v>499</v>
      </c>
      <c r="L26" s="2" t="s">
        <v>469</v>
      </c>
      <c r="M26" s="8" t="n">
        <v>44558</v>
      </c>
      <c r="N26" s="1" t="s">
        <v>570</v>
      </c>
      <c r="O26" s="1" t="n">
        <v>0</v>
      </c>
      <c r="P26" s="1" t="s">
        <v>570</v>
      </c>
      <c r="Q26" s="1" t="n">
        <v>0</v>
      </c>
      <c r="R26" s="1" t="s">
        <v>571</v>
      </c>
      <c r="S26" s="1" t="n">
        <v>20251126175221</v>
      </c>
      <c r="T26" s="2" t="s">
        <v>572</v>
      </c>
      <c r="U26" s="2" t="s">
        <v>572</v>
      </c>
      <c r="X26" s="2" t="n">
        <v>238921</v>
      </c>
      <c r="Y26" s="1" t="n">
        <v>1.7</v>
      </c>
      <c r="Z26" s="1" t="n">
        <v>3</v>
      </c>
      <c r="AA26" s="9" t="s">
        <v>475</v>
      </c>
    </row>
    <row r="27" customFormat="false" ht="18.7" hidden="false" customHeight="true" outlineLevel="0" collapsed="false">
      <c r="A27" s="1" t="n">
        <v>26</v>
      </c>
      <c r="B27" s="7" t="str">
        <f aca="false">HYPERLINK("https://mncourtfraud.com/file/27-CR-19-4578.pdf","27-CR-19-4578")</f>
        <v>27-CR-19-4578</v>
      </c>
      <c r="C27" s="1" t="n">
        <v>1</v>
      </c>
      <c r="D27" s="2" t="s">
        <v>12</v>
      </c>
      <c r="E27" s="8" t="n">
        <v>44593</v>
      </c>
      <c r="F27" s="2" t="s">
        <v>19</v>
      </c>
      <c r="G27" s="7" t="str">
        <f aca="false">HYPERLINK("https://mncourtfraud.com/file/MCRO_27-CR-19-4578_Findings and Order_2022-02-01_20251126175043.pdf","MCRO_27-CR-19-4578_Findings and Order_2022-02-01_20251126175043.pdf")</f>
        <v>MCRO_27-CR-19-4578_Findings and Order_2022-02-01_20251126175043.pdf</v>
      </c>
      <c r="H27" s="2" t="s">
        <v>503</v>
      </c>
      <c r="I27" s="2" t="s">
        <v>503</v>
      </c>
      <c r="J27" s="2" t="s">
        <v>519</v>
      </c>
      <c r="K27" s="2" t="s">
        <v>520</v>
      </c>
      <c r="L27" s="2" t="s">
        <v>469</v>
      </c>
      <c r="M27" s="8" t="n">
        <v>44593</v>
      </c>
      <c r="N27" s="1" t="s">
        <v>529</v>
      </c>
      <c r="O27" s="1" t="n">
        <v>0</v>
      </c>
      <c r="P27" s="1" t="s">
        <v>530</v>
      </c>
      <c r="Q27" s="1" t="n">
        <v>0</v>
      </c>
      <c r="R27" s="1" t="s">
        <v>573</v>
      </c>
      <c r="S27" s="1" t="n">
        <v>20251126175043</v>
      </c>
      <c r="T27" s="2" t="s">
        <v>532</v>
      </c>
      <c r="U27" s="2" t="s">
        <v>533</v>
      </c>
      <c r="W27" s="2" t="s">
        <v>509</v>
      </c>
      <c r="X27" s="2" t="n">
        <v>361787</v>
      </c>
      <c r="Y27" s="1" t="n">
        <v>1.7</v>
      </c>
      <c r="Z27" s="1" t="n">
        <v>7</v>
      </c>
      <c r="AA27" s="9" t="s">
        <v>475</v>
      </c>
    </row>
    <row r="28" customFormat="false" ht="18.7" hidden="false" customHeight="true" outlineLevel="0" collapsed="false">
      <c r="A28" s="1" t="n">
        <v>27</v>
      </c>
      <c r="B28" s="7" t="str">
        <f aca="false">HYPERLINK("https://mncourtfraud.com/file/27-CR-19-4578.pdf","27-CR-19-4578")</f>
        <v>27-CR-19-4578</v>
      </c>
      <c r="C28" s="1" t="n">
        <v>1</v>
      </c>
      <c r="D28" s="2" t="s">
        <v>12</v>
      </c>
      <c r="E28" s="8" t="n">
        <v>44692</v>
      </c>
      <c r="F28" s="2" t="s">
        <v>15</v>
      </c>
      <c r="G28" s="7" t="str">
        <f aca="false">HYPERLINK("https://mncourtfraud.com/file/MCRO_27-CR-19-4578_Order-Evaluation for Competency to Proceed (Rule 20.01)_2022-05-11_20251126175233.pdf","MCRO_27-CR-19-4578_Order-Evaluation for Competency to Proceed (Rule 20.01)_2022-05-11_20251126175233.pdf")</f>
        <v>MCRO_27-CR-19-4578_Order-Evaluation for Competency to Proceed (Rule 20.01)_2022-05-11_20251126175233.pdf</v>
      </c>
      <c r="H28" s="2" t="s">
        <v>534</v>
      </c>
      <c r="I28" s="2" t="s">
        <v>534</v>
      </c>
      <c r="J28" s="2" t="s">
        <v>535</v>
      </c>
      <c r="K28" s="2" t="s">
        <v>536</v>
      </c>
      <c r="L28" s="2" t="s">
        <v>469</v>
      </c>
      <c r="M28" s="8" t="n">
        <v>44692</v>
      </c>
      <c r="N28" s="1" t="s">
        <v>537</v>
      </c>
      <c r="O28" s="1" t="n">
        <v>0</v>
      </c>
      <c r="P28" s="1" t="s">
        <v>574</v>
      </c>
      <c r="Q28" s="1" t="n">
        <v>0</v>
      </c>
      <c r="R28" s="1" t="s">
        <v>575</v>
      </c>
      <c r="S28" s="1" t="n">
        <v>20251126175233</v>
      </c>
      <c r="T28" s="2" t="s">
        <v>540</v>
      </c>
      <c r="U28" s="2" t="s">
        <v>576</v>
      </c>
      <c r="W28" s="2" t="s">
        <v>542</v>
      </c>
      <c r="X28" s="2" t="n">
        <v>239814</v>
      </c>
      <c r="Y28" s="1" t="n">
        <v>1.6</v>
      </c>
      <c r="Z28" s="1" t="n">
        <v>2</v>
      </c>
    </row>
    <row r="29" customFormat="false" ht="18.7" hidden="false" customHeight="true" outlineLevel="0" collapsed="false">
      <c r="A29" s="1" t="n">
        <v>28</v>
      </c>
      <c r="B29" s="7" t="str">
        <f aca="false">HYPERLINK("https://mncourtfraud.com/file/27-CR-19-4578.pdf","27-CR-19-4578")</f>
        <v>27-CR-19-4578</v>
      </c>
      <c r="C29" s="1" t="n">
        <v>1</v>
      </c>
      <c r="D29" s="2" t="s">
        <v>12</v>
      </c>
      <c r="E29" s="8" t="n">
        <v>44895</v>
      </c>
      <c r="F29" s="2" t="s">
        <v>15</v>
      </c>
      <c r="G29" s="7" t="str">
        <f aca="false">HYPERLINK("https://mncourtfraud.com/file/MCRO_27-CR-19-4578_Order-Evaluation for Competency to Proceed (Rule 20.01)_2022-11-30_20251126175245.pdf","MCRO_27-CR-19-4578_Order-Evaluation for Competency to Proceed (Rule 20.01)_2022-11-30_20251126175245.pdf")</f>
        <v>MCRO_27-CR-19-4578_Order-Evaluation for Competency to Proceed (Rule 20.01)_2022-11-30_20251126175245.pdf</v>
      </c>
      <c r="H29" s="2" t="s">
        <v>543</v>
      </c>
      <c r="I29" s="2" t="s">
        <v>544</v>
      </c>
      <c r="J29" s="2" t="s">
        <v>519</v>
      </c>
      <c r="K29" s="2" t="s">
        <v>520</v>
      </c>
      <c r="L29" s="2" t="s">
        <v>469</v>
      </c>
      <c r="M29" s="8" t="n">
        <v>44895</v>
      </c>
      <c r="N29" s="1" t="s">
        <v>545</v>
      </c>
      <c r="O29" s="1" t="n">
        <v>0</v>
      </c>
      <c r="P29" s="1" t="s">
        <v>546</v>
      </c>
      <c r="Q29" s="1" t="n">
        <v>0</v>
      </c>
      <c r="R29" s="1" t="s">
        <v>577</v>
      </c>
      <c r="S29" s="1" t="n">
        <v>20251126175245</v>
      </c>
      <c r="T29" s="2" t="s">
        <v>548</v>
      </c>
      <c r="U29" s="2" t="s">
        <v>549</v>
      </c>
      <c r="X29" s="2" t="n">
        <v>816998</v>
      </c>
      <c r="Y29" s="1" t="n">
        <v>1.7</v>
      </c>
      <c r="Z29" s="1" t="n">
        <v>2</v>
      </c>
      <c r="AA29" s="9" t="s">
        <v>475</v>
      </c>
    </row>
    <row r="30" customFormat="false" ht="18.7" hidden="false" customHeight="true" outlineLevel="0" collapsed="false">
      <c r="A30" s="1" t="n">
        <v>29</v>
      </c>
      <c r="B30" s="7" t="str">
        <f aca="false">HYPERLINK("https://mncourtfraud.com/file/27-CR-19-5875.pdf","27-CR-19-5875")</f>
        <v>27-CR-19-5875</v>
      </c>
      <c r="C30" s="1" t="n">
        <v>1</v>
      </c>
      <c r="D30" s="2" t="s">
        <v>12</v>
      </c>
      <c r="E30" s="8" t="n">
        <v>43844</v>
      </c>
      <c r="F30" s="2" t="s">
        <v>13</v>
      </c>
      <c r="G30" s="7" t="str">
        <f aca="false">HYPERLINK("https://mncourtfraud.com/file/MCRO_27-CR-19-5875_Find of Fact-Order, Pet Commitment-Dfd Found Incompetent_2020-01-14_20251126175409.pdf","MCRO_27-CR-19-5875_Find of Fact-Order, Pet Commitment-Dfd Found Incompetent_2020-01-14_20251126175409.pdf")</f>
        <v>MCRO_27-CR-19-5875_Find of Fact-Order, Pet Commitment-Dfd Found Incompetent_2020-01-14_20251126175409.pdf</v>
      </c>
      <c r="H30" s="2" t="s">
        <v>465</v>
      </c>
      <c r="I30" s="2" t="s">
        <v>466</v>
      </c>
      <c r="J30" s="2" t="s">
        <v>467</v>
      </c>
      <c r="K30" s="2" t="s">
        <v>468</v>
      </c>
      <c r="L30" s="2" t="s">
        <v>469</v>
      </c>
      <c r="M30" s="8" t="n">
        <v>43844</v>
      </c>
      <c r="N30" s="1" t="s">
        <v>470</v>
      </c>
      <c r="O30" s="1" t="n">
        <v>0</v>
      </c>
      <c r="P30" s="1" t="s">
        <v>471</v>
      </c>
      <c r="Q30" s="1" t="n">
        <v>0</v>
      </c>
      <c r="R30" s="1" t="s">
        <v>578</v>
      </c>
      <c r="S30" s="1" t="n">
        <v>20251126175409</v>
      </c>
      <c r="T30" s="2" t="s">
        <v>473</v>
      </c>
      <c r="U30" s="2" t="s">
        <v>474</v>
      </c>
      <c r="X30" s="2" t="n">
        <v>232654</v>
      </c>
      <c r="Y30" s="1" t="n">
        <v>1.5</v>
      </c>
      <c r="Z30" s="1" t="n">
        <v>5</v>
      </c>
      <c r="AA30" s="9" t="s">
        <v>475</v>
      </c>
    </row>
    <row r="31" customFormat="false" ht="18.7" hidden="false" customHeight="true" outlineLevel="0" collapsed="false">
      <c r="A31" s="1" t="n">
        <v>30</v>
      </c>
      <c r="B31" s="7" t="str">
        <f aca="false">HYPERLINK("https://mncourtfraud.com/file/27-CR-19-5875.pdf","27-CR-19-5875")</f>
        <v>27-CR-19-5875</v>
      </c>
      <c r="C31" s="1" t="n">
        <v>1</v>
      </c>
      <c r="D31" s="2" t="s">
        <v>12</v>
      </c>
      <c r="E31" s="8" t="n">
        <v>43902</v>
      </c>
      <c r="F31" s="2" t="s">
        <v>15</v>
      </c>
      <c r="G31" s="7" t="str">
        <f aca="false">HYPERLINK("https://mncourtfraud.com/file/MCRO_27-CR-19-5875_Order-Evaluation for Competency to Proceed (Rule 20.01)_2020-03-12_20251126175636.pdf","MCRO_27-CR-19-5875_Order-Evaluation for Competency to Proceed (Rule 20.01)_2020-03-12_20251126175636.pdf")</f>
        <v>MCRO_27-CR-19-5875_Order-Evaluation for Competency to Proceed (Rule 20.01)_2020-03-12_20251126175636.pdf</v>
      </c>
      <c r="J31" s="2" t="s">
        <v>476</v>
      </c>
      <c r="K31" s="2" t="s">
        <v>477</v>
      </c>
      <c r="L31" s="2" t="s">
        <v>469</v>
      </c>
      <c r="M31" s="8" t="n">
        <v>43902</v>
      </c>
      <c r="N31" s="1" t="s">
        <v>579</v>
      </c>
      <c r="O31" s="1" t="n">
        <v>6</v>
      </c>
      <c r="P31" s="1" t="s">
        <v>579</v>
      </c>
      <c r="Q31" s="1" t="n">
        <v>6</v>
      </c>
      <c r="R31" s="1" t="s">
        <v>580</v>
      </c>
      <c r="S31" s="1" t="n">
        <v>20251126175636</v>
      </c>
      <c r="T31" s="2" t="s">
        <v>581</v>
      </c>
      <c r="U31" s="2" t="s">
        <v>581</v>
      </c>
      <c r="X31" s="2" t="n">
        <v>1176478</v>
      </c>
      <c r="Y31" s="1" t="n">
        <v>1.7</v>
      </c>
      <c r="Z31" s="1" t="n">
        <v>2</v>
      </c>
      <c r="AA31" s="9" t="s">
        <v>475</v>
      </c>
    </row>
    <row r="32" customFormat="false" ht="18.7" hidden="false" customHeight="true" outlineLevel="0" collapsed="false">
      <c r="A32" s="1" t="n">
        <v>31</v>
      </c>
      <c r="B32" s="7" t="str">
        <f aca="false">HYPERLINK("https://mncourtfraud.com/file/27-CR-19-5875.pdf","27-CR-19-5875")</f>
        <v>27-CR-19-5875</v>
      </c>
      <c r="C32" s="1" t="n">
        <v>1</v>
      </c>
      <c r="D32" s="2" t="s">
        <v>12</v>
      </c>
      <c r="E32" s="8" t="n">
        <v>43970</v>
      </c>
      <c r="F32" s="2" t="s">
        <v>17</v>
      </c>
      <c r="G32" s="7" t="str">
        <f aca="false">HYPERLINK("https://mncourtfraud.com/file/MCRO_27-CR-19-5875_Returned Mail_2020-05-19_20251126175700.pdf","MCRO_27-CR-19-5875_Returned Mail_2020-05-19_20251126175700.pdf")</f>
        <v>MCRO_27-CR-19-5875_Returned Mail_2020-05-19_20251126175700.pdf</v>
      </c>
      <c r="I32" s="2" t="s">
        <v>481</v>
      </c>
      <c r="J32" s="2" t="s">
        <v>481</v>
      </c>
      <c r="K32" s="2" t="s">
        <v>482</v>
      </c>
      <c r="L32" s="2" t="s">
        <v>469</v>
      </c>
      <c r="M32" s="8" t="n">
        <v>43970</v>
      </c>
      <c r="N32" s="1" t="s">
        <v>483</v>
      </c>
      <c r="O32" s="1" t="n">
        <v>0</v>
      </c>
      <c r="P32" s="1" t="s">
        <v>582</v>
      </c>
      <c r="Q32" s="1" t="n">
        <v>0</v>
      </c>
      <c r="R32" s="1" t="s">
        <v>583</v>
      </c>
      <c r="S32" s="1" t="n">
        <v>20251126175700</v>
      </c>
      <c r="T32" s="2" t="s">
        <v>486</v>
      </c>
      <c r="U32" s="2" t="s">
        <v>584</v>
      </c>
      <c r="X32" s="2" t="n">
        <v>262933</v>
      </c>
      <c r="Y32" s="1" t="n">
        <v>1.6</v>
      </c>
      <c r="Z32" s="1" t="n">
        <v>1</v>
      </c>
    </row>
    <row r="33" customFormat="false" ht="18.7" hidden="false" customHeight="true" outlineLevel="0" collapsed="false">
      <c r="A33" s="1" t="n">
        <v>32</v>
      </c>
      <c r="B33" s="7" t="str">
        <f aca="false">HYPERLINK("https://mncourtfraud.com/file/27-CR-19-5875.pdf","27-CR-19-5875")</f>
        <v>27-CR-19-5875</v>
      </c>
      <c r="C33" s="1" t="n">
        <v>1</v>
      </c>
      <c r="D33" s="2" t="s">
        <v>12</v>
      </c>
      <c r="E33" s="8" t="n">
        <v>44103</v>
      </c>
      <c r="F33" s="2" t="s">
        <v>19</v>
      </c>
      <c r="G33" s="7" t="str">
        <f aca="false">HYPERLINK("https://mncourtfraud.com/file/MCRO_27-CR-19-5875_Findings and Order_2020-09-29_20251126175434.pdf","MCRO_27-CR-19-5875_Findings and Order_2020-09-29_20251126175434.pdf")</f>
        <v>MCRO_27-CR-19-5875_Findings and Order_2020-09-29_20251126175434.pdf</v>
      </c>
      <c r="I33" s="2" t="s">
        <v>481</v>
      </c>
      <c r="J33" s="2" t="s">
        <v>481</v>
      </c>
      <c r="K33" s="2" t="s">
        <v>482</v>
      </c>
      <c r="L33" s="2" t="s">
        <v>469</v>
      </c>
      <c r="M33" s="8" t="n">
        <v>44103</v>
      </c>
      <c r="N33" s="1" t="s">
        <v>488</v>
      </c>
      <c r="O33" s="1" t="n">
        <v>1</v>
      </c>
      <c r="P33" s="1" t="s">
        <v>489</v>
      </c>
      <c r="Q33" s="1" t="n">
        <v>1</v>
      </c>
      <c r="R33" s="1" t="s">
        <v>585</v>
      </c>
      <c r="S33" s="1" t="n">
        <v>20251126175434</v>
      </c>
      <c r="T33" s="2" t="s">
        <v>491</v>
      </c>
      <c r="U33" s="2" t="s">
        <v>492</v>
      </c>
      <c r="X33" s="2" t="n">
        <v>334916</v>
      </c>
      <c r="Y33" s="1" t="n">
        <v>1.5</v>
      </c>
      <c r="Z33" s="1" t="n">
        <v>5</v>
      </c>
    </row>
    <row r="34" customFormat="false" ht="18.7" hidden="false" customHeight="true" outlineLevel="0" collapsed="false">
      <c r="A34" s="1" t="n">
        <v>33</v>
      </c>
      <c r="B34" s="7" t="str">
        <f aca="false">HYPERLINK("https://mncourtfraud.com/file/27-CR-19-5875.pdf","27-CR-19-5875")</f>
        <v>27-CR-19-5875</v>
      </c>
      <c r="C34" s="1" t="n">
        <v>1</v>
      </c>
      <c r="D34" s="2" t="s">
        <v>12</v>
      </c>
      <c r="E34" s="8" t="n">
        <v>44225</v>
      </c>
      <c r="F34" s="2" t="s">
        <v>15</v>
      </c>
      <c r="G34" s="7" t="str">
        <f aca="false">HYPERLINK("https://mncourtfraud.com/file/MCRO_27-CR-19-5875_Order-Evaluation for Competency to Proceed (Rule 20.01)_2021-01-29_20251126175645.pdf","MCRO_27-CR-19-5875_Order-Evaluation for Competency to Proceed (Rule 20.01)_2021-01-29_20251126175645.pdf")</f>
        <v>MCRO_27-CR-19-5875_Order-Evaluation for Competency to Proceed (Rule 20.01)_2021-01-29_20251126175645.pdf</v>
      </c>
      <c r="H34" s="2" t="s">
        <v>465</v>
      </c>
      <c r="I34" s="2" t="s">
        <v>466</v>
      </c>
      <c r="J34" s="2" t="s">
        <v>467</v>
      </c>
      <c r="K34" s="2" t="s">
        <v>468</v>
      </c>
      <c r="L34" s="2" t="s">
        <v>469</v>
      </c>
      <c r="M34" s="8" t="n">
        <v>44225</v>
      </c>
      <c r="N34" s="1" t="s">
        <v>493</v>
      </c>
      <c r="O34" s="1" t="n">
        <v>0</v>
      </c>
      <c r="P34" s="1" t="s">
        <v>586</v>
      </c>
      <c r="Q34" s="1" t="n">
        <v>0</v>
      </c>
      <c r="R34" s="1" t="s">
        <v>587</v>
      </c>
      <c r="S34" s="1" t="n">
        <v>20251126175645</v>
      </c>
      <c r="T34" s="2" t="s">
        <v>496</v>
      </c>
      <c r="U34" s="2" t="s">
        <v>588</v>
      </c>
      <c r="X34" s="2" t="n">
        <v>454202</v>
      </c>
      <c r="Y34" s="1" t="n">
        <v>1.6</v>
      </c>
      <c r="Z34" s="1" t="n">
        <v>2</v>
      </c>
      <c r="AA34" s="9" t="s">
        <v>475</v>
      </c>
    </row>
    <row r="35" customFormat="false" ht="18.7" hidden="false" customHeight="true" outlineLevel="0" collapsed="false">
      <c r="A35" s="1" t="n">
        <v>34</v>
      </c>
      <c r="B35" s="7" t="str">
        <f aca="false">HYPERLINK("https://mncourtfraud.com/file/27-CR-19-5875.pdf","27-CR-19-5875")</f>
        <v>27-CR-19-5875</v>
      </c>
      <c r="C35" s="1" t="n">
        <v>1</v>
      </c>
      <c r="D35" s="2" t="s">
        <v>12</v>
      </c>
      <c r="E35" s="8" t="n">
        <v>44396</v>
      </c>
      <c r="F35" s="2" t="s">
        <v>15</v>
      </c>
      <c r="G35" s="7" t="str">
        <f aca="false">HYPERLINK("https://mncourtfraud.com/file/MCRO_27-CR-19-5875_Order-Evaluation for Competency to Proceed (Rule 20.01)_2021-07-19_20251126175529.pdf","MCRO_27-CR-19-5875_Order-Evaluation for Competency to Proceed (Rule 20.01)_2021-07-19_20251126175529.pdf")</f>
        <v>MCRO_27-CR-19-5875_Order-Evaluation for Competency to Proceed (Rule 20.01)_2021-07-19_20251126175529.pdf</v>
      </c>
      <c r="J35" s="2" t="s">
        <v>498</v>
      </c>
      <c r="K35" s="2" t="s">
        <v>499</v>
      </c>
      <c r="L35" s="2" t="s">
        <v>469</v>
      </c>
      <c r="M35" s="8" t="n">
        <v>44396</v>
      </c>
      <c r="N35" s="1" t="s">
        <v>589</v>
      </c>
      <c r="O35" s="1" t="n">
        <v>0</v>
      </c>
      <c r="P35" s="1" t="s">
        <v>589</v>
      </c>
      <c r="Q35" s="1" t="n">
        <v>0</v>
      </c>
      <c r="R35" s="1" t="s">
        <v>590</v>
      </c>
      <c r="S35" s="1" t="n">
        <v>20251126175529</v>
      </c>
      <c r="T35" s="2" t="s">
        <v>591</v>
      </c>
      <c r="U35" s="2" t="s">
        <v>591</v>
      </c>
      <c r="X35" s="2" t="n">
        <v>195077</v>
      </c>
      <c r="Y35" s="1" t="n">
        <v>1.7</v>
      </c>
      <c r="Z35" s="1" t="n">
        <v>2</v>
      </c>
      <c r="AA35" s="9" t="s">
        <v>475</v>
      </c>
    </row>
    <row r="36" customFormat="false" ht="18.7" hidden="false" customHeight="true" outlineLevel="0" collapsed="false">
      <c r="A36" s="1" t="n">
        <v>35</v>
      </c>
      <c r="B36" s="7" t="str">
        <f aca="false">HYPERLINK("https://mncourtfraud.com/file/27-CR-19-5875.pdf","27-CR-19-5875")</f>
        <v>27-CR-19-5875</v>
      </c>
      <c r="C36" s="1" t="n">
        <v>1</v>
      </c>
      <c r="D36" s="2" t="s">
        <v>12</v>
      </c>
      <c r="E36" s="8" t="n">
        <v>44439</v>
      </c>
      <c r="F36" s="2" t="s">
        <v>19</v>
      </c>
      <c r="G36" s="7" t="str">
        <f aca="false">HYPERLINK("https://mncourtfraud.com/file/MCRO_27-CR-19-5875_Findings and Order_2021-08-31_20251126175446.pdf","MCRO_27-CR-19-5875_Findings and Order_2021-08-31_20251126175446.pdf")</f>
        <v>MCRO_27-CR-19-5875_Findings and Order_2021-08-31_20251126175446.pdf</v>
      </c>
      <c r="H36" s="2" t="s">
        <v>503</v>
      </c>
      <c r="I36" s="2" t="s">
        <v>503</v>
      </c>
      <c r="J36" s="2" t="s">
        <v>467</v>
      </c>
      <c r="K36" s="2" t="s">
        <v>468</v>
      </c>
      <c r="L36" s="2" t="s">
        <v>469</v>
      </c>
      <c r="M36" s="8" t="n">
        <v>44439</v>
      </c>
      <c r="N36" s="1" t="s">
        <v>504</v>
      </c>
      <c r="O36" s="1" t="n">
        <v>0</v>
      </c>
      <c r="P36" s="1" t="s">
        <v>505</v>
      </c>
      <c r="Q36" s="1" t="n">
        <v>0</v>
      </c>
      <c r="R36" s="1" t="s">
        <v>592</v>
      </c>
      <c r="S36" s="1" t="n">
        <v>20251126175446</v>
      </c>
      <c r="T36" s="2" t="s">
        <v>507</v>
      </c>
      <c r="U36" s="2" t="s">
        <v>508</v>
      </c>
      <c r="W36" s="2" t="s">
        <v>509</v>
      </c>
      <c r="X36" s="2" t="n">
        <v>375493</v>
      </c>
      <c r="Y36" s="1" t="n">
        <v>1.7</v>
      </c>
      <c r="Z36" s="1" t="n">
        <v>7</v>
      </c>
      <c r="AA36" s="9" t="s">
        <v>475</v>
      </c>
    </row>
    <row r="37" customFormat="false" ht="18.7" hidden="false" customHeight="true" outlineLevel="0" collapsed="false">
      <c r="A37" s="1" t="n">
        <v>36</v>
      </c>
      <c r="B37" s="7" t="str">
        <f aca="false">HYPERLINK("https://mncourtfraud.com/file/27-CR-19-5875.pdf","27-CR-19-5875")</f>
        <v>27-CR-19-5875</v>
      </c>
      <c r="C37" s="1" t="n">
        <v>1</v>
      </c>
      <c r="D37" s="2" t="s">
        <v>12</v>
      </c>
      <c r="E37" s="8" t="n">
        <v>44460</v>
      </c>
      <c r="F37" s="2" t="s">
        <v>24</v>
      </c>
      <c r="G37" s="7" t="str">
        <f aca="false">HYPERLINK("https://mncourtfraud.com/file/MCRO_27-CR-19-5875_Order for Conditional Release_2021-09-21_20251126175513.pdf","MCRO_27-CR-19-5875_Order for Conditional Release_2021-09-21_20251126175513.pdf")</f>
        <v>MCRO_27-CR-19-5875_Order for Conditional Release_2021-09-21_20251126175513.pdf</v>
      </c>
      <c r="I37" s="2" t="s">
        <v>481</v>
      </c>
      <c r="J37" s="2" t="s">
        <v>481</v>
      </c>
      <c r="K37" s="2" t="s">
        <v>482</v>
      </c>
      <c r="L37" s="2" t="s">
        <v>469</v>
      </c>
      <c r="M37" s="8" t="n">
        <v>44460</v>
      </c>
      <c r="N37" s="1" t="s">
        <v>510</v>
      </c>
      <c r="O37" s="1" t="n">
        <v>0</v>
      </c>
      <c r="P37" s="1" t="s">
        <v>511</v>
      </c>
      <c r="Q37" s="1" t="n">
        <v>0</v>
      </c>
      <c r="R37" s="1" t="s">
        <v>593</v>
      </c>
      <c r="S37" s="1" t="n">
        <v>20251126175513</v>
      </c>
      <c r="T37" s="2" t="s">
        <v>513</v>
      </c>
      <c r="U37" s="2" t="s">
        <v>514</v>
      </c>
      <c r="X37" s="2" t="n">
        <v>105849</v>
      </c>
      <c r="Y37" s="1" t="n">
        <v>1.5</v>
      </c>
      <c r="Z37" s="1" t="n">
        <v>1</v>
      </c>
    </row>
    <row r="38" customFormat="false" ht="18.7" hidden="false" customHeight="true" outlineLevel="0" collapsed="false">
      <c r="A38" s="1" t="n">
        <v>37</v>
      </c>
      <c r="B38" s="7" t="str">
        <f aca="false">HYPERLINK("https://mncourtfraud.com/file/27-CR-19-5875.pdf","27-CR-19-5875")</f>
        <v>27-CR-19-5875</v>
      </c>
      <c r="C38" s="1" t="n">
        <v>1</v>
      </c>
      <c r="D38" s="2" t="s">
        <v>12</v>
      </c>
      <c r="E38" s="8" t="n">
        <v>44468</v>
      </c>
      <c r="F38" s="2" t="s">
        <v>24</v>
      </c>
      <c r="G38" s="7" t="str">
        <f aca="false">HYPERLINK("https://mncourtfraud.com/file/MCRO_27-CR-19-5875_Order for Conditional Release_2021-09-29_20251126175502.pdf","MCRO_27-CR-19-5875_Order for Conditional Release_2021-09-29_20251126175502.pdf")</f>
        <v>MCRO_27-CR-19-5875_Order for Conditional Release_2021-09-29_20251126175502.pdf</v>
      </c>
      <c r="I38" s="2" t="s">
        <v>481</v>
      </c>
      <c r="J38" s="2" t="s">
        <v>481</v>
      </c>
      <c r="K38" s="2" t="s">
        <v>482</v>
      </c>
      <c r="L38" s="2" t="s">
        <v>469</v>
      </c>
      <c r="M38" s="8" t="n">
        <v>44468</v>
      </c>
      <c r="N38" s="1" t="s">
        <v>515</v>
      </c>
      <c r="O38" s="1" t="n">
        <v>0</v>
      </c>
      <c r="P38" s="1" t="s">
        <v>516</v>
      </c>
      <c r="Q38" s="1" t="n">
        <v>0</v>
      </c>
      <c r="R38" s="1" t="s">
        <v>594</v>
      </c>
      <c r="S38" s="1" t="n">
        <v>20251126175502</v>
      </c>
      <c r="T38" s="2" t="s">
        <v>513</v>
      </c>
      <c r="U38" s="2" t="s">
        <v>518</v>
      </c>
      <c r="X38" s="2" t="n">
        <v>151812</v>
      </c>
      <c r="Y38" s="1" t="n">
        <v>1.6</v>
      </c>
      <c r="Z38" s="1" t="n">
        <v>1</v>
      </c>
    </row>
    <row r="39" customFormat="false" ht="18.7" hidden="false" customHeight="true" outlineLevel="0" collapsed="false">
      <c r="A39" s="1" t="n">
        <v>38</v>
      </c>
      <c r="B39" s="7" t="str">
        <f aca="false">HYPERLINK("https://mncourtfraud.com/file/27-CR-19-5875.pdf","27-CR-19-5875")</f>
        <v>27-CR-19-5875</v>
      </c>
      <c r="C39" s="1" t="n">
        <v>1</v>
      </c>
      <c r="D39" s="2" t="s">
        <v>12</v>
      </c>
      <c r="E39" s="8" t="n">
        <v>44543</v>
      </c>
      <c r="F39" s="2" t="s">
        <v>15</v>
      </c>
      <c r="G39" s="7" t="str">
        <f aca="false">HYPERLINK("https://mncourtfraud.com/file/MCRO_27-CR-19-5875_Order-Evaluation for Competency to Proceed (Rule 20.01)_2021-12-13_20251126175541.pdf","MCRO_27-CR-19-5875_Order-Evaluation for Competency to Proceed (Rule 20.01)_2021-12-13_20251126175541.pdf")</f>
        <v>MCRO_27-CR-19-5875_Order-Evaluation for Competency to Proceed (Rule 20.01)_2021-12-13_20251126175541.pdf</v>
      </c>
      <c r="H39" s="2" t="s">
        <v>465</v>
      </c>
      <c r="I39" s="2" t="s">
        <v>466</v>
      </c>
      <c r="J39" s="2" t="s">
        <v>519</v>
      </c>
      <c r="K39" s="2" t="s">
        <v>520</v>
      </c>
      <c r="L39" s="2" t="s">
        <v>469</v>
      </c>
      <c r="M39" s="8" t="n">
        <v>44543</v>
      </c>
      <c r="N39" s="1" t="s">
        <v>521</v>
      </c>
      <c r="O39" s="1" t="n">
        <v>0</v>
      </c>
      <c r="P39" s="1" t="s">
        <v>595</v>
      </c>
      <c r="Q39" s="1" t="n">
        <v>0</v>
      </c>
      <c r="R39" s="1" t="s">
        <v>596</v>
      </c>
      <c r="S39" s="1" t="n">
        <v>20251126175541</v>
      </c>
      <c r="T39" s="2" t="s">
        <v>524</v>
      </c>
      <c r="U39" s="2" t="s">
        <v>597</v>
      </c>
      <c r="X39" s="2" t="n">
        <v>233849</v>
      </c>
      <c r="Y39" s="1" t="n">
        <v>1.7</v>
      </c>
      <c r="Z39" s="1" t="n">
        <v>2</v>
      </c>
      <c r="AA39" s="9" t="s">
        <v>475</v>
      </c>
    </row>
    <row r="40" customFormat="false" ht="18.7" hidden="false" customHeight="true" outlineLevel="0" collapsed="false">
      <c r="A40" s="1" t="n">
        <v>39</v>
      </c>
      <c r="B40" s="7" t="str">
        <f aca="false">HYPERLINK("https://mncourtfraud.com/file/27-CR-19-5875.pdf","27-CR-19-5875")</f>
        <v>27-CR-19-5875</v>
      </c>
      <c r="C40" s="1" t="n">
        <v>1</v>
      </c>
      <c r="D40" s="2" t="s">
        <v>12</v>
      </c>
      <c r="E40" s="8" t="n">
        <v>44558</v>
      </c>
      <c r="F40" s="2" t="s">
        <v>15</v>
      </c>
      <c r="G40" s="7" t="str">
        <f aca="false">HYPERLINK("https://mncourtfraud.com/file/MCRO_27-CR-19-5875_Order-Evaluation for Competency to Proceed (Rule 20.01)_2021-12-28_20251126175553.pdf","MCRO_27-CR-19-5875_Order-Evaluation for Competency to Proceed (Rule 20.01)_2021-12-28_20251126175553.pdf")</f>
        <v>MCRO_27-CR-19-5875_Order-Evaluation for Competency to Proceed (Rule 20.01)_2021-12-28_20251126175553.pdf</v>
      </c>
      <c r="J40" s="2" t="s">
        <v>498</v>
      </c>
      <c r="K40" s="2" t="s">
        <v>499</v>
      </c>
      <c r="L40" s="2" t="s">
        <v>469</v>
      </c>
      <c r="M40" s="8" t="n">
        <v>44558</v>
      </c>
      <c r="N40" s="1" t="s">
        <v>598</v>
      </c>
      <c r="O40" s="1" t="n">
        <v>0</v>
      </c>
      <c r="P40" s="1" t="s">
        <v>598</v>
      </c>
      <c r="Q40" s="1" t="n">
        <v>0</v>
      </c>
      <c r="R40" s="1" t="s">
        <v>599</v>
      </c>
      <c r="S40" s="1" t="n">
        <v>20251126175553</v>
      </c>
      <c r="T40" s="2" t="s">
        <v>600</v>
      </c>
      <c r="U40" s="2" t="s">
        <v>600</v>
      </c>
      <c r="X40" s="2" t="n">
        <v>238983</v>
      </c>
      <c r="Y40" s="1" t="n">
        <v>1.7</v>
      </c>
      <c r="Z40" s="1" t="n">
        <v>3</v>
      </c>
      <c r="AA40" s="9" t="s">
        <v>475</v>
      </c>
    </row>
    <row r="41" customFormat="false" ht="18.7" hidden="false" customHeight="true" outlineLevel="0" collapsed="false">
      <c r="A41" s="1" t="n">
        <v>40</v>
      </c>
      <c r="B41" s="7" t="str">
        <f aca="false">HYPERLINK("https://mncourtfraud.com/file/27-CR-19-5875.pdf","27-CR-19-5875")</f>
        <v>27-CR-19-5875</v>
      </c>
      <c r="C41" s="1" t="n">
        <v>1</v>
      </c>
      <c r="D41" s="2" t="s">
        <v>12</v>
      </c>
      <c r="E41" s="8" t="n">
        <v>44593</v>
      </c>
      <c r="F41" s="2" t="s">
        <v>19</v>
      </c>
      <c r="G41" s="7" t="str">
        <f aca="false">HYPERLINK("https://mncourtfraud.com/file/MCRO_27-CR-19-5875_Findings and Order_2022-02-01_20251126175424.pdf","MCRO_27-CR-19-5875_Findings and Order_2022-02-01_20251126175424.pdf")</f>
        <v>MCRO_27-CR-19-5875_Findings and Order_2022-02-01_20251126175424.pdf</v>
      </c>
      <c r="H41" s="2" t="s">
        <v>503</v>
      </c>
      <c r="I41" s="2" t="s">
        <v>503</v>
      </c>
      <c r="J41" s="2" t="s">
        <v>519</v>
      </c>
      <c r="K41" s="2" t="s">
        <v>520</v>
      </c>
      <c r="L41" s="2" t="s">
        <v>469</v>
      </c>
      <c r="M41" s="8" t="n">
        <v>44593</v>
      </c>
      <c r="N41" s="1" t="s">
        <v>529</v>
      </c>
      <c r="O41" s="1" t="n">
        <v>0</v>
      </c>
      <c r="P41" s="1" t="s">
        <v>530</v>
      </c>
      <c r="Q41" s="1" t="n">
        <v>0</v>
      </c>
      <c r="R41" s="1" t="s">
        <v>601</v>
      </c>
      <c r="S41" s="1" t="n">
        <v>20251126175424</v>
      </c>
      <c r="T41" s="2" t="s">
        <v>532</v>
      </c>
      <c r="U41" s="2" t="s">
        <v>533</v>
      </c>
      <c r="W41" s="2" t="s">
        <v>509</v>
      </c>
      <c r="X41" s="2" t="n">
        <v>361787</v>
      </c>
      <c r="Y41" s="1" t="n">
        <v>1.7</v>
      </c>
      <c r="Z41" s="1" t="n">
        <v>7</v>
      </c>
      <c r="AA41" s="9" t="s">
        <v>475</v>
      </c>
    </row>
    <row r="42" customFormat="false" ht="18.7" hidden="false" customHeight="true" outlineLevel="0" collapsed="false">
      <c r="A42" s="1" t="n">
        <v>41</v>
      </c>
      <c r="B42" s="7" t="str">
        <f aca="false">HYPERLINK("https://mncourtfraud.com/file/27-CR-19-5875.pdf","27-CR-19-5875")</f>
        <v>27-CR-19-5875</v>
      </c>
      <c r="C42" s="1" t="n">
        <v>1</v>
      </c>
      <c r="D42" s="2" t="s">
        <v>12</v>
      </c>
      <c r="E42" s="8" t="n">
        <v>44692</v>
      </c>
      <c r="F42" s="2" t="s">
        <v>15</v>
      </c>
      <c r="G42" s="7" t="str">
        <f aca="false">HYPERLINK("https://mncourtfraud.com/file/MCRO_27-CR-19-5875_Order-Evaluation for Competency to Proceed (Rule 20.01)_2022-05-11_20251126175604.pdf","MCRO_27-CR-19-5875_Order-Evaluation for Competency to Proceed (Rule 20.01)_2022-05-11_20251126175604.pdf")</f>
        <v>MCRO_27-CR-19-5875_Order-Evaluation for Competency to Proceed (Rule 20.01)_2022-05-11_20251126175604.pdf</v>
      </c>
      <c r="H42" s="2" t="s">
        <v>534</v>
      </c>
      <c r="I42" s="2" t="s">
        <v>534</v>
      </c>
      <c r="J42" s="2" t="s">
        <v>535</v>
      </c>
      <c r="K42" s="2" t="s">
        <v>536</v>
      </c>
      <c r="L42" s="2" t="s">
        <v>469</v>
      </c>
      <c r="M42" s="8" t="n">
        <v>44692</v>
      </c>
      <c r="N42" s="1" t="s">
        <v>537</v>
      </c>
      <c r="O42" s="1" t="n">
        <v>0</v>
      </c>
      <c r="P42" s="1" t="s">
        <v>602</v>
      </c>
      <c r="Q42" s="1" t="n">
        <v>0</v>
      </c>
      <c r="R42" s="1" t="s">
        <v>603</v>
      </c>
      <c r="S42" s="1" t="n">
        <v>20251126175604</v>
      </c>
      <c r="T42" s="2" t="s">
        <v>540</v>
      </c>
      <c r="U42" s="2" t="s">
        <v>604</v>
      </c>
      <c r="W42" s="2" t="s">
        <v>542</v>
      </c>
      <c r="X42" s="2" t="n">
        <v>239817</v>
      </c>
      <c r="Y42" s="1" t="n">
        <v>1.6</v>
      </c>
      <c r="Z42" s="1" t="n">
        <v>2</v>
      </c>
    </row>
    <row r="43" customFormat="false" ht="18.7" hidden="false" customHeight="true" outlineLevel="0" collapsed="false">
      <c r="A43" s="1" t="n">
        <v>42</v>
      </c>
      <c r="B43" s="7" t="str">
        <f aca="false">HYPERLINK("https://mncourtfraud.com/file/27-CR-19-5875.pdf","27-CR-19-5875")</f>
        <v>27-CR-19-5875</v>
      </c>
      <c r="C43" s="1" t="n">
        <v>1</v>
      </c>
      <c r="D43" s="2" t="s">
        <v>12</v>
      </c>
      <c r="E43" s="8" t="n">
        <v>44895</v>
      </c>
      <c r="F43" s="2" t="s">
        <v>15</v>
      </c>
      <c r="G43" s="7" t="str">
        <f aca="false">HYPERLINK("https://mncourtfraud.com/file/MCRO_27-CR-19-5875_Order-Evaluation for Competency to Proceed (Rule 20.01)_2022-11-30_20251126175616.pdf","MCRO_27-CR-19-5875_Order-Evaluation for Competency to Proceed (Rule 20.01)_2022-11-30_20251126175616.pdf")</f>
        <v>MCRO_27-CR-19-5875_Order-Evaluation for Competency to Proceed (Rule 20.01)_2022-11-30_20251126175616.pdf</v>
      </c>
      <c r="H43" s="2" t="s">
        <v>543</v>
      </c>
      <c r="I43" s="2" t="s">
        <v>544</v>
      </c>
      <c r="J43" s="2" t="s">
        <v>519</v>
      </c>
      <c r="K43" s="2" t="s">
        <v>520</v>
      </c>
      <c r="L43" s="2" t="s">
        <v>469</v>
      </c>
      <c r="M43" s="8" t="n">
        <v>44895</v>
      </c>
      <c r="N43" s="1" t="s">
        <v>545</v>
      </c>
      <c r="O43" s="1" t="n">
        <v>0</v>
      </c>
      <c r="P43" s="1" t="s">
        <v>546</v>
      </c>
      <c r="Q43" s="1" t="n">
        <v>0</v>
      </c>
      <c r="R43" s="1" t="s">
        <v>605</v>
      </c>
      <c r="S43" s="1" t="n">
        <v>20251126175616</v>
      </c>
      <c r="T43" s="2" t="s">
        <v>548</v>
      </c>
      <c r="U43" s="2" t="s">
        <v>549</v>
      </c>
      <c r="X43" s="2" t="n">
        <v>817000</v>
      </c>
      <c r="Y43" s="1" t="n">
        <v>1.7</v>
      </c>
      <c r="Z43" s="1" t="n">
        <v>2</v>
      </c>
      <c r="AA43" s="9" t="s">
        <v>475</v>
      </c>
    </row>
    <row r="44" customFormat="false" ht="18.7" hidden="false" customHeight="true" outlineLevel="0" collapsed="false">
      <c r="A44" s="1" t="n">
        <v>43</v>
      </c>
      <c r="B44" s="7" t="str">
        <f aca="false">HYPERLINK("https://mncourtfraud.com/file/27-CR-20-14626.pdf","27-CR-20-14626")</f>
        <v>27-CR-20-14626</v>
      </c>
      <c r="C44" s="1" t="n">
        <v>1</v>
      </c>
      <c r="D44" s="2" t="s">
        <v>12</v>
      </c>
      <c r="E44" s="8" t="n">
        <v>44103</v>
      </c>
      <c r="F44" s="2" t="s">
        <v>19</v>
      </c>
      <c r="G44" s="7" t="str">
        <f aca="false">HYPERLINK("https://mncourtfraud.com/file/MCRO_27-CR-20-14626_Findings and Order_2020-09-29_20251126175748.pdf","MCRO_27-CR-20-14626_Findings and Order_2020-09-29_20251126175748.pdf")</f>
        <v>MCRO_27-CR-20-14626_Findings and Order_2020-09-29_20251126175748.pdf</v>
      </c>
      <c r="I44" s="2" t="s">
        <v>481</v>
      </c>
      <c r="J44" s="2" t="s">
        <v>481</v>
      </c>
      <c r="K44" s="2" t="s">
        <v>482</v>
      </c>
      <c r="L44" s="2" t="s">
        <v>469</v>
      </c>
      <c r="M44" s="8" t="n">
        <v>44103</v>
      </c>
      <c r="N44" s="1" t="s">
        <v>488</v>
      </c>
      <c r="O44" s="1" t="n">
        <v>1</v>
      </c>
      <c r="P44" s="1" t="s">
        <v>489</v>
      </c>
      <c r="Q44" s="1" t="n">
        <v>1</v>
      </c>
      <c r="R44" s="1" t="s">
        <v>606</v>
      </c>
      <c r="S44" s="1" t="n">
        <v>20251126175748</v>
      </c>
      <c r="T44" s="2" t="s">
        <v>491</v>
      </c>
      <c r="U44" s="2" t="s">
        <v>492</v>
      </c>
      <c r="X44" s="2" t="n">
        <v>334917</v>
      </c>
      <c r="Y44" s="1" t="n">
        <v>1.5</v>
      </c>
      <c r="Z44" s="1" t="n">
        <v>5</v>
      </c>
    </row>
    <row r="45" customFormat="false" ht="18.7" hidden="false" customHeight="true" outlineLevel="0" collapsed="false">
      <c r="A45" s="1" t="n">
        <v>44</v>
      </c>
      <c r="B45" s="7" t="str">
        <f aca="false">HYPERLINK("https://mncourtfraud.com/file/27-CR-20-14626.pdf","27-CR-20-14626")</f>
        <v>27-CR-20-14626</v>
      </c>
      <c r="C45" s="1" t="n">
        <v>1</v>
      </c>
      <c r="D45" s="2" t="s">
        <v>12</v>
      </c>
      <c r="E45" s="8" t="n">
        <v>44225</v>
      </c>
      <c r="F45" s="2" t="s">
        <v>15</v>
      </c>
      <c r="G45" s="7" t="str">
        <f aca="false">HYPERLINK("https://mncourtfraud.com/file/MCRO_27-CR-20-14626_Order-Evaluation for Competency to Proceed (Rule 20.01)_2021-01-29_20251126175944.pdf","MCRO_27-CR-20-14626_Order-Evaluation for Competency to Proceed (Rule 20.01)_2021-01-29_20251126175944.pdf")</f>
        <v>MCRO_27-CR-20-14626_Order-Evaluation for Competency to Proceed (Rule 20.01)_2021-01-29_20251126175944.pdf</v>
      </c>
      <c r="H45" s="2" t="s">
        <v>465</v>
      </c>
      <c r="I45" s="2" t="s">
        <v>466</v>
      </c>
      <c r="J45" s="2" t="s">
        <v>467</v>
      </c>
      <c r="K45" s="2" t="s">
        <v>468</v>
      </c>
      <c r="L45" s="2" t="s">
        <v>469</v>
      </c>
      <c r="M45" s="8" t="n">
        <v>44225</v>
      </c>
      <c r="N45" s="1" t="s">
        <v>493</v>
      </c>
      <c r="O45" s="1" t="n">
        <v>0</v>
      </c>
      <c r="P45" s="1" t="s">
        <v>607</v>
      </c>
      <c r="Q45" s="1" t="n">
        <v>0</v>
      </c>
      <c r="R45" s="1" t="s">
        <v>608</v>
      </c>
      <c r="S45" s="1" t="n">
        <v>20251126175944</v>
      </c>
      <c r="T45" s="2" t="s">
        <v>496</v>
      </c>
      <c r="U45" s="2" t="s">
        <v>609</v>
      </c>
      <c r="X45" s="2" t="n">
        <v>454208</v>
      </c>
      <c r="Y45" s="1" t="n">
        <v>1.6</v>
      </c>
      <c r="Z45" s="1" t="n">
        <v>2</v>
      </c>
      <c r="AA45" s="9" t="s">
        <v>475</v>
      </c>
    </row>
    <row r="46" customFormat="false" ht="18.7" hidden="false" customHeight="true" outlineLevel="0" collapsed="false">
      <c r="A46" s="1" t="n">
        <v>45</v>
      </c>
      <c r="B46" s="7" t="str">
        <f aca="false">HYPERLINK("https://mncourtfraud.com/file/27-CR-20-14626.pdf","27-CR-20-14626")</f>
        <v>27-CR-20-14626</v>
      </c>
      <c r="C46" s="1" t="n">
        <v>1</v>
      </c>
      <c r="D46" s="2" t="s">
        <v>12</v>
      </c>
      <c r="E46" s="8" t="n">
        <v>44396</v>
      </c>
      <c r="F46" s="2" t="s">
        <v>15</v>
      </c>
      <c r="G46" s="7" t="str">
        <f aca="false">HYPERLINK("https://mncourtfraud.com/file/MCRO_27-CR-20-14626_Order-Evaluation for Competency to Proceed (Rule 20.01)_2021-07-19_20251126175844.pdf","MCRO_27-CR-20-14626_Order-Evaluation for Competency to Proceed (Rule 20.01)_2021-07-19_20251126175844.pdf")</f>
        <v>MCRO_27-CR-20-14626_Order-Evaluation for Competency to Proceed (Rule 20.01)_2021-07-19_20251126175844.pdf</v>
      </c>
      <c r="J46" s="2" t="s">
        <v>498</v>
      </c>
      <c r="K46" s="2" t="s">
        <v>499</v>
      </c>
      <c r="L46" s="2" t="s">
        <v>469</v>
      </c>
      <c r="M46" s="8" t="n">
        <v>44396</v>
      </c>
      <c r="N46" s="1" t="s">
        <v>610</v>
      </c>
      <c r="O46" s="1" t="n">
        <v>0</v>
      </c>
      <c r="P46" s="1" t="s">
        <v>610</v>
      </c>
      <c r="Q46" s="1" t="n">
        <v>0</v>
      </c>
      <c r="R46" s="1" t="s">
        <v>611</v>
      </c>
      <c r="S46" s="1" t="n">
        <v>20251126175844</v>
      </c>
      <c r="T46" s="2" t="s">
        <v>612</v>
      </c>
      <c r="U46" s="2" t="s">
        <v>612</v>
      </c>
      <c r="X46" s="2" t="n">
        <v>196293</v>
      </c>
      <c r="Y46" s="1" t="n">
        <v>1.7</v>
      </c>
      <c r="Z46" s="1" t="n">
        <v>2</v>
      </c>
      <c r="AA46" s="9" t="s">
        <v>475</v>
      </c>
    </row>
    <row r="47" customFormat="false" ht="18.7" hidden="false" customHeight="true" outlineLevel="0" collapsed="false">
      <c r="A47" s="1" t="n">
        <v>46</v>
      </c>
      <c r="B47" s="7" t="str">
        <f aca="false">HYPERLINK("https://mncourtfraud.com/file/27-CR-20-14626.pdf","27-CR-20-14626")</f>
        <v>27-CR-20-14626</v>
      </c>
      <c r="C47" s="1" t="n">
        <v>1</v>
      </c>
      <c r="D47" s="2" t="s">
        <v>12</v>
      </c>
      <c r="E47" s="8" t="n">
        <v>44439</v>
      </c>
      <c r="F47" s="2" t="s">
        <v>19</v>
      </c>
      <c r="G47" s="7" t="str">
        <f aca="false">HYPERLINK("https://mncourtfraud.com/file/MCRO_27-CR-20-14626_Findings and Order_2021-08-31_20251126175800.pdf","MCRO_27-CR-20-14626_Findings and Order_2021-08-31_20251126175800.pdf")</f>
        <v>MCRO_27-CR-20-14626_Findings and Order_2021-08-31_20251126175800.pdf</v>
      </c>
      <c r="H47" s="2" t="s">
        <v>503</v>
      </c>
      <c r="I47" s="2" t="s">
        <v>503</v>
      </c>
      <c r="J47" s="2" t="s">
        <v>467</v>
      </c>
      <c r="K47" s="2" t="s">
        <v>468</v>
      </c>
      <c r="L47" s="2" t="s">
        <v>469</v>
      </c>
      <c r="M47" s="8" t="n">
        <v>44439</v>
      </c>
      <c r="N47" s="1" t="s">
        <v>504</v>
      </c>
      <c r="O47" s="1" t="n">
        <v>0</v>
      </c>
      <c r="P47" s="1" t="s">
        <v>505</v>
      </c>
      <c r="Q47" s="1" t="n">
        <v>0</v>
      </c>
      <c r="R47" s="1" t="s">
        <v>613</v>
      </c>
      <c r="S47" s="1" t="n">
        <v>20251126175800</v>
      </c>
      <c r="T47" s="2" t="s">
        <v>507</v>
      </c>
      <c r="U47" s="2" t="s">
        <v>508</v>
      </c>
      <c r="W47" s="2" t="s">
        <v>509</v>
      </c>
      <c r="X47" s="2" t="n">
        <v>375488</v>
      </c>
      <c r="Y47" s="1" t="n">
        <v>1.7</v>
      </c>
      <c r="Z47" s="1" t="n">
        <v>7</v>
      </c>
      <c r="AA47" s="9" t="s">
        <v>475</v>
      </c>
    </row>
    <row r="48" customFormat="false" ht="18.7" hidden="false" customHeight="true" outlineLevel="0" collapsed="false">
      <c r="A48" s="1" t="n">
        <v>47</v>
      </c>
      <c r="B48" s="7" t="str">
        <f aca="false">HYPERLINK("https://mncourtfraud.com/file/27-CR-20-14626.pdf","27-CR-20-14626")</f>
        <v>27-CR-20-14626</v>
      </c>
      <c r="C48" s="1" t="n">
        <v>1</v>
      </c>
      <c r="D48" s="2" t="s">
        <v>12</v>
      </c>
      <c r="E48" s="8" t="n">
        <v>44460</v>
      </c>
      <c r="F48" s="2" t="s">
        <v>24</v>
      </c>
      <c r="G48" s="7" t="str">
        <f aca="false">HYPERLINK("https://mncourtfraud.com/file/MCRO_27-CR-20-14626_Order for Conditional Release_2021-09-21_20251126175819.pdf","MCRO_27-CR-20-14626_Order for Conditional Release_2021-09-21_20251126175819.pdf")</f>
        <v>MCRO_27-CR-20-14626_Order for Conditional Release_2021-09-21_20251126175819.pdf</v>
      </c>
      <c r="I48" s="2" t="s">
        <v>481</v>
      </c>
      <c r="J48" s="2" t="s">
        <v>481</v>
      </c>
      <c r="K48" s="2" t="s">
        <v>482</v>
      </c>
      <c r="L48" s="2" t="s">
        <v>469</v>
      </c>
      <c r="M48" s="8" t="n">
        <v>44460</v>
      </c>
      <c r="N48" s="1" t="s">
        <v>510</v>
      </c>
      <c r="O48" s="1" t="n">
        <v>0</v>
      </c>
      <c r="P48" s="1" t="s">
        <v>511</v>
      </c>
      <c r="Q48" s="1" t="n">
        <v>0</v>
      </c>
      <c r="R48" s="1" t="s">
        <v>614</v>
      </c>
      <c r="S48" s="1" t="n">
        <v>20251126175819</v>
      </c>
      <c r="T48" s="2" t="s">
        <v>513</v>
      </c>
      <c r="U48" s="2" t="s">
        <v>514</v>
      </c>
      <c r="X48" s="2" t="n">
        <v>105849</v>
      </c>
      <c r="Y48" s="1" t="n">
        <v>1.5</v>
      </c>
      <c r="Z48" s="1" t="n">
        <v>1</v>
      </c>
    </row>
    <row r="49" customFormat="false" ht="18.7" hidden="false" customHeight="true" outlineLevel="0" collapsed="false">
      <c r="A49" s="1" t="n">
        <v>48</v>
      </c>
      <c r="B49" s="7" t="str">
        <f aca="false">HYPERLINK("https://mncourtfraud.com/file/27-CR-20-14626.pdf","27-CR-20-14626")</f>
        <v>27-CR-20-14626</v>
      </c>
      <c r="C49" s="1" t="n">
        <v>1</v>
      </c>
      <c r="D49" s="2" t="s">
        <v>12</v>
      </c>
      <c r="E49" s="8" t="n">
        <v>44468</v>
      </c>
      <c r="F49" s="2" t="s">
        <v>24</v>
      </c>
      <c r="G49" s="7" t="str">
        <f aca="false">HYPERLINK("https://mncourtfraud.com/file/MCRO_27-CR-20-14626_Order for Conditional Release_2021-09-29_20251126175828.pdf","MCRO_27-CR-20-14626_Order for Conditional Release_2021-09-29_20251126175828.pdf")</f>
        <v>MCRO_27-CR-20-14626_Order for Conditional Release_2021-09-29_20251126175828.pdf</v>
      </c>
      <c r="I49" s="2" t="s">
        <v>481</v>
      </c>
      <c r="J49" s="2" t="s">
        <v>481</v>
      </c>
      <c r="K49" s="2" t="s">
        <v>482</v>
      </c>
      <c r="L49" s="2" t="s">
        <v>469</v>
      </c>
      <c r="M49" s="8" t="n">
        <v>44468</v>
      </c>
      <c r="N49" s="1" t="s">
        <v>515</v>
      </c>
      <c r="O49" s="1" t="n">
        <v>0</v>
      </c>
      <c r="P49" s="1" t="s">
        <v>516</v>
      </c>
      <c r="Q49" s="1" t="n">
        <v>0</v>
      </c>
      <c r="R49" s="1" t="s">
        <v>615</v>
      </c>
      <c r="S49" s="1" t="n">
        <v>20251126175828</v>
      </c>
      <c r="T49" s="2" t="s">
        <v>513</v>
      </c>
      <c r="U49" s="2" t="s">
        <v>518</v>
      </c>
      <c r="X49" s="2" t="n">
        <v>151811</v>
      </c>
      <c r="Y49" s="1" t="n">
        <v>1.6</v>
      </c>
      <c r="Z49" s="1" t="n">
        <v>1</v>
      </c>
    </row>
    <row r="50" customFormat="false" ht="18.7" hidden="false" customHeight="true" outlineLevel="0" collapsed="false">
      <c r="A50" s="1" t="n">
        <v>49</v>
      </c>
      <c r="B50" s="7" t="str">
        <f aca="false">HYPERLINK("https://mncourtfraud.com/file/27-CR-20-14626.pdf","27-CR-20-14626")</f>
        <v>27-CR-20-14626</v>
      </c>
      <c r="C50" s="1" t="n">
        <v>1</v>
      </c>
      <c r="D50" s="2" t="s">
        <v>12</v>
      </c>
      <c r="E50" s="8" t="n">
        <v>44543</v>
      </c>
      <c r="F50" s="2" t="s">
        <v>15</v>
      </c>
      <c r="G50" s="7" t="str">
        <f aca="false">HYPERLINK("https://mncourtfraud.com/file/MCRO_27-CR-20-14626_Order-Evaluation for Competency to Proceed (Rule 20.01)_2021-12-13_20251126175855.pdf","MCRO_27-CR-20-14626_Order-Evaluation for Competency to Proceed (Rule 20.01)_2021-12-13_20251126175855.pdf")</f>
        <v>MCRO_27-CR-20-14626_Order-Evaluation for Competency to Proceed (Rule 20.01)_2021-12-13_20251126175855.pdf</v>
      </c>
      <c r="H50" s="2" t="s">
        <v>465</v>
      </c>
      <c r="I50" s="2" t="s">
        <v>466</v>
      </c>
      <c r="J50" s="2" t="s">
        <v>519</v>
      </c>
      <c r="K50" s="2" t="s">
        <v>520</v>
      </c>
      <c r="L50" s="2" t="s">
        <v>469</v>
      </c>
      <c r="M50" s="8" t="n">
        <v>44543</v>
      </c>
      <c r="N50" s="1" t="s">
        <v>521</v>
      </c>
      <c r="O50" s="1" t="n">
        <v>0</v>
      </c>
      <c r="P50" s="1" t="s">
        <v>616</v>
      </c>
      <c r="Q50" s="1" t="n">
        <v>0</v>
      </c>
      <c r="R50" s="1" t="s">
        <v>617</v>
      </c>
      <c r="S50" s="1" t="n">
        <v>20251126175855</v>
      </c>
      <c r="T50" s="2" t="s">
        <v>524</v>
      </c>
      <c r="U50" s="2" t="s">
        <v>618</v>
      </c>
      <c r="X50" s="2" t="n">
        <v>233841</v>
      </c>
      <c r="Y50" s="1" t="n">
        <v>1.7</v>
      </c>
      <c r="Z50" s="1" t="n">
        <v>2</v>
      </c>
      <c r="AA50" s="9" t="s">
        <v>475</v>
      </c>
    </row>
    <row r="51" customFormat="false" ht="18.7" hidden="false" customHeight="true" outlineLevel="0" collapsed="false">
      <c r="A51" s="1" t="n">
        <v>50</v>
      </c>
      <c r="B51" s="7" t="str">
        <f aca="false">HYPERLINK("https://mncourtfraud.com/file/27-CR-20-14626.pdf","27-CR-20-14626")</f>
        <v>27-CR-20-14626</v>
      </c>
      <c r="C51" s="1" t="n">
        <v>1</v>
      </c>
      <c r="D51" s="2" t="s">
        <v>12</v>
      </c>
      <c r="E51" s="8" t="n">
        <v>44558</v>
      </c>
      <c r="F51" s="2" t="s">
        <v>15</v>
      </c>
      <c r="G51" s="7" t="str">
        <f aca="false">HYPERLINK("https://mncourtfraud.com/file/MCRO_27-CR-20-14626_Order-Evaluation for Competency to Proceed (Rule 20.01)_2021-12-28_20251126175907.pdf","MCRO_27-CR-20-14626_Order-Evaluation for Competency to Proceed (Rule 20.01)_2021-12-28_20251126175907.pdf")</f>
        <v>MCRO_27-CR-20-14626_Order-Evaluation for Competency to Proceed (Rule 20.01)_2021-12-28_20251126175907.pdf</v>
      </c>
      <c r="J51" s="2" t="s">
        <v>498</v>
      </c>
      <c r="K51" s="2" t="s">
        <v>499</v>
      </c>
      <c r="L51" s="2" t="s">
        <v>469</v>
      </c>
      <c r="M51" s="8" t="n">
        <v>44558</v>
      </c>
      <c r="N51" s="1" t="s">
        <v>619</v>
      </c>
      <c r="O51" s="1" t="n">
        <v>0</v>
      </c>
      <c r="P51" s="1" t="s">
        <v>619</v>
      </c>
      <c r="Q51" s="1" t="n">
        <v>0</v>
      </c>
      <c r="R51" s="1" t="s">
        <v>620</v>
      </c>
      <c r="S51" s="1" t="n">
        <v>20251126175907</v>
      </c>
      <c r="T51" s="2" t="s">
        <v>621</v>
      </c>
      <c r="U51" s="2" t="s">
        <v>621</v>
      </c>
      <c r="X51" s="2" t="n">
        <v>240913</v>
      </c>
      <c r="Y51" s="1" t="n">
        <v>1.7</v>
      </c>
      <c r="Z51" s="1" t="n">
        <v>3</v>
      </c>
      <c r="AA51" s="9" t="s">
        <v>475</v>
      </c>
    </row>
    <row r="52" customFormat="false" ht="18.7" hidden="false" customHeight="true" outlineLevel="0" collapsed="false">
      <c r="A52" s="1" t="n">
        <v>51</v>
      </c>
      <c r="B52" s="7" t="str">
        <f aca="false">HYPERLINK("https://mncourtfraud.com/file/27-CR-20-14626.pdf","27-CR-20-14626")</f>
        <v>27-CR-20-14626</v>
      </c>
      <c r="C52" s="1" t="n">
        <v>1</v>
      </c>
      <c r="D52" s="2" t="s">
        <v>12</v>
      </c>
      <c r="E52" s="8" t="n">
        <v>44593</v>
      </c>
      <c r="F52" s="2" t="s">
        <v>19</v>
      </c>
      <c r="G52" s="7" t="str">
        <f aca="false">HYPERLINK("https://mncourtfraud.com/file/MCRO_27-CR-20-14626_Findings and Order_2022-02-01_20251126175736.pdf","MCRO_27-CR-20-14626_Findings and Order_2022-02-01_20251126175736.pdf")</f>
        <v>MCRO_27-CR-20-14626_Findings and Order_2022-02-01_20251126175736.pdf</v>
      </c>
      <c r="H52" s="2" t="s">
        <v>503</v>
      </c>
      <c r="I52" s="2" t="s">
        <v>503</v>
      </c>
      <c r="J52" s="2" t="s">
        <v>519</v>
      </c>
      <c r="K52" s="2" t="s">
        <v>520</v>
      </c>
      <c r="L52" s="2" t="s">
        <v>469</v>
      </c>
      <c r="M52" s="8" t="n">
        <v>44593</v>
      </c>
      <c r="N52" s="1" t="s">
        <v>529</v>
      </c>
      <c r="O52" s="1" t="n">
        <v>0</v>
      </c>
      <c r="P52" s="1" t="s">
        <v>530</v>
      </c>
      <c r="Q52" s="1" t="n">
        <v>0</v>
      </c>
      <c r="R52" s="1" t="s">
        <v>622</v>
      </c>
      <c r="S52" s="1" t="n">
        <v>20251126175736</v>
      </c>
      <c r="T52" s="2" t="s">
        <v>532</v>
      </c>
      <c r="U52" s="2" t="s">
        <v>533</v>
      </c>
      <c r="W52" s="2" t="s">
        <v>509</v>
      </c>
      <c r="X52" s="2" t="n">
        <v>361787</v>
      </c>
      <c r="Y52" s="1" t="n">
        <v>1.7</v>
      </c>
      <c r="Z52" s="1" t="n">
        <v>7</v>
      </c>
      <c r="AA52" s="9" t="s">
        <v>475</v>
      </c>
    </row>
    <row r="53" customFormat="false" ht="18.7" hidden="false" customHeight="true" outlineLevel="0" collapsed="false">
      <c r="A53" s="1" t="n">
        <v>52</v>
      </c>
      <c r="B53" s="7" t="str">
        <f aca="false">HYPERLINK("https://mncourtfraud.com/file/27-CR-20-14626.pdf","27-CR-20-14626")</f>
        <v>27-CR-20-14626</v>
      </c>
      <c r="C53" s="1" t="n">
        <v>1</v>
      </c>
      <c r="D53" s="2" t="s">
        <v>12</v>
      </c>
      <c r="E53" s="8" t="n">
        <v>44692</v>
      </c>
      <c r="F53" s="2" t="s">
        <v>15</v>
      </c>
      <c r="G53" s="7" t="str">
        <f aca="false">HYPERLINK("https://mncourtfraud.com/file/MCRO_27-CR-20-14626_Order-Evaluation for Competency to Proceed (Rule 20.01)_2022-05-11_20251126175918.pdf","MCRO_27-CR-20-14626_Order-Evaluation for Competency to Proceed (Rule 20.01)_2022-05-11_20251126175918.pdf")</f>
        <v>MCRO_27-CR-20-14626_Order-Evaluation for Competency to Proceed (Rule 20.01)_2022-05-11_20251126175918.pdf</v>
      </c>
      <c r="H53" s="2" t="s">
        <v>534</v>
      </c>
      <c r="I53" s="2" t="s">
        <v>534</v>
      </c>
      <c r="J53" s="2" t="s">
        <v>535</v>
      </c>
      <c r="K53" s="2" t="s">
        <v>536</v>
      </c>
      <c r="L53" s="2" t="s">
        <v>469</v>
      </c>
      <c r="M53" s="8" t="n">
        <v>44692</v>
      </c>
      <c r="N53" s="1" t="s">
        <v>537</v>
      </c>
      <c r="O53" s="1" t="n">
        <v>0</v>
      </c>
      <c r="P53" s="1" t="s">
        <v>623</v>
      </c>
      <c r="Q53" s="1" t="n">
        <v>0</v>
      </c>
      <c r="R53" s="1" t="s">
        <v>624</v>
      </c>
      <c r="S53" s="1" t="n">
        <v>20251126175918</v>
      </c>
      <c r="T53" s="2" t="s">
        <v>540</v>
      </c>
      <c r="U53" s="2" t="s">
        <v>625</v>
      </c>
      <c r="W53" s="2" t="s">
        <v>542</v>
      </c>
      <c r="X53" s="2" t="n">
        <v>239817</v>
      </c>
      <c r="Y53" s="1" t="n">
        <v>1.6</v>
      </c>
      <c r="Z53" s="1" t="n">
        <v>2</v>
      </c>
    </row>
    <row r="54" customFormat="false" ht="18.7" hidden="false" customHeight="true" outlineLevel="0" collapsed="false">
      <c r="A54" s="1" t="n">
        <v>53</v>
      </c>
      <c r="B54" s="7" t="str">
        <f aca="false">HYPERLINK("https://mncourtfraud.com/file/27-CR-20-14626.pdf","27-CR-20-14626")</f>
        <v>27-CR-20-14626</v>
      </c>
      <c r="C54" s="1" t="n">
        <v>1</v>
      </c>
      <c r="D54" s="2" t="s">
        <v>12</v>
      </c>
      <c r="E54" s="8" t="n">
        <v>44895</v>
      </c>
      <c r="F54" s="2" t="s">
        <v>15</v>
      </c>
      <c r="G54" s="7" t="str">
        <f aca="false">HYPERLINK("https://mncourtfraud.com/file/MCRO_27-CR-20-14626_Order-Evaluation for Competency to Proceed (Rule 20.01)_2022-11-30_20251126175928.pdf","MCRO_27-CR-20-14626_Order-Evaluation for Competency to Proceed (Rule 20.01)_2022-11-30_20251126175928.pdf")</f>
        <v>MCRO_27-CR-20-14626_Order-Evaluation for Competency to Proceed (Rule 20.01)_2022-11-30_20251126175928.pdf</v>
      </c>
      <c r="H54" s="2" t="s">
        <v>543</v>
      </c>
      <c r="I54" s="2" t="s">
        <v>544</v>
      </c>
      <c r="J54" s="2" t="s">
        <v>519</v>
      </c>
      <c r="K54" s="2" t="s">
        <v>520</v>
      </c>
      <c r="L54" s="2" t="s">
        <v>469</v>
      </c>
      <c r="M54" s="8" t="n">
        <v>44895</v>
      </c>
      <c r="N54" s="1" t="s">
        <v>545</v>
      </c>
      <c r="O54" s="1" t="n">
        <v>0</v>
      </c>
      <c r="P54" s="1" t="s">
        <v>546</v>
      </c>
      <c r="Q54" s="1" t="n">
        <v>0</v>
      </c>
      <c r="R54" s="1" t="s">
        <v>626</v>
      </c>
      <c r="S54" s="1" t="n">
        <v>20251126175928</v>
      </c>
      <c r="T54" s="2" t="s">
        <v>548</v>
      </c>
      <c r="U54" s="2" t="s">
        <v>549</v>
      </c>
      <c r="X54" s="2" t="n">
        <v>816998</v>
      </c>
      <c r="Y54" s="1" t="n">
        <v>1.7</v>
      </c>
      <c r="Z54" s="1" t="n">
        <v>2</v>
      </c>
      <c r="AA54" s="9" t="s">
        <v>475</v>
      </c>
    </row>
    <row r="55" customFormat="false" ht="18.7" hidden="false" customHeight="true" outlineLevel="0" collapsed="false">
      <c r="A55" s="1" t="n">
        <v>54</v>
      </c>
      <c r="B55" s="7" t="str">
        <f aca="false">HYPERLINK("https://mncourtfraud.com/file/27-CR-20-25524.pdf","27-CR-20-25524")</f>
        <v>27-CR-20-25524</v>
      </c>
      <c r="C55" s="1" t="n">
        <v>1</v>
      </c>
      <c r="D55" s="2" t="s">
        <v>12</v>
      </c>
      <c r="E55" s="8" t="n">
        <v>44396</v>
      </c>
      <c r="F55" s="2" t="s">
        <v>15</v>
      </c>
      <c r="G55" s="7" t="str">
        <f aca="false">HYPERLINK("https://mncourtfraud.com/file/MCRO_27-CR-20-25524_Order-Evaluation for Competency to Proceed (Rule 20.01)_2021-07-19_20251126180153.pdf","MCRO_27-CR-20-25524_Order-Evaluation for Competency to Proceed (Rule 20.01)_2021-07-19_20251126180153.pdf")</f>
        <v>MCRO_27-CR-20-25524_Order-Evaluation for Competency to Proceed (Rule 20.01)_2021-07-19_20251126180153.pdf</v>
      </c>
      <c r="J55" s="2" t="s">
        <v>498</v>
      </c>
      <c r="K55" s="2" t="s">
        <v>499</v>
      </c>
      <c r="L55" s="2" t="s">
        <v>469</v>
      </c>
      <c r="M55" s="8" t="n">
        <v>44396</v>
      </c>
      <c r="N55" s="1" t="s">
        <v>627</v>
      </c>
      <c r="O55" s="1" t="n">
        <v>0</v>
      </c>
      <c r="P55" s="1" t="s">
        <v>627</v>
      </c>
      <c r="Q55" s="1" t="n">
        <v>0</v>
      </c>
      <c r="R55" s="1" t="s">
        <v>628</v>
      </c>
      <c r="S55" s="1" t="n">
        <v>20251126180153</v>
      </c>
      <c r="T55" s="2" t="s">
        <v>629</v>
      </c>
      <c r="U55" s="2" t="s">
        <v>629</v>
      </c>
      <c r="X55" s="2" t="n">
        <v>197287</v>
      </c>
      <c r="Y55" s="1" t="n">
        <v>1.7</v>
      </c>
      <c r="Z55" s="1" t="n">
        <v>2</v>
      </c>
      <c r="AA55" s="9" t="s">
        <v>475</v>
      </c>
    </row>
    <row r="56" customFormat="false" ht="18.7" hidden="false" customHeight="true" outlineLevel="0" collapsed="false">
      <c r="A56" s="1" t="n">
        <v>55</v>
      </c>
      <c r="B56" s="7" t="str">
        <f aca="false">HYPERLINK("https://mncourtfraud.com/file/27-CR-20-25524.pdf","27-CR-20-25524")</f>
        <v>27-CR-20-25524</v>
      </c>
      <c r="C56" s="1" t="n">
        <v>1</v>
      </c>
      <c r="D56" s="2" t="s">
        <v>12</v>
      </c>
      <c r="E56" s="8" t="n">
        <v>44439</v>
      </c>
      <c r="F56" s="2" t="s">
        <v>19</v>
      </c>
      <c r="G56" s="7" t="str">
        <f aca="false">HYPERLINK("https://mncourtfraud.com/file/MCRO_27-CR-20-25524_Findings and Order_2021-08-31_20251126180048.pdf","MCRO_27-CR-20-25524_Findings and Order_2021-08-31_20251126180048.pdf")</f>
        <v>MCRO_27-CR-20-25524_Findings and Order_2021-08-31_20251126180048.pdf</v>
      </c>
      <c r="H56" s="2" t="s">
        <v>503</v>
      </c>
      <c r="I56" s="2" t="s">
        <v>503</v>
      </c>
      <c r="J56" s="2" t="s">
        <v>467</v>
      </c>
      <c r="K56" s="2" t="s">
        <v>468</v>
      </c>
      <c r="L56" s="2" t="s">
        <v>469</v>
      </c>
      <c r="M56" s="8" t="n">
        <v>44439</v>
      </c>
      <c r="N56" s="1" t="s">
        <v>504</v>
      </c>
      <c r="O56" s="1" t="n">
        <v>0</v>
      </c>
      <c r="P56" s="1" t="s">
        <v>505</v>
      </c>
      <c r="Q56" s="1" t="n">
        <v>0</v>
      </c>
      <c r="R56" s="1" t="s">
        <v>630</v>
      </c>
      <c r="S56" s="1" t="n">
        <v>20251126180048</v>
      </c>
      <c r="T56" s="2" t="s">
        <v>507</v>
      </c>
      <c r="U56" s="2" t="s">
        <v>508</v>
      </c>
      <c r="W56" s="2" t="s">
        <v>509</v>
      </c>
      <c r="X56" s="2" t="n">
        <v>375489</v>
      </c>
      <c r="Y56" s="1" t="n">
        <v>1.7</v>
      </c>
      <c r="Z56" s="1" t="n">
        <v>7</v>
      </c>
      <c r="AA56" s="9" t="s">
        <v>475</v>
      </c>
    </row>
    <row r="57" customFormat="false" ht="18.7" hidden="false" customHeight="true" outlineLevel="0" collapsed="false">
      <c r="A57" s="1" t="n">
        <v>56</v>
      </c>
      <c r="B57" s="7" t="str">
        <f aca="false">HYPERLINK("https://mncourtfraud.com/file/27-CR-20-25524.pdf","27-CR-20-25524")</f>
        <v>27-CR-20-25524</v>
      </c>
      <c r="C57" s="1" t="n">
        <v>1</v>
      </c>
      <c r="D57" s="2" t="s">
        <v>12</v>
      </c>
      <c r="E57" s="8" t="n">
        <v>44460</v>
      </c>
      <c r="F57" s="2" t="s">
        <v>24</v>
      </c>
      <c r="G57" s="7" t="str">
        <f aca="false">HYPERLINK("https://mncourtfraud.com/file/MCRO_27-CR-20-25524_Order for Conditional Release_2021-09-21_20251126180139.pdf","MCRO_27-CR-20-25524_Order for Conditional Release_2021-09-21_20251126180139.pdf")</f>
        <v>MCRO_27-CR-20-25524_Order for Conditional Release_2021-09-21_20251126180139.pdf</v>
      </c>
      <c r="I57" s="2" t="s">
        <v>481</v>
      </c>
      <c r="J57" s="2" t="s">
        <v>481</v>
      </c>
      <c r="K57" s="2" t="s">
        <v>482</v>
      </c>
      <c r="L57" s="2" t="s">
        <v>469</v>
      </c>
      <c r="M57" s="8" t="n">
        <v>44460</v>
      </c>
      <c r="N57" s="1" t="s">
        <v>510</v>
      </c>
      <c r="O57" s="1" t="n">
        <v>0</v>
      </c>
      <c r="P57" s="1" t="s">
        <v>511</v>
      </c>
      <c r="Q57" s="1" t="n">
        <v>0</v>
      </c>
      <c r="R57" s="1" t="s">
        <v>631</v>
      </c>
      <c r="S57" s="1" t="n">
        <v>20251126180139</v>
      </c>
      <c r="T57" s="2" t="s">
        <v>513</v>
      </c>
      <c r="U57" s="2" t="s">
        <v>514</v>
      </c>
      <c r="X57" s="2" t="n">
        <v>105849</v>
      </c>
      <c r="Y57" s="1" t="n">
        <v>1.5</v>
      </c>
      <c r="Z57" s="1" t="n">
        <v>1</v>
      </c>
    </row>
    <row r="58" customFormat="false" ht="18.7" hidden="false" customHeight="true" outlineLevel="0" collapsed="false">
      <c r="A58" s="1" t="n">
        <v>57</v>
      </c>
      <c r="B58" s="7" t="str">
        <f aca="false">HYPERLINK("https://mncourtfraud.com/file/27-CR-20-25524.pdf","27-CR-20-25524")</f>
        <v>27-CR-20-25524</v>
      </c>
      <c r="C58" s="1" t="n">
        <v>1</v>
      </c>
      <c r="D58" s="2" t="s">
        <v>12</v>
      </c>
      <c r="E58" s="8" t="n">
        <v>44468</v>
      </c>
      <c r="F58" s="2" t="s">
        <v>24</v>
      </c>
      <c r="G58" s="7" t="str">
        <f aca="false">HYPERLINK("https://mncourtfraud.com/file/MCRO_27-CR-20-25524_Order for Conditional Release_2021-09-29_20251126180115.pdf","MCRO_27-CR-20-25524_Order for Conditional Release_2021-09-29_20251126180115.pdf")</f>
        <v>MCRO_27-CR-20-25524_Order for Conditional Release_2021-09-29_20251126180115.pdf</v>
      </c>
      <c r="I58" s="2" t="s">
        <v>481</v>
      </c>
      <c r="J58" s="2" t="s">
        <v>481</v>
      </c>
      <c r="K58" s="2" t="s">
        <v>482</v>
      </c>
      <c r="L58" s="2" t="s">
        <v>469</v>
      </c>
      <c r="M58" s="8" t="n">
        <v>44468</v>
      </c>
      <c r="N58" s="1" t="s">
        <v>515</v>
      </c>
      <c r="O58" s="1" t="n">
        <v>0</v>
      </c>
      <c r="P58" s="1" t="s">
        <v>516</v>
      </c>
      <c r="Q58" s="1" t="n">
        <v>0</v>
      </c>
      <c r="R58" s="1" t="s">
        <v>632</v>
      </c>
      <c r="S58" s="1" t="n">
        <v>20251126180115</v>
      </c>
      <c r="T58" s="2" t="s">
        <v>513</v>
      </c>
      <c r="U58" s="2" t="s">
        <v>518</v>
      </c>
      <c r="X58" s="2" t="n">
        <v>151813</v>
      </c>
      <c r="Y58" s="1" t="n">
        <v>1.6</v>
      </c>
      <c r="Z58" s="1" t="n">
        <v>1</v>
      </c>
    </row>
    <row r="59" customFormat="false" ht="18.7" hidden="false" customHeight="true" outlineLevel="0" collapsed="false">
      <c r="A59" s="1" t="n">
        <v>58</v>
      </c>
      <c r="B59" s="7" t="str">
        <f aca="false">HYPERLINK("https://mncourtfraud.com/file/27-CR-20-25524.pdf","27-CR-20-25524")</f>
        <v>27-CR-20-25524</v>
      </c>
      <c r="C59" s="1" t="n">
        <v>1</v>
      </c>
      <c r="D59" s="2" t="s">
        <v>12</v>
      </c>
      <c r="E59" s="8" t="n">
        <v>44543</v>
      </c>
      <c r="F59" s="2" t="s">
        <v>15</v>
      </c>
      <c r="G59" s="7" t="str">
        <f aca="false">HYPERLINK("https://mncourtfraud.com/file/MCRO_27-CR-20-25524_Order-Evaluation for Competency to Proceed (Rule 20.01)_2021-12-13_20251126180204.pdf","MCRO_27-CR-20-25524_Order-Evaluation for Competency to Proceed (Rule 20.01)_2021-12-13_20251126180204.pdf")</f>
        <v>MCRO_27-CR-20-25524_Order-Evaluation for Competency to Proceed (Rule 20.01)_2021-12-13_20251126180204.pdf</v>
      </c>
      <c r="H59" s="2" t="s">
        <v>465</v>
      </c>
      <c r="I59" s="2" t="s">
        <v>466</v>
      </c>
      <c r="J59" s="2" t="s">
        <v>519</v>
      </c>
      <c r="K59" s="2" t="s">
        <v>520</v>
      </c>
      <c r="L59" s="2" t="s">
        <v>469</v>
      </c>
      <c r="M59" s="8" t="n">
        <v>44543</v>
      </c>
      <c r="N59" s="1" t="s">
        <v>521</v>
      </c>
      <c r="O59" s="1" t="n">
        <v>0</v>
      </c>
      <c r="P59" s="1" t="s">
        <v>633</v>
      </c>
      <c r="Q59" s="1" t="n">
        <v>0</v>
      </c>
      <c r="R59" s="1" t="s">
        <v>634</v>
      </c>
      <c r="S59" s="1" t="n">
        <v>20251126180204</v>
      </c>
      <c r="T59" s="2" t="s">
        <v>524</v>
      </c>
      <c r="U59" s="2" t="s">
        <v>635</v>
      </c>
      <c r="X59" s="2" t="n">
        <v>233853</v>
      </c>
      <c r="Y59" s="1" t="n">
        <v>1.7</v>
      </c>
      <c r="Z59" s="1" t="n">
        <v>2</v>
      </c>
      <c r="AA59" s="9" t="s">
        <v>475</v>
      </c>
    </row>
    <row r="60" customFormat="false" ht="18.7" hidden="false" customHeight="true" outlineLevel="0" collapsed="false">
      <c r="A60" s="1" t="n">
        <v>59</v>
      </c>
      <c r="B60" s="7" t="str">
        <f aca="false">HYPERLINK("https://mncourtfraud.com/file/27-CR-20-25524.pdf","27-CR-20-25524")</f>
        <v>27-CR-20-25524</v>
      </c>
      <c r="C60" s="1" t="n">
        <v>1</v>
      </c>
      <c r="D60" s="2" t="s">
        <v>12</v>
      </c>
      <c r="E60" s="8" t="n">
        <v>44558</v>
      </c>
      <c r="F60" s="2" t="s">
        <v>15</v>
      </c>
      <c r="G60" s="7" t="str">
        <f aca="false">HYPERLINK("https://mncourtfraud.com/file/MCRO_27-CR-20-25524_Order-Evaluation for Competency to Proceed (Rule 20.01)_2021-12-28_20251126180216.pdf","MCRO_27-CR-20-25524_Order-Evaluation for Competency to Proceed (Rule 20.01)_2021-12-28_20251126180216.pdf")</f>
        <v>MCRO_27-CR-20-25524_Order-Evaluation for Competency to Proceed (Rule 20.01)_2021-12-28_20251126180216.pdf</v>
      </c>
      <c r="J60" s="2" t="s">
        <v>498</v>
      </c>
      <c r="K60" s="2" t="s">
        <v>499</v>
      </c>
      <c r="L60" s="2" t="s">
        <v>469</v>
      </c>
      <c r="M60" s="8" t="n">
        <v>44558</v>
      </c>
      <c r="N60" s="1" t="s">
        <v>636</v>
      </c>
      <c r="O60" s="1" t="n">
        <v>0</v>
      </c>
      <c r="P60" s="1" t="s">
        <v>636</v>
      </c>
      <c r="Q60" s="1" t="n">
        <v>0</v>
      </c>
      <c r="R60" s="1" t="s">
        <v>637</v>
      </c>
      <c r="S60" s="1" t="n">
        <v>20251126180216</v>
      </c>
      <c r="T60" s="2" t="s">
        <v>638</v>
      </c>
      <c r="U60" s="2" t="s">
        <v>638</v>
      </c>
      <c r="X60" s="2" t="n">
        <v>241019</v>
      </c>
      <c r="Y60" s="1" t="n">
        <v>1.7</v>
      </c>
      <c r="Z60" s="1" t="n">
        <v>3</v>
      </c>
      <c r="AA60" s="9" t="s">
        <v>475</v>
      </c>
    </row>
    <row r="61" customFormat="false" ht="18.7" hidden="false" customHeight="true" outlineLevel="0" collapsed="false">
      <c r="A61" s="1" t="n">
        <v>60</v>
      </c>
      <c r="B61" s="7" t="str">
        <f aca="false">HYPERLINK("https://mncourtfraud.com/file/27-CR-20-25524.pdf","27-CR-20-25524")</f>
        <v>27-CR-20-25524</v>
      </c>
      <c r="C61" s="1" t="n">
        <v>1</v>
      </c>
      <c r="D61" s="2" t="s">
        <v>12</v>
      </c>
      <c r="E61" s="8" t="n">
        <v>44593</v>
      </c>
      <c r="F61" s="2" t="s">
        <v>19</v>
      </c>
      <c r="G61" s="7" t="str">
        <f aca="false">HYPERLINK("https://mncourtfraud.com/file/MCRO_27-CR-20-25524_Findings and Order_2022-02-01_20251126180037.pdf","MCRO_27-CR-20-25524_Findings and Order_2022-02-01_20251126180037.pdf")</f>
        <v>MCRO_27-CR-20-25524_Findings and Order_2022-02-01_20251126180037.pdf</v>
      </c>
      <c r="H61" s="2" t="s">
        <v>503</v>
      </c>
      <c r="I61" s="2" t="s">
        <v>503</v>
      </c>
      <c r="J61" s="2" t="s">
        <v>519</v>
      </c>
      <c r="K61" s="2" t="s">
        <v>520</v>
      </c>
      <c r="L61" s="2" t="s">
        <v>469</v>
      </c>
      <c r="M61" s="8" t="n">
        <v>44593</v>
      </c>
      <c r="N61" s="1" t="s">
        <v>529</v>
      </c>
      <c r="O61" s="1" t="n">
        <v>0</v>
      </c>
      <c r="P61" s="1" t="s">
        <v>530</v>
      </c>
      <c r="Q61" s="1" t="n">
        <v>0</v>
      </c>
      <c r="R61" s="1" t="s">
        <v>639</v>
      </c>
      <c r="S61" s="1" t="n">
        <v>20251126180037</v>
      </c>
      <c r="T61" s="2" t="s">
        <v>532</v>
      </c>
      <c r="U61" s="2" t="s">
        <v>533</v>
      </c>
      <c r="W61" s="2" t="s">
        <v>509</v>
      </c>
      <c r="X61" s="2" t="n">
        <v>361787</v>
      </c>
      <c r="Y61" s="1" t="n">
        <v>1.7</v>
      </c>
      <c r="Z61" s="1" t="n">
        <v>7</v>
      </c>
      <c r="AA61" s="9" t="s">
        <v>475</v>
      </c>
    </row>
    <row r="62" customFormat="false" ht="18.7" hidden="false" customHeight="true" outlineLevel="0" collapsed="false">
      <c r="A62" s="1" t="n">
        <v>61</v>
      </c>
      <c r="B62" s="7" t="str">
        <f aca="false">HYPERLINK("https://mncourtfraud.com/file/27-CR-20-25524.pdf","27-CR-20-25524")</f>
        <v>27-CR-20-25524</v>
      </c>
      <c r="C62" s="1" t="n">
        <v>1</v>
      </c>
      <c r="D62" s="2" t="s">
        <v>12</v>
      </c>
      <c r="E62" s="8" t="n">
        <v>44692</v>
      </c>
      <c r="F62" s="2" t="s">
        <v>15</v>
      </c>
      <c r="G62" s="7" t="str">
        <f aca="false">HYPERLINK("https://mncourtfraud.com/file/MCRO_27-CR-20-25524_Order-Evaluation for Competency to Proceed (Rule 20.01)_2022-05-11_20251126180226.pdf","MCRO_27-CR-20-25524_Order-Evaluation for Competency to Proceed (Rule 20.01)_2022-05-11_20251126180226.pdf")</f>
        <v>MCRO_27-CR-20-25524_Order-Evaluation for Competency to Proceed (Rule 20.01)_2022-05-11_20251126180226.pdf</v>
      </c>
      <c r="H62" s="2" t="s">
        <v>534</v>
      </c>
      <c r="I62" s="2" t="s">
        <v>534</v>
      </c>
      <c r="J62" s="2" t="s">
        <v>535</v>
      </c>
      <c r="K62" s="2" t="s">
        <v>536</v>
      </c>
      <c r="L62" s="2" t="s">
        <v>469</v>
      </c>
      <c r="M62" s="8" t="n">
        <v>44692</v>
      </c>
      <c r="N62" s="1" t="s">
        <v>537</v>
      </c>
      <c r="O62" s="1" t="n">
        <v>0</v>
      </c>
      <c r="P62" s="1" t="s">
        <v>640</v>
      </c>
      <c r="Q62" s="1" t="n">
        <v>0</v>
      </c>
      <c r="R62" s="1" t="s">
        <v>641</v>
      </c>
      <c r="S62" s="1" t="n">
        <v>20251126180226</v>
      </c>
      <c r="T62" s="2" t="s">
        <v>540</v>
      </c>
      <c r="U62" s="2" t="s">
        <v>642</v>
      </c>
      <c r="W62" s="2" t="s">
        <v>542</v>
      </c>
      <c r="X62" s="2" t="n">
        <v>239816</v>
      </c>
      <c r="Y62" s="1" t="n">
        <v>1.6</v>
      </c>
      <c r="Z62" s="1" t="n">
        <v>2</v>
      </c>
    </row>
    <row r="63" customFormat="false" ht="18.7" hidden="false" customHeight="true" outlineLevel="0" collapsed="false">
      <c r="A63" s="1" t="n">
        <v>62</v>
      </c>
      <c r="B63" s="7" t="str">
        <f aca="false">HYPERLINK("https://mncourtfraud.com/file/27-CR-20-25524.pdf","27-CR-20-25524")</f>
        <v>27-CR-20-25524</v>
      </c>
      <c r="C63" s="1" t="n">
        <v>1</v>
      </c>
      <c r="D63" s="2" t="s">
        <v>12</v>
      </c>
      <c r="E63" s="8" t="n">
        <v>44895</v>
      </c>
      <c r="F63" s="2" t="s">
        <v>15</v>
      </c>
      <c r="G63" s="7" t="str">
        <f aca="false">HYPERLINK("https://mncourtfraud.com/file/MCRO_27-CR-20-25524_Order-Evaluation for Competency to Proceed (Rule 20.01)_2022-11-30_20251126180238.pdf","MCRO_27-CR-20-25524_Order-Evaluation for Competency to Proceed (Rule 20.01)_2022-11-30_20251126180238.pdf")</f>
        <v>MCRO_27-CR-20-25524_Order-Evaluation for Competency to Proceed (Rule 20.01)_2022-11-30_20251126180238.pdf</v>
      </c>
      <c r="H63" s="2" t="s">
        <v>543</v>
      </c>
      <c r="I63" s="2" t="s">
        <v>544</v>
      </c>
      <c r="J63" s="2" t="s">
        <v>519</v>
      </c>
      <c r="K63" s="2" t="s">
        <v>520</v>
      </c>
      <c r="L63" s="2" t="s">
        <v>469</v>
      </c>
      <c r="M63" s="8" t="n">
        <v>44895</v>
      </c>
      <c r="N63" s="1" t="s">
        <v>545</v>
      </c>
      <c r="O63" s="1" t="n">
        <v>0</v>
      </c>
      <c r="P63" s="1" t="s">
        <v>546</v>
      </c>
      <c r="Q63" s="1" t="n">
        <v>0</v>
      </c>
      <c r="R63" s="1" t="s">
        <v>643</v>
      </c>
      <c r="S63" s="1" t="n">
        <v>20251126180238</v>
      </c>
      <c r="T63" s="2" t="s">
        <v>548</v>
      </c>
      <c r="U63" s="2" t="s">
        <v>549</v>
      </c>
      <c r="X63" s="2" t="n">
        <v>816998</v>
      </c>
      <c r="Y63" s="1" t="n">
        <v>1.7</v>
      </c>
      <c r="Z63" s="1" t="n">
        <v>2</v>
      </c>
      <c r="AA63" s="9" t="s">
        <v>475</v>
      </c>
    </row>
    <row r="64" customFormat="false" ht="18.7" hidden="false" customHeight="true" outlineLevel="0" collapsed="false">
      <c r="A64" s="1" t="n">
        <v>63</v>
      </c>
      <c r="B64" s="7" t="str">
        <f aca="false">HYPERLINK("https://mncourtfraud.com/file/27-CR-20-25524.pdf","27-CR-20-25524")</f>
        <v>27-CR-20-25524</v>
      </c>
      <c r="C64" s="1" t="n">
        <v>1</v>
      </c>
      <c r="D64" s="2" t="s">
        <v>12</v>
      </c>
      <c r="E64" s="8" t="n">
        <v>45048</v>
      </c>
      <c r="F64" s="2" t="s">
        <v>80</v>
      </c>
      <c r="G64" s="7" t="str">
        <f aca="false">HYPERLINK("https://mncourtfraud.com/file/MCRO_27-CR-20-25524_Finding of Incompetency and Order_2023-05-02_20251126180022.pdf","MCRO_27-CR-20-25524_Finding of Incompetency and Order_2023-05-02_20251126180022.pdf")</f>
        <v>MCRO_27-CR-20-25524_Finding of Incompetency and Order_2023-05-02_20251126180022.pdf</v>
      </c>
      <c r="H64" s="2" t="s">
        <v>644</v>
      </c>
      <c r="I64" s="2" t="s">
        <v>644</v>
      </c>
      <c r="J64" s="2" t="s">
        <v>519</v>
      </c>
      <c r="K64" s="2" t="s">
        <v>520</v>
      </c>
      <c r="L64" s="2" t="s">
        <v>469</v>
      </c>
      <c r="M64" s="8" t="n">
        <v>45048</v>
      </c>
      <c r="N64" s="1" t="s">
        <v>645</v>
      </c>
      <c r="O64" s="1" t="n">
        <v>0</v>
      </c>
      <c r="P64" s="1" t="s">
        <v>646</v>
      </c>
      <c r="Q64" s="1" t="n">
        <v>0</v>
      </c>
      <c r="R64" s="1" t="s">
        <v>647</v>
      </c>
      <c r="S64" s="1" t="n">
        <v>20251126180022</v>
      </c>
      <c r="T64" s="2" t="s">
        <v>648</v>
      </c>
      <c r="U64" s="2" t="s">
        <v>649</v>
      </c>
      <c r="W64" s="2" t="s">
        <v>650</v>
      </c>
      <c r="X64" s="2" t="n">
        <v>976546</v>
      </c>
      <c r="Y64" s="1" t="n">
        <v>1.7</v>
      </c>
      <c r="Z64" s="1" t="n">
        <v>6</v>
      </c>
      <c r="AA64" s="9" t="s">
        <v>475</v>
      </c>
    </row>
    <row r="65" customFormat="false" ht="18.7" hidden="false" customHeight="true" outlineLevel="0" collapsed="false">
      <c r="A65" s="1" t="n">
        <v>64</v>
      </c>
      <c r="B65" s="7" t="str">
        <f aca="false">HYPERLINK("https://mncourtfraud.com/file/27-CR-20-25524.pdf","27-CR-20-25524")</f>
        <v>27-CR-20-25524</v>
      </c>
      <c r="C65" s="1" t="n">
        <v>1</v>
      </c>
      <c r="D65" s="2" t="s">
        <v>12</v>
      </c>
      <c r="E65" s="8" t="n">
        <v>45093</v>
      </c>
      <c r="F65" s="2" t="s">
        <v>82</v>
      </c>
      <c r="G65" s="7" t="str">
        <f aca="false">HYPERLINK("https://mncourtfraud.com/file/MCRO_27-CR-20-25524_Notice of Case Reassignment_2023-06-16_20251126180103.pdf","MCRO_27-CR-20-25524_Notice of Case Reassignment_2023-06-16_20251126180103.pdf")</f>
        <v>MCRO_27-CR-20-25524_Notice of Case Reassignment_2023-06-16_20251126180103.pdf</v>
      </c>
      <c r="H65" s="2" t="s">
        <v>651</v>
      </c>
      <c r="I65" s="2" t="s">
        <v>651</v>
      </c>
      <c r="J65" s="2" t="s">
        <v>535</v>
      </c>
      <c r="K65" s="2" t="s">
        <v>652</v>
      </c>
      <c r="L65" s="2" t="s">
        <v>469</v>
      </c>
      <c r="M65" s="8" t="n">
        <v>45093</v>
      </c>
      <c r="N65" s="1" t="s">
        <v>653</v>
      </c>
      <c r="O65" s="1" t="n">
        <v>5</v>
      </c>
      <c r="P65" s="1" t="s">
        <v>653</v>
      </c>
      <c r="Q65" s="1" t="n">
        <v>5</v>
      </c>
      <c r="R65" s="1" t="s">
        <v>654</v>
      </c>
      <c r="S65" s="1" t="n">
        <v>20251126180103</v>
      </c>
      <c r="T65" s="2" t="s">
        <v>655</v>
      </c>
      <c r="U65" s="2" t="s">
        <v>656</v>
      </c>
      <c r="W65" s="2" t="s">
        <v>657</v>
      </c>
      <c r="X65" s="2" t="n">
        <v>113616</v>
      </c>
      <c r="Y65" s="1" t="n">
        <v>1.6</v>
      </c>
      <c r="Z65" s="1" t="n">
        <v>1</v>
      </c>
    </row>
    <row r="66" customFormat="false" ht="18.7" hidden="false" customHeight="true" outlineLevel="0" collapsed="false">
      <c r="A66" s="1" t="n">
        <v>65</v>
      </c>
      <c r="B66" s="7" t="str">
        <f aca="false">HYPERLINK("https://mncourtfraud.com/file/27-CR-20-25524.pdf","27-CR-20-25524")</f>
        <v>27-CR-20-25524</v>
      </c>
      <c r="C66" s="1" t="n">
        <v>1</v>
      </c>
      <c r="D66" s="2" t="s">
        <v>12</v>
      </c>
      <c r="E66" s="8" t="n">
        <v>45160</v>
      </c>
      <c r="F66" s="2" t="s">
        <v>15</v>
      </c>
      <c r="G66" s="7" t="str">
        <f aca="false">HYPERLINK("https://mncourtfraud.com/file/MCRO_27-CR-20-25524_Order-Evaluation for Competency to Proceed (Rule 20.01)_2023-08-22_20251126180250.pdf","MCRO_27-CR-20-25524_Order-Evaluation for Competency to Proceed (Rule 20.01)_2023-08-22_20251126180250.pdf")</f>
        <v>MCRO_27-CR-20-25524_Order-Evaluation for Competency to Proceed (Rule 20.01)_2023-08-22_20251126180250.pdf</v>
      </c>
      <c r="H66" s="2" t="s">
        <v>658</v>
      </c>
      <c r="I66" s="2" t="s">
        <v>659</v>
      </c>
      <c r="J66" s="2" t="s">
        <v>519</v>
      </c>
      <c r="K66" s="2" t="s">
        <v>520</v>
      </c>
      <c r="L66" s="2" t="s">
        <v>469</v>
      </c>
      <c r="M66" s="8" t="n">
        <v>45160</v>
      </c>
      <c r="N66" s="1" t="s">
        <v>660</v>
      </c>
      <c r="O66" s="1" t="n">
        <v>0</v>
      </c>
      <c r="P66" s="1" t="s">
        <v>661</v>
      </c>
      <c r="Q66" s="1" t="n">
        <v>0</v>
      </c>
      <c r="R66" s="1" t="s">
        <v>662</v>
      </c>
      <c r="S66" s="1" t="n">
        <v>20251126180250</v>
      </c>
      <c r="T66" s="2" t="s">
        <v>663</v>
      </c>
      <c r="U66" s="2" t="s">
        <v>664</v>
      </c>
      <c r="X66" s="2" t="n">
        <v>876399</v>
      </c>
      <c r="Y66" s="1" t="n">
        <v>1.7</v>
      </c>
      <c r="Z66" s="1" t="n">
        <v>2</v>
      </c>
      <c r="AA66" s="9" t="s">
        <v>475</v>
      </c>
    </row>
    <row r="67" customFormat="false" ht="18.7" hidden="false" customHeight="true" outlineLevel="0" collapsed="false">
      <c r="A67" s="1" t="n">
        <v>66</v>
      </c>
      <c r="B67" s="7" t="str">
        <f aca="false">HYPERLINK("https://mncourtfraud.com/file/27-CR-20-25524.pdf","27-CR-20-25524")</f>
        <v>27-CR-20-25524</v>
      </c>
      <c r="C67" s="1" t="n">
        <v>1</v>
      </c>
      <c r="D67" s="2" t="s">
        <v>12</v>
      </c>
      <c r="E67" s="8" t="n">
        <v>45412</v>
      </c>
      <c r="F67" s="2" t="s">
        <v>24</v>
      </c>
      <c r="G67" s="7" t="str">
        <f aca="false">HYPERLINK("https://mncourtfraud.com/file/MCRO_27-CR-20-25524_Order for Conditional Release_2024-04-30_20251126180129.pdf","MCRO_27-CR-20-25524_Order for Conditional Release_2024-04-30_20251126180129.pdf")</f>
        <v>MCRO_27-CR-20-25524_Order for Conditional Release_2024-04-30_20251126180129.pdf</v>
      </c>
      <c r="I67" s="2" t="s">
        <v>481</v>
      </c>
      <c r="J67" s="2" t="s">
        <v>481</v>
      </c>
      <c r="K67" s="2" t="s">
        <v>482</v>
      </c>
      <c r="L67" s="2" t="s">
        <v>469</v>
      </c>
      <c r="M67" s="8" t="n">
        <v>45412</v>
      </c>
      <c r="N67" s="1" t="s">
        <v>665</v>
      </c>
      <c r="O67" s="1" t="n">
        <v>0</v>
      </c>
      <c r="P67" s="1" t="s">
        <v>665</v>
      </c>
      <c r="Q67" s="1" t="n">
        <v>0</v>
      </c>
      <c r="R67" s="1" t="s">
        <v>666</v>
      </c>
      <c r="S67" s="1" t="n">
        <v>20251126180129</v>
      </c>
      <c r="T67" s="2" t="s">
        <v>667</v>
      </c>
      <c r="U67" s="2" t="s">
        <v>668</v>
      </c>
      <c r="X67" s="2" t="n">
        <v>150533</v>
      </c>
      <c r="Y67" s="1" t="n">
        <v>1.5</v>
      </c>
      <c r="Z67" s="1" t="n">
        <v>2</v>
      </c>
    </row>
    <row r="68" customFormat="false" ht="18.7" hidden="false" customHeight="true" outlineLevel="0" collapsed="false">
      <c r="A68" s="1" t="n">
        <v>67</v>
      </c>
      <c r="B68" s="7" t="str">
        <f aca="false">HYPERLINK("https://mncourtfraud.com/file/27-CR-20-25524.pdf","27-CR-20-25524")</f>
        <v>27-CR-20-25524</v>
      </c>
      <c r="C68" s="1" t="n">
        <v>1</v>
      </c>
      <c r="D68" s="2" t="s">
        <v>12</v>
      </c>
      <c r="E68" s="8" t="n">
        <v>45412</v>
      </c>
      <c r="F68" s="2" t="s">
        <v>15</v>
      </c>
      <c r="G68" s="7" t="str">
        <f aca="false">HYPERLINK("https://mncourtfraud.com/file/MCRO_27-CR-20-25524_Order-Evaluation for Competency to Proceed (Rule 20.01)_2024-04-30_20251126180301.pdf","MCRO_27-CR-20-25524_Order-Evaluation for Competency to Proceed (Rule 20.01)_2024-04-30_20251126180301.pdf")</f>
        <v>MCRO_27-CR-20-25524_Order-Evaluation for Competency to Proceed (Rule 20.01)_2024-04-30_20251126180301.pdf</v>
      </c>
      <c r="I68" s="2" t="s">
        <v>481</v>
      </c>
      <c r="J68" s="2" t="s">
        <v>481</v>
      </c>
      <c r="K68" s="2" t="s">
        <v>482</v>
      </c>
      <c r="L68" s="2" t="s">
        <v>469</v>
      </c>
      <c r="M68" s="8" t="n">
        <v>45412</v>
      </c>
      <c r="N68" s="1" t="s">
        <v>665</v>
      </c>
      <c r="O68" s="1" t="n">
        <v>0</v>
      </c>
      <c r="P68" s="1" t="s">
        <v>665</v>
      </c>
      <c r="Q68" s="1" t="n">
        <v>0</v>
      </c>
      <c r="R68" s="1" t="s">
        <v>669</v>
      </c>
      <c r="S68" s="1" t="n">
        <v>20251126180301</v>
      </c>
      <c r="T68" s="2" t="s">
        <v>670</v>
      </c>
      <c r="U68" s="2" t="s">
        <v>671</v>
      </c>
      <c r="X68" s="2" t="n">
        <v>219519</v>
      </c>
      <c r="Y68" s="1" t="n">
        <v>1.5</v>
      </c>
      <c r="Z68" s="1" t="n">
        <v>3</v>
      </c>
    </row>
    <row r="69" customFormat="false" ht="18.7" hidden="false" customHeight="true" outlineLevel="0" collapsed="false">
      <c r="A69" s="1" t="n">
        <v>68</v>
      </c>
      <c r="B69" s="7" t="str">
        <f aca="false">HYPERLINK("https://mncourtfraud.com/file/27-CR-20-25524.pdf","27-CR-20-25524")</f>
        <v>27-CR-20-25524</v>
      </c>
      <c r="C69" s="1" t="n">
        <v>1</v>
      </c>
      <c r="D69" s="2" t="s">
        <v>12</v>
      </c>
      <c r="E69" s="8" t="n">
        <v>45414</v>
      </c>
      <c r="F69" s="2" t="s">
        <v>15</v>
      </c>
      <c r="G69" s="7" t="str">
        <f aca="false">HYPERLINK("https://mncourtfraud.com/file/MCRO_27-CR-20-25524_Order-Evaluation for Competency to Proceed (Rule 20.01)_2024-05-02_20251126180315.pdf","MCRO_27-CR-20-25524_Order-Evaluation for Competency to Proceed (Rule 20.01)_2024-05-02_20251126180315.pdf")</f>
        <v>MCRO_27-CR-20-25524_Order-Evaluation for Competency to Proceed (Rule 20.01)_2024-05-02_20251126180315.pdf</v>
      </c>
      <c r="I69" s="2" t="s">
        <v>481</v>
      </c>
      <c r="J69" s="2" t="s">
        <v>481</v>
      </c>
      <c r="K69" s="2" t="s">
        <v>482</v>
      </c>
      <c r="L69" s="2" t="s">
        <v>469</v>
      </c>
      <c r="M69" s="8" t="n">
        <v>45414</v>
      </c>
      <c r="N69" s="1" t="s">
        <v>672</v>
      </c>
      <c r="O69" s="1" t="n">
        <v>0</v>
      </c>
      <c r="P69" s="1" t="s">
        <v>673</v>
      </c>
      <c r="Q69" s="1" t="n">
        <v>1</v>
      </c>
      <c r="R69" s="1" t="s">
        <v>674</v>
      </c>
      <c r="S69" s="1" t="n">
        <v>20251126180315</v>
      </c>
      <c r="T69" s="2" t="s">
        <v>675</v>
      </c>
      <c r="U69" s="2" t="s">
        <v>676</v>
      </c>
      <c r="X69" s="2" t="n">
        <v>236337</v>
      </c>
      <c r="Y69" s="1" t="n">
        <v>1.5</v>
      </c>
      <c r="Z69" s="1" t="n">
        <v>3</v>
      </c>
    </row>
    <row r="70" customFormat="false" ht="18.7" hidden="false" customHeight="true" outlineLevel="0" collapsed="false">
      <c r="A70" s="1" t="n">
        <v>69</v>
      </c>
      <c r="B70" s="7" t="str">
        <f aca="false">HYPERLINK("https://mncourtfraud.com/file/27-CR-20-2581.pdf","27-CR-20-2581")</f>
        <v>27-CR-20-2581</v>
      </c>
      <c r="C70" s="1" t="n">
        <v>1</v>
      </c>
      <c r="D70" s="2" t="s">
        <v>12</v>
      </c>
      <c r="E70" s="8" t="n">
        <v>43970</v>
      </c>
      <c r="F70" s="2" t="s">
        <v>17</v>
      </c>
      <c r="G70" s="7" t="str">
        <f aca="false">HYPERLINK("https://mncourtfraud.com/file/MCRO_27-CR-20-2581_Returned Mail_2020-05-19_20251126180706.pdf","MCRO_27-CR-20-2581_Returned Mail_2020-05-19_20251126180706.pdf")</f>
        <v>MCRO_27-CR-20-2581_Returned Mail_2020-05-19_20251126180706.pdf</v>
      </c>
      <c r="I70" s="2" t="s">
        <v>481</v>
      </c>
      <c r="J70" s="2" t="s">
        <v>481</v>
      </c>
      <c r="K70" s="2" t="s">
        <v>482</v>
      </c>
      <c r="L70" s="2" t="s">
        <v>469</v>
      </c>
      <c r="M70" s="8" t="n">
        <v>43970</v>
      </c>
      <c r="N70" s="1" t="s">
        <v>483</v>
      </c>
      <c r="O70" s="1" t="n">
        <v>0</v>
      </c>
      <c r="P70" s="1" t="s">
        <v>677</v>
      </c>
      <c r="Q70" s="1" t="n">
        <v>0</v>
      </c>
      <c r="R70" s="1" t="s">
        <v>678</v>
      </c>
      <c r="S70" s="1" t="n">
        <v>20251126180706</v>
      </c>
      <c r="T70" s="2" t="s">
        <v>486</v>
      </c>
      <c r="U70" s="2" t="s">
        <v>679</v>
      </c>
      <c r="X70" s="2" t="n">
        <v>262925</v>
      </c>
      <c r="Y70" s="1" t="n">
        <v>1.6</v>
      </c>
      <c r="Z70" s="1" t="n">
        <v>1</v>
      </c>
    </row>
    <row r="71" customFormat="false" ht="18.7" hidden="false" customHeight="true" outlineLevel="0" collapsed="false">
      <c r="A71" s="1" t="n">
        <v>70</v>
      </c>
      <c r="B71" s="7" t="str">
        <f aca="false">HYPERLINK("https://mncourtfraud.com/file/27-CR-20-2581.pdf","27-CR-20-2581")</f>
        <v>27-CR-20-2581</v>
      </c>
      <c r="C71" s="1" t="n">
        <v>1</v>
      </c>
      <c r="D71" s="2" t="s">
        <v>12</v>
      </c>
      <c r="E71" s="8" t="n">
        <v>44103</v>
      </c>
      <c r="F71" s="2" t="s">
        <v>19</v>
      </c>
      <c r="G71" s="7" t="str">
        <f aca="false">HYPERLINK("https://mncourtfraud.com/file/MCRO_27-CR-20-2581_Findings and Order_2020-09-29_20251126180408.pdf","MCRO_27-CR-20-2581_Findings and Order_2020-09-29_20251126180408.pdf")</f>
        <v>MCRO_27-CR-20-2581_Findings and Order_2020-09-29_20251126180408.pdf</v>
      </c>
      <c r="I71" s="2" t="s">
        <v>481</v>
      </c>
      <c r="J71" s="2" t="s">
        <v>481</v>
      </c>
      <c r="K71" s="2" t="s">
        <v>482</v>
      </c>
      <c r="L71" s="2" t="s">
        <v>469</v>
      </c>
      <c r="M71" s="8" t="n">
        <v>44103</v>
      </c>
      <c r="N71" s="1" t="s">
        <v>488</v>
      </c>
      <c r="O71" s="1" t="n">
        <v>1</v>
      </c>
      <c r="P71" s="1" t="s">
        <v>489</v>
      </c>
      <c r="Q71" s="1" t="n">
        <v>1</v>
      </c>
      <c r="R71" s="1" t="s">
        <v>680</v>
      </c>
      <c r="S71" s="1" t="n">
        <v>20251126180408</v>
      </c>
      <c r="T71" s="2" t="s">
        <v>491</v>
      </c>
      <c r="U71" s="2" t="s">
        <v>492</v>
      </c>
      <c r="X71" s="2" t="n">
        <v>334918</v>
      </c>
      <c r="Y71" s="1" t="n">
        <v>1.5</v>
      </c>
      <c r="Z71" s="1" t="n">
        <v>5</v>
      </c>
    </row>
    <row r="72" customFormat="false" ht="18.7" hidden="false" customHeight="true" outlineLevel="0" collapsed="false">
      <c r="A72" s="1" t="n">
        <v>71</v>
      </c>
      <c r="B72" s="7" t="str">
        <f aca="false">HYPERLINK("https://mncourtfraud.com/file/27-CR-20-2581.pdf","27-CR-20-2581")</f>
        <v>27-CR-20-2581</v>
      </c>
      <c r="C72" s="1" t="n">
        <v>1</v>
      </c>
      <c r="D72" s="2" t="s">
        <v>12</v>
      </c>
      <c r="E72" s="8" t="n">
        <v>44225</v>
      </c>
      <c r="F72" s="2" t="s">
        <v>15</v>
      </c>
      <c r="G72" s="7" t="str">
        <f aca="false">HYPERLINK("https://mncourtfraud.com/file/MCRO_27-CR-20-2581_Order-Evaluation for Competency to Proceed (Rule 20.01)_2021-01-29_20251126180652.pdf","MCRO_27-CR-20-2581_Order-Evaluation for Competency to Proceed (Rule 20.01)_2021-01-29_20251126180652.pdf")</f>
        <v>MCRO_27-CR-20-2581_Order-Evaluation for Competency to Proceed (Rule 20.01)_2021-01-29_20251126180652.pdf</v>
      </c>
      <c r="H72" s="2" t="s">
        <v>465</v>
      </c>
      <c r="I72" s="2" t="s">
        <v>466</v>
      </c>
      <c r="J72" s="2" t="s">
        <v>467</v>
      </c>
      <c r="K72" s="2" t="s">
        <v>468</v>
      </c>
      <c r="L72" s="2" t="s">
        <v>469</v>
      </c>
      <c r="M72" s="8" t="n">
        <v>44225</v>
      </c>
      <c r="N72" s="1" t="s">
        <v>493</v>
      </c>
      <c r="O72" s="1" t="n">
        <v>0</v>
      </c>
      <c r="P72" s="1" t="s">
        <v>681</v>
      </c>
      <c r="Q72" s="1" t="n">
        <v>0</v>
      </c>
      <c r="R72" s="1" t="s">
        <v>682</v>
      </c>
      <c r="S72" s="1" t="n">
        <v>20251126180652</v>
      </c>
      <c r="T72" s="2" t="s">
        <v>496</v>
      </c>
      <c r="U72" s="2" t="s">
        <v>683</v>
      </c>
      <c r="X72" s="2" t="n">
        <v>454204</v>
      </c>
      <c r="Y72" s="1" t="n">
        <v>1.6</v>
      </c>
      <c r="Z72" s="1" t="n">
        <v>2</v>
      </c>
      <c r="AA72" s="9" t="s">
        <v>475</v>
      </c>
    </row>
    <row r="73" customFormat="false" ht="18.7" hidden="false" customHeight="true" outlineLevel="0" collapsed="false">
      <c r="A73" s="1" t="n">
        <v>72</v>
      </c>
      <c r="B73" s="7" t="str">
        <f aca="false">HYPERLINK("https://mncourtfraud.com/file/27-CR-20-2581.pdf","27-CR-20-2581")</f>
        <v>27-CR-20-2581</v>
      </c>
      <c r="C73" s="1" t="n">
        <v>1</v>
      </c>
      <c r="D73" s="2" t="s">
        <v>12</v>
      </c>
      <c r="E73" s="8" t="n">
        <v>44396</v>
      </c>
      <c r="F73" s="2" t="s">
        <v>15</v>
      </c>
      <c r="G73" s="7" t="str">
        <f aca="false">HYPERLINK("https://mncourtfraud.com/file/MCRO_27-CR-20-2581_Order-Evaluation for Competency to Proceed (Rule 20.01)_2021-07-19_20251126180534.pdf","MCRO_27-CR-20-2581_Order-Evaluation for Competency to Proceed (Rule 20.01)_2021-07-19_20251126180534.pdf")</f>
        <v>MCRO_27-CR-20-2581_Order-Evaluation for Competency to Proceed (Rule 20.01)_2021-07-19_20251126180534.pdf</v>
      </c>
      <c r="J73" s="2" t="s">
        <v>498</v>
      </c>
      <c r="K73" s="2" t="s">
        <v>499</v>
      </c>
      <c r="L73" s="2" t="s">
        <v>469</v>
      </c>
      <c r="M73" s="8" t="n">
        <v>44396</v>
      </c>
      <c r="N73" s="1" t="s">
        <v>684</v>
      </c>
      <c r="O73" s="1" t="n">
        <v>0</v>
      </c>
      <c r="P73" s="1" t="s">
        <v>684</v>
      </c>
      <c r="Q73" s="1" t="n">
        <v>0</v>
      </c>
      <c r="R73" s="1" t="s">
        <v>685</v>
      </c>
      <c r="S73" s="1" t="n">
        <v>20251126180534</v>
      </c>
      <c r="T73" s="2" t="s">
        <v>686</v>
      </c>
      <c r="U73" s="2" t="s">
        <v>686</v>
      </c>
      <c r="X73" s="2" t="n">
        <v>193171</v>
      </c>
      <c r="Y73" s="1" t="n">
        <v>1.7</v>
      </c>
      <c r="Z73" s="1" t="n">
        <v>2</v>
      </c>
      <c r="AA73" s="9" t="s">
        <v>475</v>
      </c>
    </row>
    <row r="74" customFormat="false" ht="18.7" hidden="false" customHeight="true" outlineLevel="0" collapsed="false">
      <c r="A74" s="1" t="n">
        <v>73</v>
      </c>
      <c r="B74" s="7" t="str">
        <f aca="false">HYPERLINK("https://mncourtfraud.com/file/27-CR-20-2581.pdf","27-CR-20-2581")</f>
        <v>27-CR-20-2581</v>
      </c>
      <c r="C74" s="1" t="n">
        <v>1</v>
      </c>
      <c r="D74" s="2" t="s">
        <v>12</v>
      </c>
      <c r="E74" s="8" t="n">
        <v>44439</v>
      </c>
      <c r="F74" s="2" t="s">
        <v>19</v>
      </c>
      <c r="G74" s="7" t="str">
        <f aca="false">HYPERLINK("https://mncourtfraud.com/file/MCRO_27-CR-20-2581_Findings and Order_2021-08-31_20251126180418.pdf","MCRO_27-CR-20-2581_Findings and Order_2021-08-31_20251126180418.pdf")</f>
        <v>MCRO_27-CR-20-2581_Findings and Order_2021-08-31_20251126180418.pdf</v>
      </c>
      <c r="H74" s="2" t="s">
        <v>503</v>
      </c>
      <c r="I74" s="2" t="s">
        <v>503</v>
      </c>
      <c r="J74" s="2" t="s">
        <v>467</v>
      </c>
      <c r="K74" s="2" t="s">
        <v>468</v>
      </c>
      <c r="L74" s="2" t="s">
        <v>469</v>
      </c>
      <c r="M74" s="8" t="n">
        <v>44439</v>
      </c>
      <c r="N74" s="1" t="s">
        <v>504</v>
      </c>
      <c r="O74" s="1" t="n">
        <v>0</v>
      </c>
      <c r="P74" s="1" t="s">
        <v>505</v>
      </c>
      <c r="Q74" s="1" t="n">
        <v>0</v>
      </c>
      <c r="R74" s="1" t="s">
        <v>687</v>
      </c>
      <c r="S74" s="1" t="n">
        <v>20251126180418</v>
      </c>
      <c r="T74" s="2" t="s">
        <v>507</v>
      </c>
      <c r="U74" s="2" t="s">
        <v>508</v>
      </c>
      <c r="W74" s="2" t="s">
        <v>509</v>
      </c>
      <c r="X74" s="2" t="n">
        <v>375487</v>
      </c>
      <c r="Y74" s="1" t="n">
        <v>1.7</v>
      </c>
      <c r="Z74" s="1" t="n">
        <v>7</v>
      </c>
      <c r="AA74" s="9" t="s">
        <v>475</v>
      </c>
    </row>
    <row r="75" customFormat="false" ht="18.7" hidden="false" customHeight="true" outlineLevel="0" collapsed="false">
      <c r="A75" s="1" t="n">
        <v>74</v>
      </c>
      <c r="B75" s="7" t="str">
        <f aca="false">HYPERLINK("https://mncourtfraud.com/file/27-CR-20-2581.pdf","27-CR-20-2581")</f>
        <v>27-CR-20-2581</v>
      </c>
      <c r="C75" s="1" t="n">
        <v>1</v>
      </c>
      <c r="D75" s="2" t="s">
        <v>12</v>
      </c>
      <c r="E75" s="8" t="n">
        <v>44460</v>
      </c>
      <c r="F75" s="2" t="s">
        <v>24</v>
      </c>
      <c r="G75" s="7" t="str">
        <f aca="false">HYPERLINK("https://mncourtfraud.com/file/MCRO_27-CR-20-2581_Order for Conditional Release_2021-09-21_20251126180509.pdf","MCRO_27-CR-20-2581_Order for Conditional Release_2021-09-21_20251126180509.pdf")</f>
        <v>MCRO_27-CR-20-2581_Order for Conditional Release_2021-09-21_20251126180509.pdf</v>
      </c>
      <c r="I75" s="2" t="s">
        <v>481</v>
      </c>
      <c r="J75" s="2" t="s">
        <v>481</v>
      </c>
      <c r="K75" s="2" t="s">
        <v>482</v>
      </c>
      <c r="L75" s="2" t="s">
        <v>469</v>
      </c>
      <c r="M75" s="8" t="n">
        <v>44460</v>
      </c>
      <c r="N75" s="1" t="s">
        <v>510</v>
      </c>
      <c r="O75" s="1" t="n">
        <v>0</v>
      </c>
      <c r="P75" s="1" t="s">
        <v>511</v>
      </c>
      <c r="Q75" s="1" t="n">
        <v>0</v>
      </c>
      <c r="R75" s="1" t="s">
        <v>688</v>
      </c>
      <c r="S75" s="1" t="n">
        <v>20251126180509</v>
      </c>
      <c r="T75" s="2" t="s">
        <v>513</v>
      </c>
      <c r="U75" s="2" t="s">
        <v>514</v>
      </c>
      <c r="X75" s="2" t="n">
        <v>105849</v>
      </c>
      <c r="Y75" s="1" t="n">
        <v>1.5</v>
      </c>
      <c r="Z75" s="1" t="n">
        <v>1</v>
      </c>
    </row>
    <row r="76" customFormat="false" ht="18.7" hidden="false" customHeight="true" outlineLevel="0" collapsed="false">
      <c r="A76" s="1" t="n">
        <v>75</v>
      </c>
      <c r="B76" s="7" t="str">
        <f aca="false">HYPERLINK("https://mncourtfraud.com/file/27-CR-20-2581.pdf","27-CR-20-2581")</f>
        <v>27-CR-20-2581</v>
      </c>
      <c r="C76" s="1" t="n">
        <v>1</v>
      </c>
      <c r="D76" s="2" t="s">
        <v>12</v>
      </c>
      <c r="E76" s="8" t="n">
        <v>44468</v>
      </c>
      <c r="F76" s="2" t="s">
        <v>24</v>
      </c>
      <c r="G76" s="7" t="str">
        <f aca="false">HYPERLINK("https://mncourtfraud.com/file/MCRO_27-CR-20-2581_Order for Conditional Release_2021-09-29_20251126180519.pdf","MCRO_27-CR-20-2581_Order for Conditional Release_2021-09-29_20251126180519.pdf")</f>
        <v>MCRO_27-CR-20-2581_Order for Conditional Release_2021-09-29_20251126180519.pdf</v>
      </c>
      <c r="I76" s="2" t="s">
        <v>481</v>
      </c>
      <c r="J76" s="2" t="s">
        <v>481</v>
      </c>
      <c r="K76" s="2" t="s">
        <v>482</v>
      </c>
      <c r="L76" s="2" t="s">
        <v>469</v>
      </c>
      <c r="M76" s="8" t="n">
        <v>44468</v>
      </c>
      <c r="N76" s="1" t="s">
        <v>515</v>
      </c>
      <c r="O76" s="1" t="n">
        <v>0</v>
      </c>
      <c r="P76" s="1" t="s">
        <v>516</v>
      </c>
      <c r="Q76" s="1" t="n">
        <v>0</v>
      </c>
      <c r="R76" s="1" t="s">
        <v>689</v>
      </c>
      <c r="S76" s="1" t="n">
        <v>20251126180519</v>
      </c>
      <c r="T76" s="2" t="s">
        <v>513</v>
      </c>
      <c r="U76" s="2" t="s">
        <v>518</v>
      </c>
      <c r="X76" s="2" t="n">
        <v>151812</v>
      </c>
      <c r="Y76" s="1" t="n">
        <v>1.6</v>
      </c>
      <c r="Z76" s="1" t="n">
        <v>1</v>
      </c>
    </row>
    <row r="77" customFormat="false" ht="18.7" hidden="false" customHeight="true" outlineLevel="0" collapsed="false">
      <c r="A77" s="1" t="n">
        <v>76</v>
      </c>
      <c r="B77" s="7" t="str">
        <f aca="false">HYPERLINK("https://mncourtfraud.com/file/27-CR-20-2581.pdf","27-CR-20-2581")</f>
        <v>27-CR-20-2581</v>
      </c>
      <c r="C77" s="1" t="n">
        <v>1</v>
      </c>
      <c r="D77" s="2" t="s">
        <v>12</v>
      </c>
      <c r="E77" s="8" t="n">
        <v>44543</v>
      </c>
      <c r="F77" s="2" t="s">
        <v>15</v>
      </c>
      <c r="G77" s="7" t="str">
        <f aca="false">HYPERLINK("https://mncourtfraud.com/file/MCRO_27-CR-20-2581_Order-Evaluation for Competency to Proceed (Rule 20.01)_2021-12-13_20251126180544.pdf","MCRO_27-CR-20-2581_Order-Evaluation for Competency to Proceed (Rule 20.01)_2021-12-13_20251126180544.pdf")</f>
        <v>MCRO_27-CR-20-2581_Order-Evaluation for Competency to Proceed (Rule 20.01)_2021-12-13_20251126180544.pdf</v>
      </c>
      <c r="H77" s="2" t="s">
        <v>465</v>
      </c>
      <c r="I77" s="2" t="s">
        <v>466</v>
      </c>
      <c r="J77" s="2" t="s">
        <v>519</v>
      </c>
      <c r="K77" s="2" t="s">
        <v>520</v>
      </c>
      <c r="L77" s="2" t="s">
        <v>469</v>
      </c>
      <c r="M77" s="8" t="n">
        <v>44543</v>
      </c>
      <c r="N77" s="1" t="s">
        <v>521</v>
      </c>
      <c r="O77" s="1" t="n">
        <v>0</v>
      </c>
      <c r="P77" s="1" t="s">
        <v>690</v>
      </c>
      <c r="Q77" s="1" t="n">
        <v>0</v>
      </c>
      <c r="R77" s="1" t="s">
        <v>691</v>
      </c>
      <c r="S77" s="1" t="n">
        <v>20251126180544</v>
      </c>
      <c r="T77" s="2" t="s">
        <v>524</v>
      </c>
      <c r="U77" s="2" t="s">
        <v>692</v>
      </c>
      <c r="X77" s="2" t="n">
        <v>233845</v>
      </c>
      <c r="Y77" s="1" t="n">
        <v>1.7</v>
      </c>
      <c r="Z77" s="1" t="n">
        <v>2</v>
      </c>
      <c r="AA77" s="9" t="s">
        <v>475</v>
      </c>
    </row>
    <row r="78" customFormat="false" ht="18.7" hidden="false" customHeight="true" outlineLevel="0" collapsed="false">
      <c r="A78" s="1" t="n">
        <v>77</v>
      </c>
      <c r="B78" s="7" t="str">
        <f aca="false">HYPERLINK("https://mncourtfraud.com/file/27-CR-20-2581.pdf","27-CR-20-2581")</f>
        <v>27-CR-20-2581</v>
      </c>
      <c r="C78" s="1" t="n">
        <v>1</v>
      </c>
      <c r="D78" s="2" t="s">
        <v>12</v>
      </c>
      <c r="E78" s="8" t="n">
        <v>44558</v>
      </c>
      <c r="F78" s="2" t="s">
        <v>15</v>
      </c>
      <c r="G78" s="7" t="str">
        <f aca="false">HYPERLINK("https://mncourtfraud.com/file/MCRO_27-CR-20-2581_Order-Evaluation for Competency to Proceed (Rule 20.01)_2021-12-28_20251126180556.pdf","MCRO_27-CR-20-2581_Order-Evaluation for Competency to Proceed (Rule 20.01)_2021-12-28_20251126180556.pdf")</f>
        <v>MCRO_27-CR-20-2581_Order-Evaluation for Competency to Proceed (Rule 20.01)_2021-12-28_20251126180556.pdf</v>
      </c>
      <c r="J78" s="2" t="s">
        <v>498</v>
      </c>
      <c r="K78" s="2" t="s">
        <v>499</v>
      </c>
      <c r="L78" s="2" t="s">
        <v>469</v>
      </c>
      <c r="M78" s="8" t="n">
        <v>44558</v>
      </c>
      <c r="N78" s="1" t="s">
        <v>693</v>
      </c>
      <c r="O78" s="1" t="n">
        <v>0</v>
      </c>
      <c r="P78" s="1" t="s">
        <v>693</v>
      </c>
      <c r="Q78" s="1" t="n">
        <v>0</v>
      </c>
      <c r="R78" s="1" t="s">
        <v>694</v>
      </c>
      <c r="S78" s="1" t="n">
        <v>20251126180556</v>
      </c>
      <c r="T78" s="2" t="s">
        <v>695</v>
      </c>
      <c r="U78" s="2" t="s">
        <v>695</v>
      </c>
      <c r="X78" s="2" t="n">
        <v>267006</v>
      </c>
      <c r="Y78" s="1" t="n">
        <v>1.7</v>
      </c>
      <c r="Z78" s="1" t="n">
        <v>4</v>
      </c>
      <c r="AA78" s="9" t="s">
        <v>475</v>
      </c>
    </row>
    <row r="79" customFormat="false" ht="18.7" hidden="false" customHeight="true" outlineLevel="0" collapsed="false">
      <c r="A79" s="1" t="n">
        <v>78</v>
      </c>
      <c r="B79" s="7" t="str">
        <f aca="false">HYPERLINK("https://mncourtfraud.com/file/27-CR-20-2581.pdf","27-CR-20-2581")</f>
        <v>27-CR-20-2581</v>
      </c>
      <c r="C79" s="1" t="n">
        <v>1</v>
      </c>
      <c r="D79" s="2" t="s">
        <v>12</v>
      </c>
      <c r="E79" s="8" t="n">
        <v>44593</v>
      </c>
      <c r="F79" s="2" t="s">
        <v>19</v>
      </c>
      <c r="G79" s="7" t="str">
        <f aca="false">HYPERLINK("https://mncourtfraud.com/file/MCRO_27-CR-20-2581_Findings and Order_2022-02-01_20251126180358.pdf","MCRO_27-CR-20-2581_Findings and Order_2022-02-01_20251126180358.pdf")</f>
        <v>MCRO_27-CR-20-2581_Findings and Order_2022-02-01_20251126180358.pdf</v>
      </c>
      <c r="H79" s="2" t="s">
        <v>503</v>
      </c>
      <c r="I79" s="2" t="s">
        <v>503</v>
      </c>
      <c r="J79" s="2" t="s">
        <v>519</v>
      </c>
      <c r="K79" s="2" t="s">
        <v>520</v>
      </c>
      <c r="L79" s="2" t="s">
        <v>469</v>
      </c>
      <c r="M79" s="8" t="n">
        <v>44593</v>
      </c>
      <c r="N79" s="1" t="s">
        <v>529</v>
      </c>
      <c r="O79" s="1" t="n">
        <v>0</v>
      </c>
      <c r="P79" s="1" t="s">
        <v>530</v>
      </c>
      <c r="Q79" s="1" t="n">
        <v>0</v>
      </c>
      <c r="R79" s="1" t="s">
        <v>696</v>
      </c>
      <c r="S79" s="1" t="n">
        <v>20251126180358</v>
      </c>
      <c r="T79" s="2" t="s">
        <v>532</v>
      </c>
      <c r="U79" s="2" t="s">
        <v>533</v>
      </c>
      <c r="W79" s="2" t="s">
        <v>509</v>
      </c>
      <c r="X79" s="2" t="n">
        <v>361789</v>
      </c>
      <c r="Y79" s="1" t="n">
        <v>1.7</v>
      </c>
      <c r="Z79" s="1" t="n">
        <v>7</v>
      </c>
      <c r="AA79" s="9" t="s">
        <v>475</v>
      </c>
    </row>
    <row r="80" customFormat="false" ht="18.7" hidden="false" customHeight="true" outlineLevel="0" collapsed="false">
      <c r="A80" s="1" t="n">
        <v>79</v>
      </c>
      <c r="B80" s="7" t="str">
        <f aca="false">HYPERLINK("https://mncourtfraud.com/file/27-CR-20-2581.pdf","27-CR-20-2581")</f>
        <v>27-CR-20-2581</v>
      </c>
      <c r="C80" s="1" t="n">
        <v>1</v>
      </c>
      <c r="D80" s="2" t="s">
        <v>12</v>
      </c>
      <c r="E80" s="8" t="n">
        <v>44692</v>
      </c>
      <c r="F80" s="2" t="s">
        <v>15</v>
      </c>
      <c r="G80" s="7" t="str">
        <f aca="false">HYPERLINK("https://mncourtfraud.com/file/MCRO_27-CR-20-2581_Order-Evaluation for Competency to Proceed (Rule 20.01)_2022-05-11_20251126180606.pdf","MCRO_27-CR-20-2581_Order-Evaluation for Competency to Proceed (Rule 20.01)_2022-05-11_20251126180606.pdf")</f>
        <v>MCRO_27-CR-20-2581_Order-Evaluation for Competency to Proceed (Rule 20.01)_2022-05-11_20251126180606.pdf</v>
      </c>
      <c r="H80" s="2" t="s">
        <v>534</v>
      </c>
      <c r="I80" s="2" t="s">
        <v>534</v>
      </c>
      <c r="J80" s="2" t="s">
        <v>535</v>
      </c>
      <c r="K80" s="2" t="s">
        <v>536</v>
      </c>
      <c r="L80" s="2" t="s">
        <v>469</v>
      </c>
      <c r="M80" s="8" t="n">
        <v>44692</v>
      </c>
      <c r="N80" s="1" t="s">
        <v>537</v>
      </c>
      <c r="O80" s="1" t="n">
        <v>0</v>
      </c>
      <c r="P80" s="1" t="s">
        <v>697</v>
      </c>
      <c r="Q80" s="1" t="n">
        <v>0</v>
      </c>
      <c r="R80" s="1" t="s">
        <v>698</v>
      </c>
      <c r="S80" s="1" t="n">
        <v>20251126180606</v>
      </c>
      <c r="T80" s="2" t="s">
        <v>540</v>
      </c>
      <c r="U80" s="2" t="s">
        <v>699</v>
      </c>
      <c r="W80" s="2" t="s">
        <v>542</v>
      </c>
      <c r="X80" s="2" t="n">
        <v>239816</v>
      </c>
      <c r="Y80" s="1" t="n">
        <v>1.6</v>
      </c>
      <c r="Z80" s="1" t="n">
        <v>2</v>
      </c>
    </row>
    <row r="81" customFormat="false" ht="18.7" hidden="false" customHeight="true" outlineLevel="0" collapsed="false">
      <c r="A81" s="1" t="n">
        <v>80</v>
      </c>
      <c r="B81" s="7" t="str">
        <f aca="false">HYPERLINK("https://mncourtfraud.com/file/27-CR-20-2581.pdf","27-CR-20-2581")</f>
        <v>27-CR-20-2581</v>
      </c>
      <c r="C81" s="1" t="n">
        <v>1</v>
      </c>
      <c r="D81" s="2" t="s">
        <v>12</v>
      </c>
      <c r="E81" s="8" t="n">
        <v>44895</v>
      </c>
      <c r="F81" s="2" t="s">
        <v>15</v>
      </c>
      <c r="G81" s="7" t="str">
        <f aca="false">HYPERLINK("https://mncourtfraud.com/file/MCRO_27-CR-20-2581_Order-Evaluation for Competency to Proceed (Rule 20.01)_2022-11-30_20251126180618.pdf","MCRO_27-CR-20-2581_Order-Evaluation for Competency to Proceed (Rule 20.01)_2022-11-30_20251126180618.pdf")</f>
        <v>MCRO_27-CR-20-2581_Order-Evaluation for Competency to Proceed (Rule 20.01)_2022-11-30_20251126180618.pdf</v>
      </c>
      <c r="H81" s="2" t="s">
        <v>543</v>
      </c>
      <c r="I81" s="2" t="s">
        <v>544</v>
      </c>
      <c r="J81" s="2" t="s">
        <v>519</v>
      </c>
      <c r="K81" s="2" t="s">
        <v>520</v>
      </c>
      <c r="L81" s="2" t="s">
        <v>469</v>
      </c>
      <c r="M81" s="8" t="n">
        <v>44895</v>
      </c>
      <c r="N81" s="1" t="s">
        <v>545</v>
      </c>
      <c r="O81" s="1" t="n">
        <v>0</v>
      </c>
      <c r="P81" s="1" t="s">
        <v>546</v>
      </c>
      <c r="Q81" s="1" t="n">
        <v>0</v>
      </c>
      <c r="R81" s="1" t="s">
        <v>700</v>
      </c>
      <c r="S81" s="1" t="n">
        <v>20251126180618</v>
      </c>
      <c r="T81" s="2" t="s">
        <v>548</v>
      </c>
      <c r="U81" s="2" t="s">
        <v>549</v>
      </c>
      <c r="X81" s="2" t="n">
        <v>816997</v>
      </c>
      <c r="Y81" s="1" t="n">
        <v>1.7</v>
      </c>
      <c r="Z81" s="1" t="n">
        <v>2</v>
      </c>
      <c r="AA81" s="9" t="s">
        <v>475</v>
      </c>
    </row>
    <row r="82" customFormat="false" ht="18.7" hidden="false" customHeight="true" outlineLevel="0" collapsed="false">
      <c r="A82" s="1" t="n">
        <v>81</v>
      </c>
      <c r="B82" s="7" t="str">
        <f aca="false">HYPERLINK("https://mncourtfraud.com/file/27-CR-20-2581.pdf","27-CR-20-2581")</f>
        <v>27-CR-20-2581</v>
      </c>
      <c r="C82" s="1" t="n">
        <v>1</v>
      </c>
      <c r="D82" s="2" t="s">
        <v>12</v>
      </c>
      <c r="E82" s="8" t="n">
        <v>45048</v>
      </c>
      <c r="F82" s="2" t="s">
        <v>80</v>
      </c>
      <c r="G82" s="7" t="str">
        <f aca="false">HYPERLINK("https://mncourtfraud.com/file/MCRO_27-CR-20-2581_Finding of Incompetency and Order_2023-05-02_20251126180343.pdf","MCRO_27-CR-20-2581_Finding of Incompetency and Order_2023-05-02_20251126180343.pdf")</f>
        <v>MCRO_27-CR-20-2581_Finding of Incompetency and Order_2023-05-02_20251126180343.pdf</v>
      </c>
      <c r="H82" s="2" t="s">
        <v>644</v>
      </c>
      <c r="I82" s="2" t="s">
        <v>644</v>
      </c>
      <c r="J82" s="2" t="s">
        <v>519</v>
      </c>
      <c r="K82" s="2" t="s">
        <v>520</v>
      </c>
      <c r="L82" s="2" t="s">
        <v>469</v>
      </c>
      <c r="M82" s="8" t="n">
        <v>45048</v>
      </c>
      <c r="N82" s="1" t="s">
        <v>645</v>
      </c>
      <c r="O82" s="1" t="n">
        <v>0</v>
      </c>
      <c r="P82" s="1" t="s">
        <v>646</v>
      </c>
      <c r="Q82" s="1" t="n">
        <v>0</v>
      </c>
      <c r="R82" s="1" t="s">
        <v>701</v>
      </c>
      <c r="S82" s="1" t="n">
        <v>20251126180343</v>
      </c>
      <c r="T82" s="2" t="s">
        <v>648</v>
      </c>
      <c r="U82" s="2" t="s">
        <v>649</v>
      </c>
      <c r="W82" s="2" t="s">
        <v>650</v>
      </c>
      <c r="X82" s="2" t="n">
        <v>976546</v>
      </c>
      <c r="Y82" s="1" t="n">
        <v>1.7</v>
      </c>
      <c r="Z82" s="1" t="n">
        <v>6</v>
      </c>
      <c r="AA82" s="9" t="s">
        <v>475</v>
      </c>
    </row>
    <row r="83" customFormat="false" ht="18.7" hidden="false" customHeight="true" outlineLevel="0" collapsed="false">
      <c r="A83" s="1" t="n">
        <v>82</v>
      </c>
      <c r="B83" s="7" t="str">
        <f aca="false">HYPERLINK("https://mncourtfraud.com/file/27-CR-20-2581.pdf","27-CR-20-2581")</f>
        <v>27-CR-20-2581</v>
      </c>
      <c r="C83" s="1" t="n">
        <v>1</v>
      </c>
      <c r="D83" s="2" t="s">
        <v>12</v>
      </c>
      <c r="E83" s="8" t="n">
        <v>45093</v>
      </c>
      <c r="F83" s="2" t="s">
        <v>82</v>
      </c>
      <c r="G83" s="7" t="str">
        <f aca="false">HYPERLINK("https://mncourtfraud.com/file/MCRO_27-CR-20-2581_Notice of Case Reassignment_2023-06-16_20251126180444.pdf","MCRO_27-CR-20-2581_Notice of Case Reassignment_2023-06-16_20251126180444.pdf")</f>
        <v>MCRO_27-CR-20-2581_Notice of Case Reassignment_2023-06-16_20251126180444.pdf</v>
      </c>
      <c r="H83" s="2" t="s">
        <v>651</v>
      </c>
      <c r="I83" s="2" t="s">
        <v>651</v>
      </c>
      <c r="J83" s="2" t="s">
        <v>535</v>
      </c>
      <c r="K83" s="2" t="s">
        <v>652</v>
      </c>
      <c r="L83" s="2" t="s">
        <v>469</v>
      </c>
      <c r="M83" s="8" t="n">
        <v>45093</v>
      </c>
      <c r="N83" s="1" t="s">
        <v>653</v>
      </c>
      <c r="O83" s="1" t="n">
        <v>5</v>
      </c>
      <c r="P83" s="1" t="s">
        <v>653</v>
      </c>
      <c r="Q83" s="1" t="n">
        <v>5</v>
      </c>
      <c r="R83" s="1" t="s">
        <v>702</v>
      </c>
      <c r="S83" s="1" t="n">
        <v>20251126180444</v>
      </c>
      <c r="T83" s="2" t="s">
        <v>703</v>
      </c>
      <c r="U83" s="2" t="s">
        <v>704</v>
      </c>
      <c r="W83" s="2" t="s">
        <v>657</v>
      </c>
      <c r="X83" s="2" t="n">
        <v>113631</v>
      </c>
      <c r="Y83" s="1" t="n">
        <v>1.6</v>
      </c>
      <c r="Z83" s="1" t="n">
        <v>1</v>
      </c>
    </row>
    <row r="84" customFormat="false" ht="18.7" hidden="false" customHeight="true" outlineLevel="0" collapsed="false">
      <c r="A84" s="1" t="n">
        <v>83</v>
      </c>
      <c r="B84" s="7" t="str">
        <f aca="false">HYPERLINK("https://mncourtfraud.com/file/27-CR-20-2581.pdf","27-CR-20-2581")</f>
        <v>27-CR-20-2581</v>
      </c>
      <c r="C84" s="1" t="n">
        <v>1</v>
      </c>
      <c r="D84" s="2" t="s">
        <v>12</v>
      </c>
      <c r="E84" s="8" t="n">
        <v>45160</v>
      </c>
      <c r="F84" s="2" t="s">
        <v>15</v>
      </c>
      <c r="G84" s="7" t="str">
        <f aca="false">HYPERLINK("https://mncourtfraud.com/file/MCRO_27-CR-20-2581_Order-Evaluation for Competency to Proceed (Rule 20.01)_2023-08-22_20251126180632.pdf","MCRO_27-CR-20-2581_Order-Evaluation for Competency to Proceed (Rule 20.01)_2023-08-22_20251126180632.pdf")</f>
        <v>MCRO_27-CR-20-2581_Order-Evaluation for Competency to Proceed (Rule 20.01)_2023-08-22_20251126180632.pdf</v>
      </c>
      <c r="H84" s="2" t="s">
        <v>658</v>
      </c>
      <c r="I84" s="2" t="s">
        <v>659</v>
      </c>
      <c r="J84" s="2" t="s">
        <v>519</v>
      </c>
      <c r="K84" s="2" t="s">
        <v>520</v>
      </c>
      <c r="L84" s="2" t="s">
        <v>469</v>
      </c>
      <c r="M84" s="8" t="n">
        <v>45160</v>
      </c>
      <c r="N84" s="1" t="s">
        <v>660</v>
      </c>
      <c r="O84" s="1" t="n">
        <v>0</v>
      </c>
      <c r="P84" s="1" t="s">
        <v>661</v>
      </c>
      <c r="Q84" s="1" t="n">
        <v>0</v>
      </c>
      <c r="R84" s="1" t="s">
        <v>705</v>
      </c>
      <c r="S84" s="1" t="n">
        <v>20251126180632</v>
      </c>
      <c r="T84" s="2" t="s">
        <v>663</v>
      </c>
      <c r="U84" s="2" t="s">
        <v>664</v>
      </c>
      <c r="X84" s="2" t="n">
        <v>876401</v>
      </c>
      <c r="Y84" s="1" t="n">
        <v>1.7</v>
      </c>
      <c r="Z84" s="1" t="n">
        <v>2</v>
      </c>
      <c r="AA84" s="9" t="s">
        <v>475</v>
      </c>
    </row>
    <row r="85" customFormat="false" ht="18.7" hidden="false" customHeight="true" outlineLevel="0" collapsed="false">
      <c r="A85" s="1" t="n">
        <v>84</v>
      </c>
      <c r="B85" s="7" t="str">
        <f aca="false">HYPERLINK("https://mncourtfraud.com/file/27-CR-20-5618.pdf","27-CR-20-5618")</f>
        <v>27-CR-20-5618</v>
      </c>
      <c r="C85" s="1" t="n">
        <v>1</v>
      </c>
      <c r="D85" s="2" t="s">
        <v>12</v>
      </c>
      <c r="E85" s="8" t="n">
        <v>43902</v>
      </c>
      <c r="F85" s="2" t="s">
        <v>15</v>
      </c>
      <c r="G85" s="7" t="str">
        <f aca="false">HYPERLINK("https://mncourtfraud.com/file/MCRO_27-CR-20-5618_Order-Evaluation for Competency to Proceed (Rule 20.01)_2020-03-12_20251126181032.pdf","MCRO_27-CR-20-5618_Order-Evaluation for Competency to Proceed (Rule 20.01)_2020-03-12_20251126181032.pdf")</f>
        <v>MCRO_27-CR-20-5618_Order-Evaluation for Competency to Proceed (Rule 20.01)_2020-03-12_20251126181032.pdf</v>
      </c>
      <c r="J85" s="2" t="s">
        <v>476</v>
      </c>
      <c r="K85" s="2" t="s">
        <v>477</v>
      </c>
      <c r="L85" s="2" t="s">
        <v>469</v>
      </c>
      <c r="M85" s="8" t="n">
        <v>43902</v>
      </c>
      <c r="N85" s="1" t="s">
        <v>706</v>
      </c>
      <c r="O85" s="1" t="n">
        <v>6</v>
      </c>
      <c r="P85" s="1" t="s">
        <v>706</v>
      </c>
      <c r="Q85" s="1" t="n">
        <v>6</v>
      </c>
      <c r="R85" s="1" t="s">
        <v>707</v>
      </c>
      <c r="S85" s="1" t="n">
        <v>20251126181032</v>
      </c>
      <c r="T85" s="2" t="s">
        <v>708</v>
      </c>
      <c r="U85" s="2" t="s">
        <v>708</v>
      </c>
      <c r="X85" s="2" t="n">
        <v>1184454</v>
      </c>
      <c r="Y85" s="1" t="n">
        <v>1.7</v>
      </c>
      <c r="Z85" s="1" t="n">
        <v>2</v>
      </c>
      <c r="AA85" s="9" t="s">
        <v>475</v>
      </c>
    </row>
    <row r="86" customFormat="false" ht="18.7" hidden="false" customHeight="true" outlineLevel="0" collapsed="false">
      <c r="A86" s="1" t="n">
        <v>85</v>
      </c>
      <c r="B86" s="7" t="str">
        <f aca="false">HYPERLINK("https://mncourtfraud.com/file/27-CR-20-5618.pdf","27-CR-20-5618")</f>
        <v>27-CR-20-5618</v>
      </c>
      <c r="C86" s="1" t="n">
        <v>1</v>
      </c>
      <c r="D86" s="2" t="s">
        <v>12</v>
      </c>
      <c r="E86" s="8" t="n">
        <v>43970</v>
      </c>
      <c r="F86" s="2" t="s">
        <v>17</v>
      </c>
      <c r="G86" s="7" t="str">
        <f aca="false">HYPERLINK("https://mncourtfraud.com/file/MCRO_27-CR-20-5618_Returned Mail_2020-05-19_20251126181057.pdf","MCRO_27-CR-20-5618_Returned Mail_2020-05-19_20251126181057.pdf")</f>
        <v>MCRO_27-CR-20-5618_Returned Mail_2020-05-19_20251126181057.pdf</v>
      </c>
      <c r="I86" s="2" t="s">
        <v>481</v>
      </c>
      <c r="J86" s="2" t="s">
        <v>481</v>
      </c>
      <c r="K86" s="2" t="s">
        <v>482</v>
      </c>
      <c r="L86" s="2" t="s">
        <v>469</v>
      </c>
      <c r="M86" s="8" t="n">
        <v>43970</v>
      </c>
      <c r="N86" s="1" t="s">
        <v>483</v>
      </c>
      <c r="O86" s="1" t="n">
        <v>0</v>
      </c>
      <c r="P86" s="1" t="s">
        <v>709</v>
      </c>
      <c r="Q86" s="1" t="n">
        <v>0</v>
      </c>
      <c r="R86" s="1" t="s">
        <v>710</v>
      </c>
      <c r="S86" s="1" t="n">
        <v>20251126181057</v>
      </c>
      <c r="T86" s="2" t="s">
        <v>486</v>
      </c>
      <c r="U86" s="2" t="s">
        <v>711</v>
      </c>
      <c r="X86" s="2" t="n">
        <v>262925</v>
      </c>
      <c r="Y86" s="1" t="n">
        <v>1.6</v>
      </c>
      <c r="Z86" s="1" t="n">
        <v>1</v>
      </c>
    </row>
    <row r="87" customFormat="false" ht="18.7" hidden="false" customHeight="true" outlineLevel="0" collapsed="false">
      <c r="A87" s="1" t="n">
        <v>86</v>
      </c>
      <c r="B87" s="7" t="str">
        <f aca="false">HYPERLINK("https://mncourtfraud.com/file/27-CR-20-5618.pdf","27-CR-20-5618")</f>
        <v>27-CR-20-5618</v>
      </c>
      <c r="C87" s="1" t="n">
        <v>1</v>
      </c>
      <c r="D87" s="2" t="s">
        <v>12</v>
      </c>
      <c r="E87" s="8" t="n">
        <v>44103</v>
      </c>
      <c r="F87" s="2" t="s">
        <v>19</v>
      </c>
      <c r="G87" s="7" t="str">
        <f aca="false">HYPERLINK("https://mncourtfraud.com/file/MCRO_27-CR-20-5618_Findings and Order_2020-09-29_20251126180807.pdf","MCRO_27-CR-20-5618_Findings and Order_2020-09-29_20251126180807.pdf")</f>
        <v>MCRO_27-CR-20-5618_Findings and Order_2020-09-29_20251126180807.pdf</v>
      </c>
      <c r="I87" s="2" t="s">
        <v>481</v>
      </c>
      <c r="J87" s="2" t="s">
        <v>481</v>
      </c>
      <c r="K87" s="2" t="s">
        <v>482</v>
      </c>
      <c r="L87" s="2" t="s">
        <v>469</v>
      </c>
      <c r="M87" s="8" t="n">
        <v>44103</v>
      </c>
      <c r="N87" s="1" t="s">
        <v>488</v>
      </c>
      <c r="O87" s="1" t="n">
        <v>1</v>
      </c>
      <c r="P87" s="1" t="s">
        <v>489</v>
      </c>
      <c r="Q87" s="1" t="n">
        <v>1</v>
      </c>
      <c r="R87" s="1" t="s">
        <v>712</v>
      </c>
      <c r="S87" s="1" t="n">
        <v>20251126180807</v>
      </c>
      <c r="T87" s="2" t="s">
        <v>491</v>
      </c>
      <c r="U87" s="2" t="s">
        <v>492</v>
      </c>
      <c r="X87" s="2" t="n">
        <v>334919</v>
      </c>
      <c r="Y87" s="1" t="n">
        <v>1.5</v>
      </c>
      <c r="Z87" s="1" t="n">
        <v>5</v>
      </c>
    </row>
    <row r="88" customFormat="false" ht="18.7" hidden="false" customHeight="true" outlineLevel="0" collapsed="false">
      <c r="A88" s="1" t="n">
        <v>87</v>
      </c>
      <c r="B88" s="7" t="str">
        <f aca="false">HYPERLINK("https://mncourtfraud.com/file/27-CR-20-5618.pdf","27-CR-20-5618")</f>
        <v>27-CR-20-5618</v>
      </c>
      <c r="C88" s="1" t="n">
        <v>1</v>
      </c>
      <c r="D88" s="2" t="s">
        <v>12</v>
      </c>
      <c r="E88" s="8" t="n">
        <v>44225</v>
      </c>
      <c r="F88" s="2" t="s">
        <v>15</v>
      </c>
      <c r="G88" s="7" t="str">
        <f aca="false">HYPERLINK("https://mncourtfraud.com/file/MCRO_27-CR-20-5618_Order-Evaluation for Competency to Proceed (Rule 20.01)_2021-01-29_20251126181045.pdf","MCRO_27-CR-20-5618_Order-Evaluation for Competency to Proceed (Rule 20.01)_2021-01-29_20251126181045.pdf")</f>
        <v>MCRO_27-CR-20-5618_Order-Evaluation for Competency to Proceed (Rule 20.01)_2021-01-29_20251126181045.pdf</v>
      </c>
      <c r="H88" s="2" t="s">
        <v>465</v>
      </c>
      <c r="I88" s="2" t="s">
        <v>466</v>
      </c>
      <c r="J88" s="2" t="s">
        <v>467</v>
      </c>
      <c r="K88" s="2" t="s">
        <v>468</v>
      </c>
      <c r="L88" s="2" t="s">
        <v>469</v>
      </c>
      <c r="M88" s="8" t="n">
        <v>44225</v>
      </c>
      <c r="N88" s="1" t="s">
        <v>493</v>
      </c>
      <c r="O88" s="1" t="n">
        <v>0</v>
      </c>
      <c r="P88" s="1" t="s">
        <v>713</v>
      </c>
      <c r="Q88" s="1" t="n">
        <v>0</v>
      </c>
      <c r="R88" s="1" t="s">
        <v>714</v>
      </c>
      <c r="S88" s="1" t="n">
        <v>20251126181045</v>
      </c>
      <c r="T88" s="2" t="s">
        <v>496</v>
      </c>
      <c r="U88" s="2" t="s">
        <v>715</v>
      </c>
      <c r="X88" s="2" t="n">
        <v>454198</v>
      </c>
      <c r="Y88" s="1" t="n">
        <v>1.6</v>
      </c>
      <c r="Z88" s="1" t="n">
        <v>2</v>
      </c>
      <c r="AA88" s="9" t="s">
        <v>475</v>
      </c>
    </row>
    <row r="89" customFormat="false" ht="18.7" hidden="false" customHeight="true" outlineLevel="0" collapsed="false">
      <c r="A89" s="1" t="n">
        <v>88</v>
      </c>
      <c r="B89" s="7" t="str">
        <f aca="false">HYPERLINK("https://mncourtfraud.com/file/27-CR-20-5618.pdf","27-CR-20-5618")</f>
        <v>27-CR-20-5618</v>
      </c>
      <c r="C89" s="1" t="n">
        <v>1</v>
      </c>
      <c r="D89" s="2" t="s">
        <v>12</v>
      </c>
      <c r="E89" s="8" t="n">
        <v>44396</v>
      </c>
      <c r="F89" s="2" t="s">
        <v>15</v>
      </c>
      <c r="G89" s="7" t="str">
        <f aca="false">HYPERLINK("https://mncourtfraud.com/file/MCRO_27-CR-20-5618_Order-Evaluation for Competency to Proceed (Rule 20.01)_2021-07-19_20251126180920.pdf","MCRO_27-CR-20-5618_Order-Evaluation for Competency to Proceed (Rule 20.01)_2021-07-19_20251126180920.pdf")</f>
        <v>MCRO_27-CR-20-5618_Order-Evaluation for Competency to Proceed (Rule 20.01)_2021-07-19_20251126180920.pdf</v>
      </c>
      <c r="J89" s="2" t="s">
        <v>498</v>
      </c>
      <c r="K89" s="2" t="s">
        <v>499</v>
      </c>
      <c r="L89" s="2" t="s">
        <v>469</v>
      </c>
      <c r="M89" s="8" t="n">
        <v>44396</v>
      </c>
      <c r="N89" s="1" t="s">
        <v>716</v>
      </c>
      <c r="O89" s="1" t="n">
        <v>0</v>
      </c>
      <c r="P89" s="1" t="s">
        <v>716</v>
      </c>
      <c r="Q89" s="1" t="n">
        <v>0</v>
      </c>
      <c r="R89" s="1" t="s">
        <v>717</v>
      </c>
      <c r="S89" s="1" t="n">
        <v>20251126180920</v>
      </c>
      <c r="T89" s="2" t="s">
        <v>718</v>
      </c>
      <c r="U89" s="2" t="s">
        <v>718</v>
      </c>
      <c r="X89" s="2" t="n">
        <v>196377</v>
      </c>
      <c r="Y89" s="1" t="n">
        <v>1.7</v>
      </c>
      <c r="Z89" s="1" t="n">
        <v>2</v>
      </c>
      <c r="AA89" s="9" t="s">
        <v>475</v>
      </c>
    </row>
    <row r="90" customFormat="false" ht="18.7" hidden="false" customHeight="true" outlineLevel="0" collapsed="false">
      <c r="A90" s="1" t="n">
        <v>89</v>
      </c>
      <c r="B90" s="7" t="str">
        <f aca="false">HYPERLINK("https://mncourtfraud.com/file/27-CR-20-5618.pdf","27-CR-20-5618")</f>
        <v>27-CR-20-5618</v>
      </c>
      <c r="C90" s="1" t="n">
        <v>1</v>
      </c>
      <c r="D90" s="2" t="s">
        <v>12</v>
      </c>
      <c r="E90" s="8" t="n">
        <v>44439</v>
      </c>
      <c r="F90" s="2" t="s">
        <v>19</v>
      </c>
      <c r="G90" s="7" t="str">
        <f aca="false">HYPERLINK("https://mncourtfraud.com/file/MCRO_27-CR-20-5618_Findings and Order_2021-08-31_20251126180821.pdf","MCRO_27-CR-20-5618_Findings and Order_2021-08-31_20251126180821.pdf")</f>
        <v>MCRO_27-CR-20-5618_Findings and Order_2021-08-31_20251126180821.pdf</v>
      </c>
      <c r="H90" s="2" t="s">
        <v>503</v>
      </c>
      <c r="I90" s="2" t="s">
        <v>503</v>
      </c>
      <c r="J90" s="2" t="s">
        <v>467</v>
      </c>
      <c r="K90" s="2" t="s">
        <v>468</v>
      </c>
      <c r="L90" s="2" t="s">
        <v>469</v>
      </c>
      <c r="M90" s="8" t="n">
        <v>44439</v>
      </c>
      <c r="N90" s="1" t="s">
        <v>504</v>
      </c>
      <c r="O90" s="1" t="n">
        <v>0</v>
      </c>
      <c r="P90" s="1" t="s">
        <v>505</v>
      </c>
      <c r="Q90" s="1" t="n">
        <v>0</v>
      </c>
      <c r="R90" s="1" t="s">
        <v>719</v>
      </c>
      <c r="S90" s="1" t="n">
        <v>20251126180821</v>
      </c>
      <c r="T90" s="2" t="s">
        <v>507</v>
      </c>
      <c r="U90" s="2" t="s">
        <v>508</v>
      </c>
      <c r="W90" s="2" t="s">
        <v>509</v>
      </c>
      <c r="X90" s="2" t="n">
        <v>375488</v>
      </c>
      <c r="Y90" s="1" t="n">
        <v>1.7</v>
      </c>
      <c r="Z90" s="1" t="n">
        <v>7</v>
      </c>
      <c r="AA90" s="9" t="s">
        <v>475</v>
      </c>
    </row>
    <row r="91" customFormat="false" ht="18.7" hidden="false" customHeight="true" outlineLevel="0" collapsed="false">
      <c r="A91" s="1" t="n">
        <v>90</v>
      </c>
      <c r="B91" s="7" t="str">
        <f aca="false">HYPERLINK("https://mncourtfraud.com/file/27-CR-20-5618.pdf","27-CR-20-5618")</f>
        <v>27-CR-20-5618</v>
      </c>
      <c r="C91" s="1" t="n">
        <v>1</v>
      </c>
      <c r="D91" s="2" t="s">
        <v>12</v>
      </c>
      <c r="E91" s="8" t="n">
        <v>44460</v>
      </c>
      <c r="F91" s="2" t="s">
        <v>24</v>
      </c>
      <c r="G91" s="7" t="str">
        <f aca="false">HYPERLINK("https://mncourtfraud.com/file/MCRO_27-CR-20-5618_Order for Conditional Release_2021-09-21_20251126180857.pdf","MCRO_27-CR-20-5618_Order for Conditional Release_2021-09-21_20251126180857.pdf")</f>
        <v>MCRO_27-CR-20-5618_Order for Conditional Release_2021-09-21_20251126180857.pdf</v>
      </c>
      <c r="I91" s="2" t="s">
        <v>481</v>
      </c>
      <c r="J91" s="2" t="s">
        <v>481</v>
      </c>
      <c r="K91" s="2" t="s">
        <v>482</v>
      </c>
      <c r="L91" s="2" t="s">
        <v>469</v>
      </c>
      <c r="M91" s="8" t="n">
        <v>44460</v>
      </c>
      <c r="N91" s="1" t="s">
        <v>510</v>
      </c>
      <c r="O91" s="1" t="n">
        <v>0</v>
      </c>
      <c r="P91" s="1" t="s">
        <v>511</v>
      </c>
      <c r="Q91" s="1" t="n">
        <v>0</v>
      </c>
      <c r="R91" s="1" t="s">
        <v>720</v>
      </c>
      <c r="S91" s="1" t="n">
        <v>20251126180857</v>
      </c>
      <c r="T91" s="2" t="s">
        <v>513</v>
      </c>
      <c r="U91" s="2" t="s">
        <v>514</v>
      </c>
      <c r="X91" s="2" t="n">
        <v>105849</v>
      </c>
      <c r="Y91" s="1" t="n">
        <v>1.5</v>
      </c>
      <c r="Z91" s="1" t="n">
        <v>1</v>
      </c>
    </row>
    <row r="92" customFormat="false" ht="18.7" hidden="false" customHeight="true" outlineLevel="0" collapsed="false">
      <c r="A92" s="1" t="n">
        <v>91</v>
      </c>
      <c r="B92" s="7" t="str">
        <f aca="false">HYPERLINK("https://mncourtfraud.com/file/27-CR-20-5618.pdf","27-CR-20-5618")</f>
        <v>27-CR-20-5618</v>
      </c>
      <c r="C92" s="1" t="n">
        <v>1</v>
      </c>
      <c r="D92" s="2" t="s">
        <v>12</v>
      </c>
      <c r="E92" s="8" t="n">
        <v>44468</v>
      </c>
      <c r="F92" s="2" t="s">
        <v>24</v>
      </c>
      <c r="G92" s="7" t="str">
        <f aca="false">HYPERLINK("https://mncourtfraud.com/file/MCRO_27-CR-20-5618_Order for Conditional Release_2021-09-29_20251126180905.pdf","MCRO_27-CR-20-5618_Order for Conditional Release_2021-09-29_20251126180905.pdf")</f>
        <v>MCRO_27-CR-20-5618_Order for Conditional Release_2021-09-29_20251126180905.pdf</v>
      </c>
      <c r="I92" s="2" t="s">
        <v>481</v>
      </c>
      <c r="J92" s="2" t="s">
        <v>481</v>
      </c>
      <c r="K92" s="2" t="s">
        <v>482</v>
      </c>
      <c r="L92" s="2" t="s">
        <v>469</v>
      </c>
      <c r="M92" s="8" t="n">
        <v>44468</v>
      </c>
      <c r="N92" s="1" t="s">
        <v>515</v>
      </c>
      <c r="O92" s="1" t="n">
        <v>0</v>
      </c>
      <c r="P92" s="1" t="s">
        <v>516</v>
      </c>
      <c r="Q92" s="1" t="n">
        <v>0</v>
      </c>
      <c r="R92" s="1" t="s">
        <v>721</v>
      </c>
      <c r="S92" s="1" t="n">
        <v>20251126180905</v>
      </c>
      <c r="T92" s="2" t="s">
        <v>513</v>
      </c>
      <c r="U92" s="2" t="s">
        <v>518</v>
      </c>
      <c r="X92" s="2" t="n">
        <v>151809</v>
      </c>
      <c r="Y92" s="1" t="n">
        <v>1.6</v>
      </c>
      <c r="Z92" s="1" t="n">
        <v>1</v>
      </c>
    </row>
    <row r="93" customFormat="false" ht="18.7" hidden="false" customHeight="true" outlineLevel="0" collapsed="false">
      <c r="A93" s="1" t="n">
        <v>92</v>
      </c>
      <c r="B93" s="7" t="str">
        <f aca="false">HYPERLINK("https://mncourtfraud.com/file/27-CR-20-5618.pdf","27-CR-20-5618")</f>
        <v>27-CR-20-5618</v>
      </c>
      <c r="C93" s="1" t="n">
        <v>1</v>
      </c>
      <c r="D93" s="2" t="s">
        <v>12</v>
      </c>
      <c r="E93" s="8" t="n">
        <v>44543</v>
      </c>
      <c r="F93" s="2" t="s">
        <v>15</v>
      </c>
      <c r="G93" s="7" t="str">
        <f aca="false">HYPERLINK("https://mncourtfraud.com/file/MCRO_27-CR-20-5618_Order-Evaluation for Competency to Proceed (Rule 20.01)_2021-12-13_20251126180931.pdf","MCRO_27-CR-20-5618_Order-Evaluation for Competency to Proceed (Rule 20.01)_2021-12-13_20251126180931.pdf")</f>
        <v>MCRO_27-CR-20-5618_Order-Evaluation for Competency to Proceed (Rule 20.01)_2021-12-13_20251126180931.pdf</v>
      </c>
      <c r="H93" s="2" t="s">
        <v>465</v>
      </c>
      <c r="I93" s="2" t="s">
        <v>466</v>
      </c>
      <c r="J93" s="2" t="s">
        <v>519</v>
      </c>
      <c r="K93" s="2" t="s">
        <v>520</v>
      </c>
      <c r="L93" s="2" t="s">
        <v>469</v>
      </c>
      <c r="M93" s="8" t="n">
        <v>44543</v>
      </c>
      <c r="N93" s="1" t="s">
        <v>521</v>
      </c>
      <c r="O93" s="1" t="n">
        <v>0</v>
      </c>
      <c r="P93" s="1" t="s">
        <v>722</v>
      </c>
      <c r="Q93" s="1" t="n">
        <v>0</v>
      </c>
      <c r="R93" s="1" t="s">
        <v>723</v>
      </c>
      <c r="S93" s="1" t="n">
        <v>20251126180931</v>
      </c>
      <c r="T93" s="2" t="s">
        <v>524</v>
      </c>
      <c r="U93" s="2" t="s">
        <v>724</v>
      </c>
      <c r="X93" s="2" t="n">
        <v>233849</v>
      </c>
      <c r="Y93" s="1" t="n">
        <v>1.7</v>
      </c>
      <c r="Z93" s="1" t="n">
        <v>2</v>
      </c>
      <c r="AA93" s="9" t="s">
        <v>475</v>
      </c>
    </row>
    <row r="94" customFormat="false" ht="18.7" hidden="false" customHeight="true" outlineLevel="0" collapsed="false">
      <c r="A94" s="1" t="n">
        <v>93</v>
      </c>
      <c r="B94" s="7" t="str">
        <f aca="false">HYPERLINK("https://mncourtfraud.com/file/27-CR-20-5618.pdf","27-CR-20-5618")</f>
        <v>27-CR-20-5618</v>
      </c>
      <c r="C94" s="1" t="n">
        <v>1</v>
      </c>
      <c r="D94" s="2" t="s">
        <v>12</v>
      </c>
      <c r="E94" s="8" t="n">
        <v>44558</v>
      </c>
      <c r="F94" s="2" t="s">
        <v>15</v>
      </c>
      <c r="G94" s="7" t="str">
        <f aca="false">HYPERLINK("https://mncourtfraud.com/file/MCRO_27-CR-20-5618_Order-Evaluation for Competency to Proceed (Rule 20.01)_2021-12-28_20251126180947.pdf","MCRO_27-CR-20-5618_Order-Evaluation for Competency to Proceed (Rule 20.01)_2021-12-28_20251126180947.pdf")</f>
        <v>MCRO_27-CR-20-5618_Order-Evaluation for Competency to Proceed (Rule 20.01)_2021-12-28_20251126180947.pdf</v>
      </c>
      <c r="J94" s="2" t="s">
        <v>498</v>
      </c>
      <c r="K94" s="2" t="s">
        <v>499</v>
      </c>
      <c r="L94" s="2" t="s">
        <v>469</v>
      </c>
      <c r="M94" s="8" t="n">
        <v>44558</v>
      </c>
      <c r="N94" s="1" t="s">
        <v>725</v>
      </c>
      <c r="O94" s="1" t="n">
        <v>0</v>
      </c>
      <c r="P94" s="1" t="s">
        <v>725</v>
      </c>
      <c r="Q94" s="1" t="n">
        <v>0</v>
      </c>
      <c r="R94" s="1" t="s">
        <v>726</v>
      </c>
      <c r="S94" s="1" t="n">
        <v>20251126180947</v>
      </c>
      <c r="T94" s="2" t="s">
        <v>727</v>
      </c>
      <c r="U94" s="2" t="s">
        <v>727</v>
      </c>
      <c r="X94" s="2" t="n">
        <v>266539</v>
      </c>
      <c r="Y94" s="1" t="n">
        <v>1.7</v>
      </c>
      <c r="Z94" s="1" t="n">
        <v>4</v>
      </c>
      <c r="AA94" s="9" t="s">
        <v>475</v>
      </c>
    </row>
    <row r="95" customFormat="false" ht="18.7" hidden="false" customHeight="true" outlineLevel="0" collapsed="false">
      <c r="A95" s="1" t="n">
        <v>94</v>
      </c>
      <c r="B95" s="7" t="str">
        <f aca="false">HYPERLINK("https://mncourtfraud.com/file/27-CR-20-5618.pdf","27-CR-20-5618")</f>
        <v>27-CR-20-5618</v>
      </c>
      <c r="C95" s="1" t="n">
        <v>1</v>
      </c>
      <c r="D95" s="2" t="s">
        <v>12</v>
      </c>
      <c r="E95" s="8" t="n">
        <v>44593</v>
      </c>
      <c r="F95" s="2" t="s">
        <v>19</v>
      </c>
      <c r="G95" s="7" t="str">
        <f aca="false">HYPERLINK("https://mncourtfraud.com/file/MCRO_27-CR-20-5618_Findings and Order_2022-02-01_20251126180755.pdf","MCRO_27-CR-20-5618_Findings and Order_2022-02-01_20251126180755.pdf")</f>
        <v>MCRO_27-CR-20-5618_Findings and Order_2022-02-01_20251126180755.pdf</v>
      </c>
      <c r="H95" s="2" t="s">
        <v>503</v>
      </c>
      <c r="I95" s="2" t="s">
        <v>503</v>
      </c>
      <c r="J95" s="2" t="s">
        <v>519</v>
      </c>
      <c r="K95" s="2" t="s">
        <v>520</v>
      </c>
      <c r="L95" s="2" t="s">
        <v>469</v>
      </c>
      <c r="M95" s="8" t="n">
        <v>44593</v>
      </c>
      <c r="N95" s="1" t="s">
        <v>529</v>
      </c>
      <c r="O95" s="1" t="n">
        <v>0</v>
      </c>
      <c r="P95" s="1" t="s">
        <v>530</v>
      </c>
      <c r="Q95" s="1" t="n">
        <v>0</v>
      </c>
      <c r="R95" s="1" t="s">
        <v>728</v>
      </c>
      <c r="S95" s="1" t="n">
        <v>20251126180755</v>
      </c>
      <c r="T95" s="2" t="s">
        <v>532</v>
      </c>
      <c r="U95" s="2" t="s">
        <v>533</v>
      </c>
      <c r="W95" s="2" t="s">
        <v>509</v>
      </c>
      <c r="X95" s="2" t="n">
        <v>361789</v>
      </c>
      <c r="Y95" s="1" t="n">
        <v>1.7</v>
      </c>
      <c r="Z95" s="1" t="n">
        <v>7</v>
      </c>
      <c r="AA95" s="9" t="s">
        <v>475</v>
      </c>
    </row>
    <row r="96" customFormat="false" ht="18.7" hidden="false" customHeight="true" outlineLevel="0" collapsed="false">
      <c r="A96" s="1" t="n">
        <v>95</v>
      </c>
      <c r="B96" s="7" t="str">
        <f aca="false">HYPERLINK("https://mncourtfraud.com/file/27-CR-20-5618.pdf","27-CR-20-5618")</f>
        <v>27-CR-20-5618</v>
      </c>
      <c r="C96" s="1" t="n">
        <v>1</v>
      </c>
      <c r="D96" s="2" t="s">
        <v>12</v>
      </c>
      <c r="E96" s="8" t="n">
        <v>44692</v>
      </c>
      <c r="F96" s="2" t="s">
        <v>15</v>
      </c>
      <c r="G96" s="7" t="str">
        <f aca="false">HYPERLINK("https://mncourtfraud.com/file/MCRO_27-CR-20-5618_Order-Evaluation for Competency to Proceed (Rule 20.01)_2022-05-11_20251126180958.pdf","MCRO_27-CR-20-5618_Order-Evaluation for Competency to Proceed (Rule 20.01)_2022-05-11_20251126180958.pdf")</f>
        <v>MCRO_27-CR-20-5618_Order-Evaluation for Competency to Proceed (Rule 20.01)_2022-05-11_20251126180958.pdf</v>
      </c>
      <c r="H96" s="2" t="s">
        <v>534</v>
      </c>
      <c r="I96" s="2" t="s">
        <v>534</v>
      </c>
      <c r="J96" s="2" t="s">
        <v>535</v>
      </c>
      <c r="K96" s="2" t="s">
        <v>536</v>
      </c>
      <c r="L96" s="2" t="s">
        <v>469</v>
      </c>
      <c r="M96" s="8" t="n">
        <v>44692</v>
      </c>
      <c r="N96" s="1" t="s">
        <v>537</v>
      </c>
      <c r="O96" s="1" t="n">
        <v>0</v>
      </c>
      <c r="P96" s="1" t="s">
        <v>729</v>
      </c>
      <c r="Q96" s="1" t="n">
        <v>0</v>
      </c>
      <c r="R96" s="1" t="s">
        <v>730</v>
      </c>
      <c r="S96" s="1" t="n">
        <v>20251126180958</v>
      </c>
      <c r="T96" s="2" t="s">
        <v>540</v>
      </c>
      <c r="U96" s="2" t="s">
        <v>731</v>
      </c>
      <c r="W96" s="2" t="s">
        <v>542</v>
      </c>
      <c r="X96" s="2" t="n">
        <v>239816</v>
      </c>
      <c r="Y96" s="1" t="n">
        <v>1.6</v>
      </c>
      <c r="Z96" s="1" t="n">
        <v>2</v>
      </c>
    </row>
    <row r="97" customFormat="false" ht="18.7" hidden="false" customHeight="true" outlineLevel="0" collapsed="false">
      <c r="A97" s="1" t="n">
        <v>96</v>
      </c>
      <c r="B97" s="7" t="str">
        <f aca="false">HYPERLINK("https://mncourtfraud.com/file/27-CR-20-5618.pdf","27-CR-20-5618")</f>
        <v>27-CR-20-5618</v>
      </c>
      <c r="C97" s="1" t="n">
        <v>1</v>
      </c>
      <c r="D97" s="2" t="s">
        <v>12</v>
      </c>
      <c r="E97" s="8" t="n">
        <v>44895</v>
      </c>
      <c r="F97" s="2" t="s">
        <v>15</v>
      </c>
      <c r="G97" s="7" t="str">
        <f aca="false">HYPERLINK("https://mncourtfraud.com/file/MCRO_27-CR-20-5618_Order-Evaluation for Competency to Proceed (Rule 20.01)_2022-11-30_20251126181007.pdf","MCRO_27-CR-20-5618_Order-Evaluation for Competency to Proceed (Rule 20.01)_2022-11-30_20251126181007.pdf")</f>
        <v>MCRO_27-CR-20-5618_Order-Evaluation for Competency to Proceed (Rule 20.01)_2022-11-30_20251126181007.pdf</v>
      </c>
      <c r="H97" s="2" t="s">
        <v>543</v>
      </c>
      <c r="I97" s="2" t="s">
        <v>544</v>
      </c>
      <c r="J97" s="2" t="s">
        <v>519</v>
      </c>
      <c r="K97" s="2" t="s">
        <v>520</v>
      </c>
      <c r="L97" s="2" t="s">
        <v>469</v>
      </c>
      <c r="M97" s="8" t="n">
        <v>44895</v>
      </c>
      <c r="N97" s="1" t="s">
        <v>545</v>
      </c>
      <c r="O97" s="1" t="n">
        <v>0</v>
      </c>
      <c r="P97" s="1" t="s">
        <v>546</v>
      </c>
      <c r="Q97" s="1" t="n">
        <v>0</v>
      </c>
      <c r="R97" s="1" t="s">
        <v>732</v>
      </c>
      <c r="S97" s="1" t="n">
        <v>20251126181007</v>
      </c>
      <c r="T97" s="2" t="s">
        <v>548</v>
      </c>
      <c r="U97" s="2" t="s">
        <v>549</v>
      </c>
      <c r="X97" s="2" t="n">
        <v>816997</v>
      </c>
      <c r="Y97" s="1" t="n">
        <v>1.7</v>
      </c>
      <c r="Z97" s="1" t="n">
        <v>2</v>
      </c>
      <c r="AA97" s="9" t="s">
        <v>475</v>
      </c>
    </row>
    <row r="98" customFormat="false" ht="18.7" hidden="false" customHeight="true" outlineLevel="0" collapsed="false">
      <c r="A98" s="1" t="n">
        <v>97</v>
      </c>
      <c r="B98" s="7" t="str">
        <f aca="false">HYPERLINK("https://mncourtfraud.com/file/27-CR-20-5618.pdf","27-CR-20-5618")</f>
        <v>27-CR-20-5618</v>
      </c>
      <c r="C98" s="1" t="n">
        <v>1</v>
      </c>
      <c r="D98" s="2" t="s">
        <v>12</v>
      </c>
      <c r="E98" s="8" t="n">
        <v>45048</v>
      </c>
      <c r="F98" s="2" t="s">
        <v>80</v>
      </c>
      <c r="G98" s="7" t="str">
        <f aca="false">HYPERLINK("https://mncourtfraud.com/file/MCRO_27-CR-20-5618_Finding of Incompetency and Order_2023-05-02_20251126180741.pdf","MCRO_27-CR-20-5618_Finding of Incompetency and Order_2023-05-02_20251126180741.pdf")</f>
        <v>MCRO_27-CR-20-5618_Finding of Incompetency and Order_2023-05-02_20251126180741.pdf</v>
      </c>
      <c r="H98" s="2" t="s">
        <v>644</v>
      </c>
      <c r="I98" s="2" t="s">
        <v>644</v>
      </c>
      <c r="J98" s="2" t="s">
        <v>519</v>
      </c>
      <c r="K98" s="2" t="s">
        <v>520</v>
      </c>
      <c r="L98" s="2" t="s">
        <v>469</v>
      </c>
      <c r="M98" s="8" t="n">
        <v>45048</v>
      </c>
      <c r="N98" s="1" t="s">
        <v>645</v>
      </c>
      <c r="O98" s="1" t="n">
        <v>0</v>
      </c>
      <c r="P98" s="1" t="s">
        <v>646</v>
      </c>
      <c r="Q98" s="1" t="n">
        <v>0</v>
      </c>
      <c r="R98" s="1" t="s">
        <v>733</v>
      </c>
      <c r="S98" s="1" t="n">
        <v>20251126180741</v>
      </c>
      <c r="T98" s="2" t="s">
        <v>648</v>
      </c>
      <c r="U98" s="2" t="s">
        <v>649</v>
      </c>
      <c r="W98" s="2" t="s">
        <v>650</v>
      </c>
      <c r="X98" s="2" t="n">
        <v>976549</v>
      </c>
      <c r="Y98" s="1" t="n">
        <v>1.7</v>
      </c>
      <c r="Z98" s="1" t="n">
        <v>6</v>
      </c>
      <c r="AA98" s="9" t="s">
        <v>475</v>
      </c>
    </row>
    <row r="99" customFormat="false" ht="18.7" hidden="false" customHeight="true" outlineLevel="0" collapsed="false">
      <c r="A99" s="1" t="n">
        <v>98</v>
      </c>
      <c r="B99" s="7" t="str">
        <f aca="false">HYPERLINK("https://mncourtfraud.com/file/27-CR-20-5618.pdf","27-CR-20-5618")</f>
        <v>27-CR-20-5618</v>
      </c>
      <c r="C99" s="1" t="n">
        <v>1</v>
      </c>
      <c r="D99" s="2" t="s">
        <v>12</v>
      </c>
      <c r="E99" s="8" t="n">
        <v>45093</v>
      </c>
      <c r="F99" s="2" t="s">
        <v>82</v>
      </c>
      <c r="G99" s="7" t="str">
        <f aca="false">HYPERLINK("https://mncourtfraud.com/file/MCRO_27-CR-20-5618_Notice of Case Reassignment_2023-06-16_20251126180834.pdf","MCRO_27-CR-20-5618_Notice of Case Reassignment_2023-06-16_20251126180834.pdf")</f>
        <v>MCRO_27-CR-20-5618_Notice of Case Reassignment_2023-06-16_20251126180834.pdf</v>
      </c>
      <c r="H99" s="2" t="s">
        <v>651</v>
      </c>
      <c r="I99" s="2" t="s">
        <v>651</v>
      </c>
      <c r="J99" s="2" t="s">
        <v>535</v>
      </c>
      <c r="K99" s="2" t="s">
        <v>652</v>
      </c>
      <c r="L99" s="2" t="s">
        <v>469</v>
      </c>
      <c r="M99" s="8" t="n">
        <v>45093</v>
      </c>
      <c r="N99" s="1" t="s">
        <v>653</v>
      </c>
      <c r="O99" s="1" t="n">
        <v>5</v>
      </c>
      <c r="P99" s="1" t="s">
        <v>653</v>
      </c>
      <c r="Q99" s="1" t="n">
        <v>5</v>
      </c>
      <c r="R99" s="1" t="s">
        <v>734</v>
      </c>
      <c r="S99" s="1" t="n">
        <v>20251126180834</v>
      </c>
      <c r="T99" s="2" t="s">
        <v>735</v>
      </c>
      <c r="U99" s="2" t="s">
        <v>736</v>
      </c>
      <c r="W99" s="2" t="s">
        <v>657</v>
      </c>
      <c r="X99" s="2" t="n">
        <v>113628</v>
      </c>
      <c r="Y99" s="1" t="n">
        <v>1.6</v>
      </c>
      <c r="Z99" s="1" t="n">
        <v>1</v>
      </c>
    </row>
    <row r="100" customFormat="false" ht="18.7" hidden="false" customHeight="true" outlineLevel="0" collapsed="false">
      <c r="A100" s="1" t="n">
        <v>99</v>
      </c>
      <c r="B100" s="7" t="str">
        <f aca="false">HYPERLINK("https://mncourtfraud.com/file/27-CR-20-5618.pdf","27-CR-20-5618")</f>
        <v>27-CR-20-5618</v>
      </c>
      <c r="C100" s="1" t="n">
        <v>1</v>
      </c>
      <c r="D100" s="2" t="s">
        <v>12</v>
      </c>
      <c r="E100" s="8" t="n">
        <v>45160</v>
      </c>
      <c r="F100" s="2" t="s">
        <v>15</v>
      </c>
      <c r="G100" s="7" t="str">
        <f aca="false">HYPERLINK("https://mncourtfraud.com/file/MCRO_27-CR-20-5618_Order-Evaluation for Competency to Proceed (Rule 20.01)_2023-08-22_20251126181021.pdf","MCRO_27-CR-20-5618_Order-Evaluation for Competency to Proceed (Rule 20.01)_2023-08-22_20251126181021.pdf")</f>
        <v>MCRO_27-CR-20-5618_Order-Evaluation for Competency to Proceed (Rule 20.01)_2023-08-22_20251126181021.pdf</v>
      </c>
      <c r="H100" s="2" t="s">
        <v>658</v>
      </c>
      <c r="I100" s="2" t="s">
        <v>659</v>
      </c>
      <c r="J100" s="2" t="s">
        <v>519</v>
      </c>
      <c r="K100" s="2" t="s">
        <v>520</v>
      </c>
      <c r="L100" s="2" t="s">
        <v>469</v>
      </c>
      <c r="M100" s="8" t="n">
        <v>45160</v>
      </c>
      <c r="N100" s="1" t="s">
        <v>660</v>
      </c>
      <c r="O100" s="1" t="n">
        <v>0</v>
      </c>
      <c r="P100" s="1" t="s">
        <v>661</v>
      </c>
      <c r="Q100" s="1" t="n">
        <v>0</v>
      </c>
      <c r="R100" s="1" t="s">
        <v>737</v>
      </c>
      <c r="S100" s="1" t="n">
        <v>20251126181021</v>
      </c>
      <c r="T100" s="2" t="s">
        <v>663</v>
      </c>
      <c r="U100" s="2" t="s">
        <v>664</v>
      </c>
      <c r="X100" s="2" t="n">
        <v>876402</v>
      </c>
      <c r="Y100" s="1" t="n">
        <v>1.7</v>
      </c>
      <c r="Z100" s="1" t="n">
        <v>2</v>
      </c>
      <c r="AA100" s="9" t="s">
        <v>475</v>
      </c>
    </row>
    <row r="101" customFormat="false" ht="18.7" hidden="false" customHeight="true" outlineLevel="0" collapsed="false">
      <c r="A101" s="1" t="n">
        <v>100</v>
      </c>
      <c r="B101" s="7" t="str">
        <f aca="false">HYPERLINK("https://mncourtfraud.com/file/27-CR-20-693.pdf","27-CR-20-693")</f>
        <v>27-CR-20-693</v>
      </c>
      <c r="C101" s="1" t="n">
        <v>1</v>
      </c>
      <c r="D101" s="2" t="s">
        <v>12</v>
      </c>
      <c r="E101" s="8" t="n">
        <v>43844</v>
      </c>
      <c r="F101" s="2" t="s">
        <v>13</v>
      </c>
      <c r="G101" s="7" t="str">
        <f aca="false">HYPERLINK("https://mncourtfraud.com/file/MCRO_27-CR-20-693_Find of Fact-Order, Pet Commitment-Dfd Found Incompetent_2020-01-14_20251126181126.pdf","MCRO_27-CR-20-693_Find of Fact-Order, Pet Commitment-Dfd Found Incompetent_2020-01-14_20251126181126.pdf")</f>
        <v>MCRO_27-CR-20-693_Find of Fact-Order, Pet Commitment-Dfd Found Incompetent_2020-01-14_20251126181126.pdf</v>
      </c>
      <c r="H101" s="2" t="s">
        <v>465</v>
      </c>
      <c r="I101" s="2" t="s">
        <v>466</v>
      </c>
      <c r="J101" s="2" t="s">
        <v>467</v>
      </c>
      <c r="K101" s="2" t="s">
        <v>468</v>
      </c>
      <c r="L101" s="2" t="s">
        <v>469</v>
      </c>
      <c r="M101" s="8" t="n">
        <v>43844</v>
      </c>
      <c r="N101" s="1" t="s">
        <v>470</v>
      </c>
      <c r="O101" s="1" t="n">
        <v>0</v>
      </c>
      <c r="P101" s="1" t="s">
        <v>471</v>
      </c>
      <c r="Q101" s="1" t="n">
        <v>0</v>
      </c>
      <c r="R101" s="1" t="s">
        <v>738</v>
      </c>
      <c r="S101" s="1" t="n">
        <v>20251126181126</v>
      </c>
      <c r="T101" s="2" t="s">
        <v>473</v>
      </c>
      <c r="U101" s="2" t="s">
        <v>474</v>
      </c>
      <c r="X101" s="2" t="n">
        <v>232655</v>
      </c>
      <c r="Y101" s="1" t="n">
        <v>1.5</v>
      </c>
      <c r="Z101" s="1" t="n">
        <v>5</v>
      </c>
      <c r="AA101" s="9" t="s">
        <v>475</v>
      </c>
    </row>
    <row r="102" customFormat="false" ht="18.7" hidden="false" customHeight="true" outlineLevel="0" collapsed="false">
      <c r="A102" s="1" t="n">
        <v>101</v>
      </c>
      <c r="B102" s="7" t="str">
        <f aca="false">HYPERLINK("https://mncourtfraud.com/file/27-CR-20-693.pdf","27-CR-20-693")</f>
        <v>27-CR-20-693</v>
      </c>
      <c r="C102" s="1" t="n">
        <v>1</v>
      </c>
      <c r="D102" s="2" t="s">
        <v>12</v>
      </c>
      <c r="E102" s="8" t="n">
        <v>43902</v>
      </c>
      <c r="F102" s="2" t="s">
        <v>15</v>
      </c>
      <c r="G102" s="7" t="str">
        <f aca="false">HYPERLINK("https://mncourtfraud.com/file/MCRO_27-CR-20-693_Order-Evaluation for Competency to Proceed (Rule 20.01)_2020-03-12_20251126181339.pdf","MCRO_27-CR-20-693_Order-Evaluation for Competency to Proceed (Rule 20.01)_2020-03-12_20251126181339.pdf")</f>
        <v>MCRO_27-CR-20-693_Order-Evaluation for Competency to Proceed (Rule 20.01)_2020-03-12_20251126181339.pdf</v>
      </c>
      <c r="J102" s="2" t="s">
        <v>476</v>
      </c>
      <c r="K102" s="2" t="s">
        <v>477</v>
      </c>
      <c r="L102" s="2" t="s">
        <v>469</v>
      </c>
      <c r="M102" s="8" t="n">
        <v>43902</v>
      </c>
      <c r="N102" s="1" t="s">
        <v>739</v>
      </c>
      <c r="O102" s="1" t="n">
        <v>6</v>
      </c>
      <c r="P102" s="1" t="s">
        <v>739</v>
      </c>
      <c r="Q102" s="1" t="n">
        <v>6</v>
      </c>
      <c r="R102" s="1" t="s">
        <v>740</v>
      </c>
      <c r="S102" s="1" t="n">
        <v>20251126181339</v>
      </c>
      <c r="T102" s="2" t="s">
        <v>741</v>
      </c>
      <c r="U102" s="2" t="s">
        <v>741</v>
      </c>
      <c r="X102" s="2" t="n">
        <v>1180579</v>
      </c>
      <c r="Y102" s="1" t="n">
        <v>1.7</v>
      </c>
      <c r="Z102" s="1" t="n">
        <v>2</v>
      </c>
      <c r="AA102" s="9" t="s">
        <v>475</v>
      </c>
    </row>
    <row r="103" customFormat="false" ht="18.7" hidden="false" customHeight="true" outlineLevel="0" collapsed="false">
      <c r="A103" s="1" t="n">
        <v>102</v>
      </c>
      <c r="B103" s="7" t="str">
        <f aca="false">HYPERLINK("https://mncourtfraud.com/file/27-CR-20-693.pdf","27-CR-20-693")</f>
        <v>27-CR-20-693</v>
      </c>
      <c r="C103" s="1" t="n">
        <v>1</v>
      </c>
      <c r="D103" s="2" t="s">
        <v>12</v>
      </c>
      <c r="E103" s="8" t="n">
        <v>43970</v>
      </c>
      <c r="F103" s="2" t="s">
        <v>17</v>
      </c>
      <c r="G103" s="7" t="str">
        <f aca="false">HYPERLINK("https://mncourtfraud.com/file/MCRO_27-CR-20-693_Returned Mail_2020-05-19_20251126181401.pdf","MCRO_27-CR-20-693_Returned Mail_2020-05-19_20251126181401.pdf")</f>
        <v>MCRO_27-CR-20-693_Returned Mail_2020-05-19_20251126181401.pdf</v>
      </c>
      <c r="I103" s="2" t="s">
        <v>481</v>
      </c>
      <c r="J103" s="2" t="s">
        <v>481</v>
      </c>
      <c r="K103" s="2" t="s">
        <v>482</v>
      </c>
      <c r="L103" s="2" t="s">
        <v>469</v>
      </c>
      <c r="M103" s="8" t="n">
        <v>43970</v>
      </c>
      <c r="N103" s="1" t="s">
        <v>483</v>
      </c>
      <c r="O103" s="1" t="n">
        <v>0</v>
      </c>
      <c r="P103" s="1" t="s">
        <v>742</v>
      </c>
      <c r="Q103" s="1" t="n">
        <v>0</v>
      </c>
      <c r="R103" s="1" t="s">
        <v>743</v>
      </c>
      <c r="S103" s="1" t="n">
        <v>20251126181401</v>
      </c>
      <c r="T103" s="2" t="s">
        <v>486</v>
      </c>
      <c r="U103" s="2" t="s">
        <v>744</v>
      </c>
      <c r="X103" s="2" t="n">
        <v>262930</v>
      </c>
      <c r="Y103" s="1" t="n">
        <v>1.6</v>
      </c>
      <c r="Z103" s="1" t="n">
        <v>1</v>
      </c>
    </row>
    <row r="104" customFormat="false" ht="18.7" hidden="false" customHeight="true" outlineLevel="0" collapsed="false">
      <c r="A104" s="1" t="n">
        <v>103</v>
      </c>
      <c r="B104" s="7" t="str">
        <f aca="false">HYPERLINK("https://mncourtfraud.com/file/27-CR-20-693.pdf","27-CR-20-693")</f>
        <v>27-CR-20-693</v>
      </c>
      <c r="C104" s="1" t="n">
        <v>1</v>
      </c>
      <c r="D104" s="2" t="s">
        <v>12</v>
      </c>
      <c r="E104" s="8" t="n">
        <v>44103</v>
      </c>
      <c r="F104" s="2" t="s">
        <v>19</v>
      </c>
      <c r="G104" s="7" t="str">
        <f aca="false">HYPERLINK("https://mncourtfraud.com/file/MCRO_27-CR-20-693_Findings and Order_2020-09-29_20251126181151.pdf","MCRO_27-CR-20-693_Findings and Order_2020-09-29_20251126181151.pdf")</f>
        <v>MCRO_27-CR-20-693_Findings and Order_2020-09-29_20251126181151.pdf</v>
      </c>
      <c r="I104" s="2" t="s">
        <v>481</v>
      </c>
      <c r="J104" s="2" t="s">
        <v>481</v>
      </c>
      <c r="K104" s="2" t="s">
        <v>482</v>
      </c>
      <c r="L104" s="2" t="s">
        <v>469</v>
      </c>
      <c r="M104" s="8" t="n">
        <v>44103</v>
      </c>
      <c r="N104" s="1" t="s">
        <v>488</v>
      </c>
      <c r="O104" s="1" t="n">
        <v>1</v>
      </c>
      <c r="P104" s="1" t="s">
        <v>489</v>
      </c>
      <c r="Q104" s="1" t="n">
        <v>1</v>
      </c>
      <c r="R104" s="1" t="s">
        <v>745</v>
      </c>
      <c r="S104" s="1" t="n">
        <v>20251126181151</v>
      </c>
      <c r="T104" s="2" t="s">
        <v>491</v>
      </c>
      <c r="U104" s="2" t="s">
        <v>492</v>
      </c>
      <c r="X104" s="2" t="n">
        <v>334913</v>
      </c>
      <c r="Y104" s="1" t="n">
        <v>1.5</v>
      </c>
      <c r="Z104" s="1" t="n">
        <v>5</v>
      </c>
    </row>
    <row r="105" customFormat="false" ht="18.7" hidden="false" customHeight="true" outlineLevel="0" collapsed="false">
      <c r="A105" s="1" t="n">
        <v>104</v>
      </c>
      <c r="B105" s="7" t="str">
        <f aca="false">HYPERLINK("https://mncourtfraud.com/file/27-CR-20-693.pdf","27-CR-20-693")</f>
        <v>27-CR-20-693</v>
      </c>
      <c r="C105" s="1" t="n">
        <v>1</v>
      </c>
      <c r="D105" s="2" t="s">
        <v>12</v>
      </c>
      <c r="E105" s="8" t="n">
        <v>44225</v>
      </c>
      <c r="F105" s="2" t="s">
        <v>15</v>
      </c>
      <c r="G105" s="7" t="str">
        <f aca="false">HYPERLINK("https://mncourtfraud.com/file/MCRO_27-CR-20-693_Order-Evaluation for Competency to Proceed (Rule 20.01)_2021-01-29_20251126181349.pdf","MCRO_27-CR-20-693_Order-Evaluation for Competency to Proceed (Rule 20.01)_2021-01-29_20251126181349.pdf")</f>
        <v>MCRO_27-CR-20-693_Order-Evaluation for Competency to Proceed (Rule 20.01)_2021-01-29_20251126181349.pdf</v>
      </c>
      <c r="H105" s="2" t="s">
        <v>465</v>
      </c>
      <c r="I105" s="2" t="s">
        <v>466</v>
      </c>
      <c r="J105" s="2" t="s">
        <v>467</v>
      </c>
      <c r="K105" s="2" t="s">
        <v>468</v>
      </c>
      <c r="L105" s="2" t="s">
        <v>469</v>
      </c>
      <c r="M105" s="8" t="n">
        <v>44225</v>
      </c>
      <c r="N105" s="1" t="s">
        <v>493</v>
      </c>
      <c r="O105" s="1" t="n">
        <v>0</v>
      </c>
      <c r="P105" s="1" t="s">
        <v>746</v>
      </c>
      <c r="Q105" s="1" t="n">
        <v>0</v>
      </c>
      <c r="R105" s="1" t="s">
        <v>747</v>
      </c>
      <c r="S105" s="1" t="n">
        <v>20251126181349</v>
      </c>
      <c r="T105" s="2" t="s">
        <v>496</v>
      </c>
      <c r="U105" s="2" t="s">
        <v>748</v>
      </c>
      <c r="X105" s="2" t="n">
        <v>454198</v>
      </c>
      <c r="Y105" s="1" t="n">
        <v>1.6</v>
      </c>
      <c r="Z105" s="1" t="n">
        <v>2</v>
      </c>
      <c r="AA105" s="9" t="s">
        <v>475</v>
      </c>
    </row>
    <row r="106" customFormat="false" ht="18.7" hidden="false" customHeight="true" outlineLevel="0" collapsed="false">
      <c r="A106" s="1" t="n">
        <v>105</v>
      </c>
      <c r="B106" s="7" t="str">
        <f aca="false">HYPERLINK("https://mncourtfraud.com/file/27-CR-20-693.pdf","27-CR-20-693")</f>
        <v>27-CR-20-693</v>
      </c>
      <c r="C106" s="1" t="n">
        <v>1</v>
      </c>
      <c r="D106" s="2" t="s">
        <v>12</v>
      </c>
      <c r="E106" s="8" t="n">
        <v>44396</v>
      </c>
      <c r="F106" s="2" t="s">
        <v>15</v>
      </c>
      <c r="G106" s="7" t="str">
        <f aca="false">HYPERLINK("https://mncourtfraud.com/file/MCRO_27-CR-20-693_Order-Evaluation for Competency to Proceed (Rule 20.01)_2021-07-19_20251126181241.pdf","MCRO_27-CR-20-693_Order-Evaluation for Competency to Proceed (Rule 20.01)_2021-07-19_20251126181241.pdf")</f>
        <v>MCRO_27-CR-20-693_Order-Evaluation for Competency to Proceed (Rule 20.01)_2021-07-19_20251126181241.pdf</v>
      </c>
      <c r="J106" s="2" t="s">
        <v>498</v>
      </c>
      <c r="K106" s="2" t="s">
        <v>499</v>
      </c>
      <c r="L106" s="2" t="s">
        <v>469</v>
      </c>
      <c r="M106" s="8" t="n">
        <v>44396</v>
      </c>
      <c r="N106" s="1" t="s">
        <v>749</v>
      </c>
      <c r="O106" s="1" t="n">
        <v>0</v>
      </c>
      <c r="P106" s="1" t="s">
        <v>749</v>
      </c>
      <c r="Q106" s="1" t="n">
        <v>0</v>
      </c>
      <c r="R106" s="1" t="s">
        <v>750</v>
      </c>
      <c r="S106" s="1" t="n">
        <v>20251126181241</v>
      </c>
      <c r="T106" s="2" t="s">
        <v>751</v>
      </c>
      <c r="U106" s="2" t="s">
        <v>751</v>
      </c>
      <c r="X106" s="2" t="n">
        <v>193298</v>
      </c>
      <c r="Y106" s="1" t="n">
        <v>1.7</v>
      </c>
      <c r="Z106" s="1" t="n">
        <v>2</v>
      </c>
      <c r="AA106" s="9" t="s">
        <v>475</v>
      </c>
    </row>
    <row r="107" customFormat="false" ht="18.7" hidden="false" customHeight="true" outlineLevel="0" collapsed="false">
      <c r="A107" s="1" t="n">
        <v>106</v>
      </c>
      <c r="B107" s="7" t="str">
        <f aca="false">HYPERLINK("https://mncourtfraud.com/file/27-CR-20-693.pdf","27-CR-20-693")</f>
        <v>27-CR-20-693</v>
      </c>
      <c r="C107" s="1" t="n">
        <v>1</v>
      </c>
      <c r="D107" s="2" t="s">
        <v>12</v>
      </c>
      <c r="E107" s="8" t="n">
        <v>44439</v>
      </c>
      <c r="F107" s="2" t="s">
        <v>19</v>
      </c>
      <c r="G107" s="7" t="str">
        <f aca="false">HYPERLINK("https://mncourtfraud.com/file/MCRO_27-CR-20-693_Findings and Order_2021-08-31_20251126181201.pdf","MCRO_27-CR-20-693_Findings and Order_2021-08-31_20251126181201.pdf")</f>
        <v>MCRO_27-CR-20-693_Findings and Order_2021-08-31_20251126181201.pdf</v>
      </c>
      <c r="H107" s="2" t="s">
        <v>503</v>
      </c>
      <c r="I107" s="2" t="s">
        <v>503</v>
      </c>
      <c r="J107" s="2" t="s">
        <v>467</v>
      </c>
      <c r="K107" s="2" t="s">
        <v>468</v>
      </c>
      <c r="L107" s="2" t="s">
        <v>469</v>
      </c>
      <c r="M107" s="8" t="n">
        <v>44439</v>
      </c>
      <c r="N107" s="1" t="s">
        <v>504</v>
      </c>
      <c r="O107" s="1" t="n">
        <v>0</v>
      </c>
      <c r="P107" s="1" t="s">
        <v>505</v>
      </c>
      <c r="Q107" s="1" t="n">
        <v>0</v>
      </c>
      <c r="R107" s="1" t="s">
        <v>752</v>
      </c>
      <c r="S107" s="1" t="n">
        <v>20251126181201</v>
      </c>
      <c r="T107" s="2" t="s">
        <v>507</v>
      </c>
      <c r="U107" s="2" t="s">
        <v>508</v>
      </c>
      <c r="W107" s="2" t="s">
        <v>509</v>
      </c>
      <c r="X107" s="2" t="n">
        <v>375489</v>
      </c>
      <c r="Y107" s="1" t="n">
        <v>1.7</v>
      </c>
      <c r="Z107" s="1" t="n">
        <v>7</v>
      </c>
      <c r="AA107" s="9" t="s">
        <v>475</v>
      </c>
    </row>
    <row r="108" customFormat="false" ht="18.7" hidden="false" customHeight="true" outlineLevel="0" collapsed="false">
      <c r="A108" s="1" t="n">
        <v>107</v>
      </c>
      <c r="B108" s="7" t="str">
        <f aca="false">HYPERLINK("https://mncourtfraud.com/file/27-CR-20-693.pdf","27-CR-20-693")</f>
        <v>27-CR-20-693</v>
      </c>
      <c r="C108" s="1" t="n">
        <v>1</v>
      </c>
      <c r="D108" s="2" t="s">
        <v>12</v>
      </c>
      <c r="E108" s="8" t="n">
        <v>44460</v>
      </c>
      <c r="F108" s="2" t="s">
        <v>24</v>
      </c>
      <c r="G108" s="7" t="str">
        <f aca="false">HYPERLINK("https://mncourtfraud.com/file/MCRO_27-CR-20-693_Order for Conditional Release_2021-09-21_20251126181227.pdf","MCRO_27-CR-20-693_Order for Conditional Release_2021-09-21_20251126181227.pdf")</f>
        <v>MCRO_27-CR-20-693_Order for Conditional Release_2021-09-21_20251126181227.pdf</v>
      </c>
      <c r="I108" s="2" t="s">
        <v>481</v>
      </c>
      <c r="J108" s="2" t="s">
        <v>481</v>
      </c>
      <c r="K108" s="2" t="s">
        <v>482</v>
      </c>
      <c r="L108" s="2" t="s">
        <v>469</v>
      </c>
      <c r="M108" s="8" t="n">
        <v>44460</v>
      </c>
      <c r="N108" s="1" t="s">
        <v>510</v>
      </c>
      <c r="O108" s="1" t="n">
        <v>0</v>
      </c>
      <c r="P108" s="1" t="s">
        <v>511</v>
      </c>
      <c r="Q108" s="1" t="n">
        <v>0</v>
      </c>
      <c r="R108" s="1" t="s">
        <v>753</v>
      </c>
      <c r="S108" s="1" t="n">
        <v>20251126181227</v>
      </c>
      <c r="T108" s="2" t="s">
        <v>513</v>
      </c>
      <c r="U108" s="2" t="s">
        <v>514</v>
      </c>
      <c r="X108" s="2" t="n">
        <v>105849</v>
      </c>
      <c r="Y108" s="1" t="n">
        <v>1.5</v>
      </c>
      <c r="Z108" s="1" t="n">
        <v>1</v>
      </c>
    </row>
    <row r="109" customFormat="false" ht="18.7" hidden="false" customHeight="true" outlineLevel="0" collapsed="false">
      <c r="A109" s="1" t="n">
        <v>108</v>
      </c>
      <c r="B109" s="7" t="str">
        <f aca="false">HYPERLINK("https://mncourtfraud.com/file/27-CR-20-693.pdf","27-CR-20-693")</f>
        <v>27-CR-20-693</v>
      </c>
      <c r="C109" s="1" t="n">
        <v>1</v>
      </c>
      <c r="D109" s="2" t="s">
        <v>12</v>
      </c>
      <c r="E109" s="8" t="n">
        <v>44468</v>
      </c>
      <c r="F109" s="2" t="s">
        <v>24</v>
      </c>
      <c r="G109" s="7" t="str">
        <f aca="false">HYPERLINK("https://mncourtfraud.com/file/MCRO_27-CR-20-693_Order for Conditional Release_2021-09-29_20251126181223.pdf","MCRO_27-CR-20-693_Order for Conditional Release_2021-09-29_20251126181223.pdf")</f>
        <v>MCRO_27-CR-20-693_Order for Conditional Release_2021-09-29_20251126181223.pdf</v>
      </c>
      <c r="I109" s="2" t="s">
        <v>481</v>
      </c>
      <c r="J109" s="2" t="s">
        <v>481</v>
      </c>
      <c r="K109" s="2" t="s">
        <v>482</v>
      </c>
      <c r="L109" s="2" t="s">
        <v>469</v>
      </c>
      <c r="M109" s="8" t="n">
        <v>44468</v>
      </c>
      <c r="N109" s="1" t="s">
        <v>515</v>
      </c>
      <c r="O109" s="1" t="n">
        <v>0</v>
      </c>
      <c r="P109" s="1" t="s">
        <v>516</v>
      </c>
      <c r="Q109" s="1" t="n">
        <v>0</v>
      </c>
      <c r="R109" s="1" t="s">
        <v>754</v>
      </c>
      <c r="S109" s="1" t="n">
        <v>20251126181223</v>
      </c>
      <c r="T109" s="2" t="s">
        <v>513</v>
      </c>
      <c r="U109" s="2" t="s">
        <v>518</v>
      </c>
      <c r="X109" s="2" t="n">
        <v>151808</v>
      </c>
      <c r="Y109" s="1" t="n">
        <v>1.6</v>
      </c>
      <c r="Z109" s="1" t="n">
        <v>1</v>
      </c>
    </row>
    <row r="110" customFormat="false" ht="18.7" hidden="false" customHeight="true" outlineLevel="0" collapsed="false">
      <c r="A110" s="1" t="n">
        <v>109</v>
      </c>
      <c r="B110" s="7" t="str">
        <f aca="false">HYPERLINK("https://mncourtfraud.com/file/27-CR-20-693.pdf","27-CR-20-693")</f>
        <v>27-CR-20-693</v>
      </c>
      <c r="C110" s="1" t="n">
        <v>1</v>
      </c>
      <c r="D110" s="2" t="s">
        <v>12</v>
      </c>
      <c r="E110" s="8" t="n">
        <v>44543</v>
      </c>
      <c r="F110" s="2" t="s">
        <v>15</v>
      </c>
      <c r="G110" s="7" t="str">
        <f aca="false">HYPERLINK("https://mncourtfraud.com/file/MCRO_27-CR-20-693_Order-Evaluation for Competency to Proceed (Rule 20.01)_2021-12-13_20251126181255.pdf","MCRO_27-CR-20-693_Order-Evaluation for Competency to Proceed (Rule 20.01)_2021-12-13_20251126181255.pdf")</f>
        <v>MCRO_27-CR-20-693_Order-Evaluation for Competency to Proceed (Rule 20.01)_2021-12-13_20251126181255.pdf</v>
      </c>
      <c r="H110" s="2" t="s">
        <v>465</v>
      </c>
      <c r="I110" s="2" t="s">
        <v>466</v>
      </c>
      <c r="J110" s="2" t="s">
        <v>519</v>
      </c>
      <c r="K110" s="2" t="s">
        <v>520</v>
      </c>
      <c r="L110" s="2" t="s">
        <v>469</v>
      </c>
      <c r="M110" s="8" t="n">
        <v>44543</v>
      </c>
      <c r="N110" s="1" t="s">
        <v>521</v>
      </c>
      <c r="O110" s="1" t="n">
        <v>0</v>
      </c>
      <c r="P110" s="1" t="s">
        <v>755</v>
      </c>
      <c r="Q110" s="1" t="n">
        <v>0</v>
      </c>
      <c r="R110" s="1" t="s">
        <v>756</v>
      </c>
      <c r="S110" s="1" t="n">
        <v>20251126181255</v>
      </c>
      <c r="T110" s="2" t="s">
        <v>524</v>
      </c>
      <c r="U110" s="2" t="s">
        <v>757</v>
      </c>
      <c r="X110" s="2" t="n">
        <v>233850</v>
      </c>
      <c r="Y110" s="1" t="n">
        <v>1.7</v>
      </c>
      <c r="Z110" s="1" t="n">
        <v>2</v>
      </c>
      <c r="AA110" s="9" t="s">
        <v>475</v>
      </c>
    </row>
    <row r="111" customFormat="false" ht="18.7" hidden="false" customHeight="true" outlineLevel="0" collapsed="false">
      <c r="A111" s="1" t="n">
        <v>110</v>
      </c>
      <c r="B111" s="7" t="str">
        <f aca="false">HYPERLINK("https://mncourtfraud.com/file/27-CR-20-693.pdf","27-CR-20-693")</f>
        <v>27-CR-20-693</v>
      </c>
      <c r="C111" s="1" t="n">
        <v>1</v>
      </c>
      <c r="D111" s="2" t="s">
        <v>12</v>
      </c>
      <c r="E111" s="8" t="n">
        <v>44558</v>
      </c>
      <c r="F111" s="2" t="s">
        <v>15</v>
      </c>
      <c r="G111" s="7" t="str">
        <f aca="false">HYPERLINK("https://mncourtfraud.com/file/MCRO_27-CR-20-693_Order-Evaluation for Competency to Proceed (Rule 20.01)_2021-12-28_20251126181306.pdf","MCRO_27-CR-20-693_Order-Evaluation for Competency to Proceed (Rule 20.01)_2021-12-28_20251126181306.pdf")</f>
        <v>MCRO_27-CR-20-693_Order-Evaluation for Competency to Proceed (Rule 20.01)_2021-12-28_20251126181306.pdf</v>
      </c>
      <c r="J111" s="2" t="s">
        <v>498</v>
      </c>
      <c r="K111" s="2" t="s">
        <v>499</v>
      </c>
      <c r="L111" s="2" t="s">
        <v>469</v>
      </c>
      <c r="M111" s="8" t="n">
        <v>44558</v>
      </c>
      <c r="N111" s="1" t="s">
        <v>758</v>
      </c>
      <c r="O111" s="1" t="n">
        <v>0</v>
      </c>
      <c r="P111" s="1" t="s">
        <v>758</v>
      </c>
      <c r="Q111" s="1" t="n">
        <v>0</v>
      </c>
      <c r="R111" s="1" t="s">
        <v>759</v>
      </c>
      <c r="S111" s="1" t="n">
        <v>20251126181306</v>
      </c>
      <c r="T111" s="2" t="s">
        <v>760</v>
      </c>
      <c r="U111" s="2" t="s">
        <v>760</v>
      </c>
      <c r="X111" s="2" t="n">
        <v>240721</v>
      </c>
      <c r="Y111" s="1" t="n">
        <v>1.7</v>
      </c>
      <c r="Z111" s="1" t="n">
        <v>3</v>
      </c>
      <c r="AA111" s="9" t="s">
        <v>475</v>
      </c>
    </row>
    <row r="112" customFormat="false" ht="18.7" hidden="false" customHeight="true" outlineLevel="0" collapsed="false">
      <c r="A112" s="1" t="n">
        <v>111</v>
      </c>
      <c r="B112" s="7" t="str">
        <f aca="false">HYPERLINK("https://mncourtfraud.com/file/27-CR-20-693.pdf","27-CR-20-693")</f>
        <v>27-CR-20-693</v>
      </c>
      <c r="C112" s="1" t="n">
        <v>1</v>
      </c>
      <c r="D112" s="2" t="s">
        <v>12</v>
      </c>
      <c r="E112" s="8" t="n">
        <v>44593</v>
      </c>
      <c r="F112" s="2" t="s">
        <v>19</v>
      </c>
      <c r="G112" s="7" t="str">
        <f aca="false">HYPERLINK("https://mncourtfraud.com/file/MCRO_27-CR-20-693_Findings and Order_2022-02-01_20251126181139.pdf","MCRO_27-CR-20-693_Findings and Order_2022-02-01_20251126181139.pdf")</f>
        <v>MCRO_27-CR-20-693_Findings and Order_2022-02-01_20251126181139.pdf</v>
      </c>
      <c r="H112" s="2" t="s">
        <v>503</v>
      </c>
      <c r="I112" s="2" t="s">
        <v>503</v>
      </c>
      <c r="J112" s="2" t="s">
        <v>519</v>
      </c>
      <c r="K112" s="2" t="s">
        <v>520</v>
      </c>
      <c r="L112" s="2" t="s">
        <v>469</v>
      </c>
      <c r="M112" s="8" t="n">
        <v>44593</v>
      </c>
      <c r="N112" s="1" t="s">
        <v>529</v>
      </c>
      <c r="O112" s="1" t="n">
        <v>0</v>
      </c>
      <c r="P112" s="1" t="s">
        <v>530</v>
      </c>
      <c r="Q112" s="1" t="n">
        <v>0</v>
      </c>
      <c r="R112" s="1" t="s">
        <v>761</v>
      </c>
      <c r="S112" s="1" t="n">
        <v>20251126181139</v>
      </c>
      <c r="T112" s="2" t="s">
        <v>532</v>
      </c>
      <c r="U112" s="2" t="s">
        <v>533</v>
      </c>
      <c r="W112" s="2" t="s">
        <v>509</v>
      </c>
      <c r="X112" s="2" t="n">
        <v>361786</v>
      </c>
      <c r="Y112" s="1" t="n">
        <v>1.7</v>
      </c>
      <c r="Z112" s="1" t="n">
        <v>7</v>
      </c>
      <c r="AA112" s="9" t="s">
        <v>475</v>
      </c>
    </row>
    <row r="113" customFormat="false" ht="18.7" hidden="false" customHeight="true" outlineLevel="0" collapsed="false">
      <c r="A113" s="1" t="n">
        <v>112</v>
      </c>
      <c r="B113" s="7" t="str">
        <f aca="false">HYPERLINK("https://mncourtfraud.com/file/27-CR-20-693.pdf","27-CR-20-693")</f>
        <v>27-CR-20-693</v>
      </c>
      <c r="C113" s="1" t="n">
        <v>1</v>
      </c>
      <c r="D113" s="2" t="s">
        <v>12</v>
      </c>
      <c r="E113" s="8" t="n">
        <v>44692</v>
      </c>
      <c r="F113" s="2" t="s">
        <v>15</v>
      </c>
      <c r="G113" s="7" t="str">
        <f aca="false">HYPERLINK("https://mncourtfraud.com/file/MCRO_27-CR-20-693_Order-Evaluation for Competency to Proceed (Rule 20.01)_2022-05-11_20251126181315.pdf","MCRO_27-CR-20-693_Order-Evaluation for Competency to Proceed (Rule 20.01)_2022-05-11_20251126181315.pdf")</f>
        <v>MCRO_27-CR-20-693_Order-Evaluation for Competency to Proceed (Rule 20.01)_2022-05-11_20251126181315.pdf</v>
      </c>
      <c r="H113" s="2" t="s">
        <v>534</v>
      </c>
      <c r="I113" s="2" t="s">
        <v>534</v>
      </c>
      <c r="J113" s="2" t="s">
        <v>535</v>
      </c>
      <c r="K113" s="2" t="s">
        <v>536</v>
      </c>
      <c r="L113" s="2" t="s">
        <v>469</v>
      </c>
      <c r="M113" s="8" t="n">
        <v>44692</v>
      </c>
      <c r="N113" s="1" t="s">
        <v>537</v>
      </c>
      <c r="O113" s="1" t="n">
        <v>0</v>
      </c>
      <c r="P113" s="1" t="s">
        <v>762</v>
      </c>
      <c r="Q113" s="1" t="n">
        <v>0</v>
      </c>
      <c r="R113" s="1" t="s">
        <v>763</v>
      </c>
      <c r="S113" s="1" t="n">
        <v>20251126181315</v>
      </c>
      <c r="T113" s="2" t="s">
        <v>540</v>
      </c>
      <c r="U113" s="2" t="s">
        <v>764</v>
      </c>
      <c r="W113" s="2" t="s">
        <v>542</v>
      </c>
      <c r="X113" s="2" t="n">
        <v>239812</v>
      </c>
      <c r="Y113" s="1" t="n">
        <v>1.6</v>
      </c>
      <c r="Z113" s="1" t="n">
        <v>2</v>
      </c>
    </row>
    <row r="114" customFormat="false" ht="18.7" hidden="false" customHeight="true" outlineLevel="0" collapsed="false">
      <c r="A114" s="1" t="n">
        <v>113</v>
      </c>
      <c r="B114" s="7" t="str">
        <f aca="false">HYPERLINK("https://mncourtfraud.com/file/27-CR-20-693.pdf","27-CR-20-693")</f>
        <v>27-CR-20-693</v>
      </c>
      <c r="C114" s="1" t="n">
        <v>1</v>
      </c>
      <c r="D114" s="2" t="s">
        <v>12</v>
      </c>
      <c r="E114" s="8" t="n">
        <v>44895</v>
      </c>
      <c r="F114" s="2" t="s">
        <v>15</v>
      </c>
      <c r="G114" s="7" t="str">
        <f aca="false">HYPERLINK("https://mncourtfraud.com/file/MCRO_27-CR-20-693_Order-Evaluation for Competency to Proceed (Rule 20.01)_2022-11-30_20251126181327.pdf","MCRO_27-CR-20-693_Order-Evaluation for Competency to Proceed (Rule 20.01)_2022-11-30_20251126181327.pdf")</f>
        <v>MCRO_27-CR-20-693_Order-Evaluation for Competency to Proceed (Rule 20.01)_2022-11-30_20251126181327.pdf</v>
      </c>
      <c r="H114" s="2" t="s">
        <v>543</v>
      </c>
      <c r="I114" s="2" t="s">
        <v>544</v>
      </c>
      <c r="J114" s="2" t="s">
        <v>519</v>
      </c>
      <c r="K114" s="2" t="s">
        <v>520</v>
      </c>
      <c r="L114" s="2" t="s">
        <v>469</v>
      </c>
      <c r="M114" s="8" t="n">
        <v>44895</v>
      </c>
      <c r="N114" s="1" t="s">
        <v>545</v>
      </c>
      <c r="O114" s="1" t="n">
        <v>0</v>
      </c>
      <c r="P114" s="1" t="s">
        <v>546</v>
      </c>
      <c r="Q114" s="1" t="n">
        <v>0</v>
      </c>
      <c r="R114" s="1" t="s">
        <v>765</v>
      </c>
      <c r="S114" s="1" t="n">
        <v>20251126181327</v>
      </c>
      <c r="T114" s="2" t="s">
        <v>548</v>
      </c>
      <c r="U114" s="2" t="s">
        <v>549</v>
      </c>
      <c r="X114" s="2" t="n">
        <v>816998</v>
      </c>
      <c r="Y114" s="1" t="n">
        <v>1.7</v>
      </c>
      <c r="Z114" s="1" t="n">
        <v>2</v>
      </c>
      <c r="AA114" s="9" t="s">
        <v>475</v>
      </c>
    </row>
    <row r="115" customFormat="false" ht="18.7" hidden="false" customHeight="true" outlineLevel="0" collapsed="false">
      <c r="A115" s="1" t="n">
        <v>114</v>
      </c>
      <c r="B115" s="7" t="str">
        <f aca="false">HYPERLINK("https://mncourtfraud.com/file/27-CR-21-10185.pdf","27-CR-21-10185")</f>
        <v>27-CR-21-10185</v>
      </c>
      <c r="C115" s="1" t="n">
        <v>1</v>
      </c>
      <c r="D115" s="2" t="s">
        <v>12</v>
      </c>
      <c r="E115" s="8" t="n">
        <v>44396</v>
      </c>
      <c r="F115" s="2" t="s">
        <v>15</v>
      </c>
      <c r="G115" s="7" t="str">
        <f aca="false">HYPERLINK("https://mncourtfraud.com/file/MCRO_27-CR-21-10185_Order-Evaluation for Competency to Proceed (Rule 20.01)_2021-07-19_20251126181524.pdf","MCRO_27-CR-21-10185_Order-Evaluation for Competency to Proceed (Rule 20.01)_2021-07-19_20251126181524.pdf")</f>
        <v>MCRO_27-CR-21-10185_Order-Evaluation for Competency to Proceed (Rule 20.01)_2021-07-19_20251126181524.pdf</v>
      </c>
      <c r="J115" s="2" t="s">
        <v>498</v>
      </c>
      <c r="K115" s="2" t="s">
        <v>499</v>
      </c>
      <c r="L115" s="2" t="s">
        <v>469</v>
      </c>
      <c r="M115" s="8" t="n">
        <v>44396</v>
      </c>
      <c r="N115" s="1" t="s">
        <v>766</v>
      </c>
      <c r="O115" s="1" t="n">
        <v>0</v>
      </c>
      <c r="P115" s="1" t="s">
        <v>766</v>
      </c>
      <c r="Q115" s="1" t="n">
        <v>0</v>
      </c>
      <c r="R115" s="1" t="s">
        <v>767</v>
      </c>
      <c r="S115" s="1" t="n">
        <v>20251126181524</v>
      </c>
      <c r="T115" s="2" t="s">
        <v>768</v>
      </c>
      <c r="U115" s="2" t="s">
        <v>768</v>
      </c>
      <c r="X115" s="2" t="n">
        <v>196675</v>
      </c>
      <c r="Y115" s="1" t="n">
        <v>1.7</v>
      </c>
      <c r="Z115" s="1" t="n">
        <v>2</v>
      </c>
      <c r="AA115" s="9" t="s">
        <v>475</v>
      </c>
    </row>
    <row r="116" customFormat="false" ht="18.7" hidden="false" customHeight="true" outlineLevel="0" collapsed="false">
      <c r="A116" s="1" t="n">
        <v>115</v>
      </c>
      <c r="B116" s="7" t="str">
        <f aca="false">HYPERLINK("https://mncourtfraud.com/file/27-CR-21-10185.pdf","27-CR-21-10185")</f>
        <v>27-CR-21-10185</v>
      </c>
      <c r="C116" s="1" t="n">
        <v>1</v>
      </c>
      <c r="D116" s="2" t="s">
        <v>12</v>
      </c>
      <c r="E116" s="8" t="n">
        <v>44439</v>
      </c>
      <c r="F116" s="2" t="s">
        <v>134</v>
      </c>
      <c r="G116" s="7" t="str">
        <f aca="false">HYPERLINK("https://mncourtfraud.com/file/MCRO_27-CR-21-10185_Notice of Intent to Prosecute_2021-08-31_20251126181452.pdf","MCRO_27-CR-21-10185_Notice of Intent to Prosecute_2021-08-31_20251126181452.pdf")</f>
        <v>MCRO_27-CR-21-10185_Notice of Intent to Prosecute_2021-08-31_20251126181452.pdf</v>
      </c>
      <c r="H116" s="2" t="s">
        <v>769</v>
      </c>
      <c r="I116" s="2" t="s">
        <v>770</v>
      </c>
      <c r="J116" s="2" t="s">
        <v>771</v>
      </c>
      <c r="K116" s="2" t="s">
        <v>772</v>
      </c>
      <c r="L116" s="2" t="s">
        <v>469</v>
      </c>
      <c r="M116" s="8" t="n">
        <v>44439</v>
      </c>
      <c r="N116" s="1" t="s">
        <v>773</v>
      </c>
      <c r="O116" s="1" t="n">
        <v>0</v>
      </c>
      <c r="P116" s="1" t="s">
        <v>774</v>
      </c>
      <c r="Q116" s="1" t="n">
        <v>0</v>
      </c>
      <c r="R116" s="1" t="s">
        <v>775</v>
      </c>
      <c r="S116" s="1" t="n">
        <v>20251126181452</v>
      </c>
      <c r="T116" s="2" t="s">
        <v>776</v>
      </c>
      <c r="U116" s="2" t="s">
        <v>777</v>
      </c>
      <c r="W116" s="2" t="s">
        <v>778</v>
      </c>
      <c r="X116" s="2" t="n">
        <v>137273</v>
      </c>
      <c r="Y116" s="1" t="n">
        <v>1.6</v>
      </c>
      <c r="Z116" s="1" t="n">
        <v>1</v>
      </c>
      <c r="AA116" s="9" t="s">
        <v>475</v>
      </c>
    </row>
    <row r="117" customFormat="false" ht="18.7" hidden="false" customHeight="true" outlineLevel="0" collapsed="false">
      <c r="A117" s="1" t="n">
        <v>116</v>
      </c>
      <c r="B117" s="7" t="str">
        <f aca="false">HYPERLINK("https://mncourtfraud.com/file/27-CR-21-10185.pdf","27-CR-21-10185")</f>
        <v>27-CR-21-10185</v>
      </c>
      <c r="C117" s="1" t="n">
        <v>1</v>
      </c>
      <c r="D117" s="2" t="s">
        <v>12</v>
      </c>
      <c r="E117" s="8" t="n">
        <v>44439</v>
      </c>
      <c r="F117" s="2" t="s">
        <v>19</v>
      </c>
      <c r="G117" s="7" t="str">
        <f aca="false">HYPERLINK("https://mncourtfraud.com/file/MCRO_27-CR-21-10185_Findings and Order_2021-08-31_20251126181437.pdf","MCRO_27-CR-21-10185_Findings and Order_2021-08-31_20251126181437.pdf")</f>
        <v>MCRO_27-CR-21-10185_Findings and Order_2021-08-31_20251126181437.pdf</v>
      </c>
      <c r="H117" s="2" t="s">
        <v>503</v>
      </c>
      <c r="I117" s="2" t="s">
        <v>503</v>
      </c>
      <c r="J117" s="2" t="s">
        <v>467</v>
      </c>
      <c r="K117" s="2" t="s">
        <v>468</v>
      </c>
      <c r="L117" s="2" t="s">
        <v>469</v>
      </c>
      <c r="M117" s="8" t="n">
        <v>44439</v>
      </c>
      <c r="N117" s="1" t="s">
        <v>504</v>
      </c>
      <c r="O117" s="1" t="n">
        <v>0</v>
      </c>
      <c r="P117" s="1" t="s">
        <v>505</v>
      </c>
      <c r="Q117" s="1" t="n">
        <v>0</v>
      </c>
      <c r="R117" s="1" t="s">
        <v>779</v>
      </c>
      <c r="S117" s="1" t="n">
        <v>20251126181437</v>
      </c>
      <c r="T117" s="2" t="s">
        <v>507</v>
      </c>
      <c r="U117" s="2" t="s">
        <v>508</v>
      </c>
      <c r="W117" s="2" t="s">
        <v>509</v>
      </c>
      <c r="X117" s="2" t="n">
        <v>375491</v>
      </c>
      <c r="Y117" s="1" t="n">
        <v>1.7</v>
      </c>
      <c r="Z117" s="1" t="n">
        <v>7</v>
      </c>
      <c r="AA117" s="9" t="s">
        <v>475</v>
      </c>
    </row>
    <row r="118" customFormat="false" ht="18.7" hidden="false" customHeight="true" outlineLevel="0" collapsed="false">
      <c r="A118" s="1" t="n">
        <v>117</v>
      </c>
      <c r="B118" s="7" t="str">
        <f aca="false">HYPERLINK("https://mncourtfraud.com/file/27-CR-21-10185.pdf","27-CR-21-10185")</f>
        <v>27-CR-21-10185</v>
      </c>
      <c r="C118" s="1" t="n">
        <v>1</v>
      </c>
      <c r="D118" s="2" t="s">
        <v>12</v>
      </c>
      <c r="E118" s="8" t="n">
        <v>44460</v>
      </c>
      <c r="F118" s="2" t="s">
        <v>24</v>
      </c>
      <c r="G118" s="7" t="str">
        <f aca="false">HYPERLINK("https://mncourtfraud.com/file/MCRO_27-CR-21-10185_Order for Conditional Release_2021-09-21_20251126181510.pdf","MCRO_27-CR-21-10185_Order for Conditional Release_2021-09-21_20251126181510.pdf")</f>
        <v>MCRO_27-CR-21-10185_Order for Conditional Release_2021-09-21_20251126181510.pdf</v>
      </c>
      <c r="I118" s="2" t="s">
        <v>481</v>
      </c>
      <c r="J118" s="2" t="s">
        <v>481</v>
      </c>
      <c r="K118" s="2" t="s">
        <v>482</v>
      </c>
      <c r="L118" s="2" t="s">
        <v>469</v>
      </c>
      <c r="M118" s="8" t="n">
        <v>44460</v>
      </c>
      <c r="N118" s="1" t="s">
        <v>510</v>
      </c>
      <c r="O118" s="1" t="n">
        <v>0</v>
      </c>
      <c r="P118" s="1" t="s">
        <v>511</v>
      </c>
      <c r="Q118" s="1" t="n">
        <v>0</v>
      </c>
      <c r="R118" s="1" t="s">
        <v>780</v>
      </c>
      <c r="S118" s="1" t="n">
        <v>20251126181510</v>
      </c>
      <c r="T118" s="2" t="s">
        <v>513</v>
      </c>
      <c r="U118" s="2" t="s">
        <v>514</v>
      </c>
      <c r="X118" s="2" t="n">
        <v>105849</v>
      </c>
      <c r="Y118" s="1" t="n">
        <v>1.5</v>
      </c>
      <c r="Z118" s="1" t="n">
        <v>1</v>
      </c>
    </row>
    <row r="119" customFormat="false" ht="18.7" hidden="false" customHeight="true" outlineLevel="0" collapsed="false">
      <c r="A119" s="1" t="n">
        <v>118</v>
      </c>
      <c r="B119" s="7" t="str">
        <f aca="false">HYPERLINK("https://mncourtfraud.com/file/27-CR-21-10185.pdf","27-CR-21-10185")</f>
        <v>27-CR-21-10185</v>
      </c>
      <c r="C119" s="1" t="n">
        <v>1</v>
      </c>
      <c r="D119" s="2" t="s">
        <v>12</v>
      </c>
      <c r="E119" s="8" t="n">
        <v>44468</v>
      </c>
      <c r="F119" s="2" t="s">
        <v>24</v>
      </c>
      <c r="G119" s="7" t="str">
        <f aca="false">HYPERLINK("https://mncourtfraud.com/file/MCRO_27-CR-21-10185_Order for Conditional Release_2021-09-29_20251126181506.pdf","MCRO_27-CR-21-10185_Order for Conditional Release_2021-09-29_20251126181506.pdf")</f>
        <v>MCRO_27-CR-21-10185_Order for Conditional Release_2021-09-29_20251126181506.pdf</v>
      </c>
      <c r="I119" s="2" t="s">
        <v>481</v>
      </c>
      <c r="J119" s="2" t="s">
        <v>481</v>
      </c>
      <c r="K119" s="2" t="s">
        <v>482</v>
      </c>
      <c r="L119" s="2" t="s">
        <v>469</v>
      </c>
      <c r="M119" s="8" t="n">
        <v>44468</v>
      </c>
      <c r="N119" s="1" t="s">
        <v>515</v>
      </c>
      <c r="O119" s="1" t="n">
        <v>0</v>
      </c>
      <c r="P119" s="1" t="s">
        <v>516</v>
      </c>
      <c r="Q119" s="1" t="n">
        <v>0</v>
      </c>
      <c r="R119" s="1" t="s">
        <v>781</v>
      </c>
      <c r="S119" s="1" t="n">
        <v>20251126181506</v>
      </c>
      <c r="T119" s="2" t="s">
        <v>513</v>
      </c>
      <c r="U119" s="2" t="s">
        <v>518</v>
      </c>
      <c r="X119" s="2" t="n">
        <v>151812</v>
      </c>
      <c r="Y119" s="1" t="n">
        <v>1.6</v>
      </c>
      <c r="Z119" s="1" t="n">
        <v>1</v>
      </c>
    </row>
    <row r="120" customFormat="false" ht="18.7" hidden="false" customHeight="true" outlineLevel="0" collapsed="false">
      <c r="A120" s="1" t="n">
        <v>119</v>
      </c>
      <c r="B120" s="7" t="str">
        <f aca="false">HYPERLINK("https://mncourtfraud.com/file/27-CR-21-10185.pdf","27-CR-21-10185")</f>
        <v>27-CR-21-10185</v>
      </c>
      <c r="C120" s="1" t="n">
        <v>1</v>
      </c>
      <c r="D120" s="2" t="s">
        <v>12</v>
      </c>
      <c r="E120" s="8" t="n">
        <v>44543</v>
      </c>
      <c r="F120" s="2" t="s">
        <v>15</v>
      </c>
      <c r="G120" s="7" t="str">
        <f aca="false">HYPERLINK("https://mncourtfraud.com/file/MCRO_27-CR-21-10185_Order-Evaluation for Competency to Proceed (Rule 20.01)_2021-12-13_20251126181536.pdf","MCRO_27-CR-21-10185_Order-Evaluation for Competency to Proceed (Rule 20.01)_2021-12-13_20251126181536.pdf")</f>
        <v>MCRO_27-CR-21-10185_Order-Evaluation for Competency to Proceed (Rule 20.01)_2021-12-13_20251126181536.pdf</v>
      </c>
      <c r="H120" s="2" t="s">
        <v>465</v>
      </c>
      <c r="I120" s="2" t="s">
        <v>466</v>
      </c>
      <c r="J120" s="2" t="s">
        <v>519</v>
      </c>
      <c r="K120" s="2" t="s">
        <v>520</v>
      </c>
      <c r="L120" s="2" t="s">
        <v>469</v>
      </c>
      <c r="M120" s="8" t="n">
        <v>44543</v>
      </c>
      <c r="N120" s="1" t="s">
        <v>521</v>
      </c>
      <c r="O120" s="1" t="n">
        <v>0</v>
      </c>
      <c r="P120" s="1" t="s">
        <v>782</v>
      </c>
      <c r="Q120" s="1" t="n">
        <v>0</v>
      </c>
      <c r="R120" s="1" t="s">
        <v>783</v>
      </c>
      <c r="S120" s="1" t="n">
        <v>20251126181536</v>
      </c>
      <c r="T120" s="2" t="s">
        <v>524</v>
      </c>
      <c r="U120" s="2" t="s">
        <v>784</v>
      </c>
      <c r="X120" s="2" t="n">
        <v>233852</v>
      </c>
      <c r="Y120" s="1" t="n">
        <v>1.7</v>
      </c>
      <c r="Z120" s="1" t="n">
        <v>2</v>
      </c>
      <c r="AA120" s="9" t="s">
        <v>475</v>
      </c>
    </row>
    <row r="121" customFormat="false" ht="18.7" hidden="false" customHeight="true" outlineLevel="0" collapsed="false">
      <c r="A121" s="1" t="n">
        <v>120</v>
      </c>
      <c r="B121" s="7" t="str">
        <f aca="false">HYPERLINK("https://mncourtfraud.com/file/27-CR-21-10185.pdf","27-CR-21-10185")</f>
        <v>27-CR-21-10185</v>
      </c>
      <c r="C121" s="1" t="n">
        <v>1</v>
      </c>
      <c r="D121" s="2" t="s">
        <v>12</v>
      </c>
      <c r="E121" s="8" t="n">
        <v>44558</v>
      </c>
      <c r="F121" s="2" t="s">
        <v>15</v>
      </c>
      <c r="G121" s="7" t="str">
        <f aca="false">HYPERLINK("https://mncourtfraud.com/file/MCRO_27-CR-21-10185_Order-Evaluation for Competency to Proceed (Rule 20.01)_2021-12-28_20251126181546.pdf","MCRO_27-CR-21-10185_Order-Evaluation for Competency to Proceed (Rule 20.01)_2021-12-28_20251126181546.pdf")</f>
        <v>MCRO_27-CR-21-10185_Order-Evaluation for Competency to Proceed (Rule 20.01)_2021-12-28_20251126181546.pdf</v>
      </c>
      <c r="J121" s="2" t="s">
        <v>498</v>
      </c>
      <c r="K121" s="2" t="s">
        <v>499</v>
      </c>
      <c r="L121" s="2" t="s">
        <v>469</v>
      </c>
      <c r="M121" s="8" t="n">
        <v>44558</v>
      </c>
      <c r="N121" s="1" t="s">
        <v>785</v>
      </c>
      <c r="O121" s="1" t="n">
        <v>0</v>
      </c>
      <c r="P121" s="1" t="s">
        <v>785</v>
      </c>
      <c r="Q121" s="1" t="n">
        <v>0</v>
      </c>
      <c r="R121" s="1" t="s">
        <v>786</v>
      </c>
      <c r="S121" s="1" t="n">
        <v>20251126181546</v>
      </c>
      <c r="T121" s="2" t="s">
        <v>787</v>
      </c>
      <c r="U121" s="2" t="s">
        <v>787</v>
      </c>
      <c r="X121" s="2" t="n">
        <v>240632</v>
      </c>
      <c r="Y121" s="1" t="n">
        <v>1.7</v>
      </c>
      <c r="Z121" s="1" t="n">
        <v>3</v>
      </c>
      <c r="AA121" s="9" t="s">
        <v>475</v>
      </c>
    </row>
    <row r="122" customFormat="false" ht="18.7" hidden="false" customHeight="true" outlineLevel="0" collapsed="false">
      <c r="A122" s="1" t="n">
        <v>121</v>
      </c>
      <c r="B122" s="7" t="str">
        <f aca="false">HYPERLINK("https://mncourtfraud.com/file/27-CR-21-10185.pdf","27-CR-21-10185")</f>
        <v>27-CR-21-10185</v>
      </c>
      <c r="C122" s="1" t="n">
        <v>1</v>
      </c>
      <c r="D122" s="2" t="s">
        <v>12</v>
      </c>
      <c r="E122" s="8" t="n">
        <v>44593</v>
      </c>
      <c r="F122" s="2" t="s">
        <v>19</v>
      </c>
      <c r="G122" s="7" t="str">
        <f aca="false">HYPERLINK("https://mncourtfraud.com/file/MCRO_27-CR-21-10185_Findings and Order_2022-02-01_20251126181428.pdf","MCRO_27-CR-21-10185_Findings and Order_2022-02-01_20251126181428.pdf")</f>
        <v>MCRO_27-CR-21-10185_Findings and Order_2022-02-01_20251126181428.pdf</v>
      </c>
      <c r="H122" s="2" t="s">
        <v>503</v>
      </c>
      <c r="I122" s="2" t="s">
        <v>503</v>
      </c>
      <c r="J122" s="2" t="s">
        <v>519</v>
      </c>
      <c r="K122" s="2" t="s">
        <v>520</v>
      </c>
      <c r="L122" s="2" t="s">
        <v>469</v>
      </c>
      <c r="M122" s="8" t="n">
        <v>44593</v>
      </c>
      <c r="N122" s="1" t="s">
        <v>529</v>
      </c>
      <c r="O122" s="1" t="n">
        <v>0</v>
      </c>
      <c r="P122" s="1" t="s">
        <v>530</v>
      </c>
      <c r="Q122" s="1" t="n">
        <v>0</v>
      </c>
      <c r="R122" s="1" t="s">
        <v>788</v>
      </c>
      <c r="S122" s="1" t="n">
        <v>20251126181428</v>
      </c>
      <c r="T122" s="2" t="s">
        <v>532</v>
      </c>
      <c r="U122" s="2" t="s">
        <v>533</v>
      </c>
      <c r="W122" s="2" t="s">
        <v>509</v>
      </c>
      <c r="X122" s="2" t="n">
        <v>361789</v>
      </c>
      <c r="Y122" s="1" t="n">
        <v>1.7</v>
      </c>
      <c r="Z122" s="1" t="n">
        <v>7</v>
      </c>
      <c r="AA122" s="9" t="s">
        <v>475</v>
      </c>
    </row>
    <row r="123" customFormat="false" ht="18.7" hidden="false" customHeight="true" outlineLevel="0" collapsed="false">
      <c r="A123" s="1" t="n">
        <v>122</v>
      </c>
      <c r="B123" s="7" t="str">
        <f aca="false">HYPERLINK("https://mncourtfraud.com/file/27-CR-21-10185.pdf","27-CR-21-10185")</f>
        <v>27-CR-21-10185</v>
      </c>
      <c r="C123" s="1" t="n">
        <v>1</v>
      </c>
      <c r="D123" s="2" t="s">
        <v>12</v>
      </c>
      <c r="E123" s="8" t="n">
        <v>44692</v>
      </c>
      <c r="F123" s="2" t="s">
        <v>15</v>
      </c>
      <c r="G123" s="7" t="str">
        <f aca="false">HYPERLINK("https://mncourtfraud.com/file/MCRO_27-CR-21-10185_Order-Evaluation for Competency to Proceed (Rule 20.01)_2022-05-11_20251126181600.pdf","MCRO_27-CR-21-10185_Order-Evaluation for Competency to Proceed (Rule 20.01)_2022-05-11_20251126181600.pdf")</f>
        <v>MCRO_27-CR-21-10185_Order-Evaluation for Competency to Proceed (Rule 20.01)_2022-05-11_20251126181600.pdf</v>
      </c>
      <c r="H123" s="2" t="s">
        <v>534</v>
      </c>
      <c r="I123" s="2" t="s">
        <v>534</v>
      </c>
      <c r="J123" s="2" t="s">
        <v>535</v>
      </c>
      <c r="K123" s="2" t="s">
        <v>536</v>
      </c>
      <c r="L123" s="2" t="s">
        <v>469</v>
      </c>
      <c r="M123" s="8" t="n">
        <v>44692</v>
      </c>
      <c r="N123" s="1" t="s">
        <v>537</v>
      </c>
      <c r="O123" s="1" t="n">
        <v>0</v>
      </c>
      <c r="P123" s="1" t="s">
        <v>789</v>
      </c>
      <c r="Q123" s="1" t="n">
        <v>0</v>
      </c>
      <c r="R123" s="1" t="s">
        <v>790</v>
      </c>
      <c r="S123" s="1" t="n">
        <v>20251126181600</v>
      </c>
      <c r="T123" s="2" t="s">
        <v>540</v>
      </c>
      <c r="U123" s="2" t="s">
        <v>791</v>
      </c>
      <c r="W123" s="2" t="s">
        <v>542</v>
      </c>
      <c r="X123" s="2" t="n">
        <v>239819</v>
      </c>
      <c r="Y123" s="1" t="n">
        <v>1.6</v>
      </c>
      <c r="Z123" s="1" t="n">
        <v>2</v>
      </c>
    </row>
    <row r="124" customFormat="false" ht="18.7" hidden="false" customHeight="true" outlineLevel="0" collapsed="false">
      <c r="A124" s="1" t="n">
        <v>123</v>
      </c>
      <c r="B124" s="7" t="str">
        <f aca="false">HYPERLINK("https://mncourtfraud.com/file/27-CR-21-10185.pdf","27-CR-21-10185")</f>
        <v>27-CR-21-10185</v>
      </c>
      <c r="C124" s="1" t="n">
        <v>1</v>
      </c>
      <c r="D124" s="2" t="s">
        <v>12</v>
      </c>
      <c r="E124" s="8" t="n">
        <v>44895</v>
      </c>
      <c r="F124" s="2" t="s">
        <v>15</v>
      </c>
      <c r="G124" s="7" t="str">
        <f aca="false">HYPERLINK("https://mncourtfraud.com/file/MCRO_27-CR-21-10185_Order-Evaluation for Competency to Proceed (Rule 20.01)_2022-11-30_20251126181610.pdf","MCRO_27-CR-21-10185_Order-Evaluation for Competency to Proceed (Rule 20.01)_2022-11-30_20251126181610.pdf")</f>
        <v>MCRO_27-CR-21-10185_Order-Evaluation for Competency to Proceed (Rule 20.01)_2022-11-30_20251126181610.pdf</v>
      </c>
      <c r="H124" s="2" t="s">
        <v>543</v>
      </c>
      <c r="I124" s="2" t="s">
        <v>544</v>
      </c>
      <c r="J124" s="2" t="s">
        <v>519</v>
      </c>
      <c r="K124" s="2" t="s">
        <v>520</v>
      </c>
      <c r="L124" s="2" t="s">
        <v>469</v>
      </c>
      <c r="M124" s="8" t="n">
        <v>44895</v>
      </c>
      <c r="N124" s="1" t="s">
        <v>545</v>
      </c>
      <c r="O124" s="1" t="n">
        <v>0</v>
      </c>
      <c r="P124" s="1" t="s">
        <v>546</v>
      </c>
      <c r="Q124" s="1" t="n">
        <v>0</v>
      </c>
      <c r="R124" s="1" t="s">
        <v>792</v>
      </c>
      <c r="S124" s="1" t="n">
        <v>20251126181610</v>
      </c>
      <c r="T124" s="2" t="s">
        <v>548</v>
      </c>
      <c r="U124" s="2" t="s">
        <v>549</v>
      </c>
      <c r="X124" s="2" t="n">
        <v>816995</v>
      </c>
      <c r="Y124" s="1" t="n">
        <v>1.7</v>
      </c>
      <c r="Z124" s="1" t="n">
        <v>2</v>
      </c>
      <c r="AA124" s="9" t="s">
        <v>475</v>
      </c>
    </row>
    <row r="125" customFormat="false" ht="18.7" hidden="false" customHeight="true" outlineLevel="0" collapsed="false">
      <c r="A125" s="1" t="n">
        <v>124</v>
      </c>
      <c r="B125" s="7" t="str">
        <f aca="false">HYPERLINK("https://mncourtfraud.com/file/27-CR-21-12714.pdf","27-CR-21-12714")</f>
        <v>27-CR-21-12714</v>
      </c>
      <c r="C125" s="1" t="n">
        <v>1</v>
      </c>
      <c r="D125" s="2" t="s">
        <v>12</v>
      </c>
      <c r="E125" s="8" t="n">
        <v>44396</v>
      </c>
      <c r="F125" s="2" t="s">
        <v>15</v>
      </c>
      <c r="G125" s="7" t="str">
        <f aca="false">HYPERLINK("https://mncourtfraud.com/file/MCRO_27-CR-21-12714_Order-Evaluation for Competency to Proceed (Rule 20.01)_2021-07-19_20251126181807.pdf","MCRO_27-CR-21-12714_Order-Evaluation for Competency to Proceed (Rule 20.01)_2021-07-19_20251126181807.pdf")</f>
        <v>MCRO_27-CR-21-12714_Order-Evaluation for Competency to Proceed (Rule 20.01)_2021-07-19_20251126181807.pdf</v>
      </c>
      <c r="J125" s="2" t="s">
        <v>498</v>
      </c>
      <c r="K125" s="2" t="s">
        <v>499</v>
      </c>
      <c r="L125" s="2" t="s">
        <v>469</v>
      </c>
      <c r="M125" s="8" t="n">
        <v>44396</v>
      </c>
      <c r="N125" s="1" t="s">
        <v>793</v>
      </c>
      <c r="O125" s="1" t="n">
        <v>0</v>
      </c>
      <c r="P125" s="1" t="s">
        <v>793</v>
      </c>
      <c r="Q125" s="1" t="n">
        <v>0</v>
      </c>
      <c r="R125" s="1" t="s">
        <v>794</v>
      </c>
      <c r="S125" s="1" t="n">
        <v>20251126181807</v>
      </c>
      <c r="T125" s="2" t="s">
        <v>795</v>
      </c>
      <c r="U125" s="2" t="s">
        <v>795</v>
      </c>
      <c r="X125" s="2" t="n">
        <v>193561</v>
      </c>
      <c r="Y125" s="1" t="n">
        <v>1.7</v>
      </c>
      <c r="Z125" s="1" t="n">
        <v>2</v>
      </c>
      <c r="AA125" s="9" t="s">
        <v>475</v>
      </c>
    </row>
    <row r="126" customFormat="false" ht="18.7" hidden="false" customHeight="true" outlineLevel="0" collapsed="false">
      <c r="A126" s="1" t="n">
        <v>125</v>
      </c>
      <c r="B126" s="7" t="str">
        <f aca="false">HYPERLINK("https://mncourtfraud.com/file/27-CR-21-12714.pdf","27-CR-21-12714")</f>
        <v>27-CR-21-12714</v>
      </c>
      <c r="C126" s="1" t="n">
        <v>1</v>
      </c>
      <c r="D126" s="2" t="s">
        <v>12</v>
      </c>
      <c r="E126" s="8" t="n">
        <v>44405</v>
      </c>
      <c r="F126" s="2" t="s">
        <v>145</v>
      </c>
      <c r="G126" s="7" t="str">
        <f aca="false">HYPERLINK("https://mncourtfraud.com/file/MCRO_27-CR-21-12714_Demand or Request for Discovery_2021-07-28_20251126181647.pdf","MCRO_27-CR-21-12714_Demand or Request for Discovery_2021-07-28_20251126181647.pdf")</f>
        <v>MCRO_27-CR-21-12714_Demand or Request for Discovery_2021-07-28_20251126181647.pdf</v>
      </c>
      <c r="H126" s="2" t="s">
        <v>796</v>
      </c>
      <c r="I126" s="2" t="s">
        <v>796</v>
      </c>
      <c r="J126" s="2" t="s">
        <v>797</v>
      </c>
      <c r="K126" s="2" t="s">
        <v>798</v>
      </c>
      <c r="L126" s="2" t="s">
        <v>469</v>
      </c>
      <c r="M126" s="8" t="n">
        <v>44405</v>
      </c>
      <c r="N126" s="1" t="s">
        <v>799</v>
      </c>
      <c r="O126" s="1" t="n">
        <v>0</v>
      </c>
      <c r="P126" s="1" t="s">
        <v>800</v>
      </c>
      <c r="Q126" s="1" t="n">
        <v>0</v>
      </c>
      <c r="R126" s="1" t="s">
        <v>801</v>
      </c>
      <c r="S126" s="1" t="n">
        <v>20251126181647</v>
      </c>
      <c r="T126" s="2" t="s">
        <v>802</v>
      </c>
      <c r="U126" s="2" t="s">
        <v>803</v>
      </c>
      <c r="V126" s="2" t="s">
        <v>804</v>
      </c>
      <c r="W126" s="2" t="s">
        <v>805</v>
      </c>
      <c r="X126" s="2" t="n">
        <v>315607</v>
      </c>
      <c r="Y126" s="1" t="n">
        <v>1.6</v>
      </c>
      <c r="Z126" s="1" t="n">
        <v>6</v>
      </c>
      <c r="AA126" s="9" t="s">
        <v>475</v>
      </c>
    </row>
    <row r="127" customFormat="false" ht="18.7" hidden="false" customHeight="true" outlineLevel="0" collapsed="false">
      <c r="A127" s="1" t="n">
        <v>126</v>
      </c>
      <c r="B127" s="7" t="str">
        <f aca="false">HYPERLINK("https://mncourtfraud.com/file/27-CR-21-12714.pdf","27-CR-21-12714")</f>
        <v>27-CR-21-12714</v>
      </c>
      <c r="C127" s="1" t="n">
        <v>1</v>
      </c>
      <c r="D127" s="2" t="s">
        <v>12</v>
      </c>
      <c r="E127" s="8" t="n">
        <v>44439</v>
      </c>
      <c r="F127" s="2" t="s">
        <v>19</v>
      </c>
      <c r="G127" s="7" t="str">
        <f aca="false">HYPERLINK("https://mncourtfraud.com/file/MCRO_27-CR-21-12714_Findings and Order_2021-08-31_20251126181722.pdf","MCRO_27-CR-21-12714_Findings and Order_2021-08-31_20251126181722.pdf")</f>
        <v>MCRO_27-CR-21-12714_Findings and Order_2021-08-31_20251126181722.pdf</v>
      </c>
      <c r="H127" s="2" t="s">
        <v>503</v>
      </c>
      <c r="I127" s="2" t="s">
        <v>503</v>
      </c>
      <c r="J127" s="2" t="s">
        <v>467</v>
      </c>
      <c r="K127" s="2" t="s">
        <v>468</v>
      </c>
      <c r="L127" s="2" t="s">
        <v>469</v>
      </c>
      <c r="M127" s="8" t="n">
        <v>44439</v>
      </c>
      <c r="N127" s="1" t="s">
        <v>504</v>
      </c>
      <c r="O127" s="1" t="n">
        <v>0</v>
      </c>
      <c r="P127" s="1" t="s">
        <v>505</v>
      </c>
      <c r="Q127" s="1" t="n">
        <v>0</v>
      </c>
      <c r="R127" s="1" t="s">
        <v>806</v>
      </c>
      <c r="S127" s="1" t="n">
        <v>20251126181722</v>
      </c>
      <c r="T127" s="2" t="s">
        <v>507</v>
      </c>
      <c r="U127" s="2" t="s">
        <v>508</v>
      </c>
      <c r="W127" s="2" t="s">
        <v>509</v>
      </c>
      <c r="X127" s="2" t="n">
        <v>375489</v>
      </c>
      <c r="Y127" s="1" t="n">
        <v>1.7</v>
      </c>
      <c r="Z127" s="1" t="n">
        <v>7</v>
      </c>
      <c r="AA127" s="9" t="s">
        <v>475</v>
      </c>
    </row>
    <row r="128" customFormat="false" ht="18.7" hidden="false" customHeight="true" outlineLevel="0" collapsed="false">
      <c r="A128" s="1" t="n">
        <v>127</v>
      </c>
      <c r="B128" s="7" t="str">
        <f aca="false">HYPERLINK("https://mncourtfraud.com/file/27-CR-21-12714.pdf","27-CR-21-12714")</f>
        <v>27-CR-21-12714</v>
      </c>
      <c r="C128" s="1" t="n">
        <v>1</v>
      </c>
      <c r="D128" s="2" t="s">
        <v>12</v>
      </c>
      <c r="E128" s="8" t="n">
        <v>44460</v>
      </c>
      <c r="F128" s="2" t="s">
        <v>24</v>
      </c>
      <c r="G128" s="7" t="str">
        <f aca="false">HYPERLINK("https://mncourtfraud.com/file/MCRO_27-CR-21-12714_Order for Conditional Release_2021-09-21_20251126181747.pdf","MCRO_27-CR-21-12714_Order for Conditional Release_2021-09-21_20251126181747.pdf")</f>
        <v>MCRO_27-CR-21-12714_Order for Conditional Release_2021-09-21_20251126181747.pdf</v>
      </c>
      <c r="I128" s="2" t="s">
        <v>481</v>
      </c>
      <c r="J128" s="2" t="s">
        <v>481</v>
      </c>
      <c r="K128" s="2" t="s">
        <v>482</v>
      </c>
      <c r="L128" s="2" t="s">
        <v>469</v>
      </c>
      <c r="M128" s="8" t="n">
        <v>44460</v>
      </c>
      <c r="N128" s="1" t="s">
        <v>510</v>
      </c>
      <c r="O128" s="1" t="n">
        <v>0</v>
      </c>
      <c r="P128" s="1" t="s">
        <v>511</v>
      </c>
      <c r="Q128" s="1" t="n">
        <v>0</v>
      </c>
      <c r="R128" s="1" t="s">
        <v>807</v>
      </c>
      <c r="S128" s="1" t="n">
        <v>20251126181747</v>
      </c>
      <c r="T128" s="2" t="s">
        <v>513</v>
      </c>
      <c r="U128" s="2" t="s">
        <v>514</v>
      </c>
      <c r="X128" s="2" t="n">
        <v>105848</v>
      </c>
      <c r="Y128" s="1" t="n">
        <v>1.5</v>
      </c>
      <c r="Z128" s="1" t="n">
        <v>1</v>
      </c>
    </row>
    <row r="129" customFormat="false" ht="18.7" hidden="false" customHeight="true" outlineLevel="0" collapsed="false">
      <c r="A129" s="1" t="n">
        <v>128</v>
      </c>
      <c r="B129" s="7" t="str">
        <f aca="false">HYPERLINK("https://mncourtfraud.com/file/27-CR-21-12714.pdf","27-CR-21-12714")</f>
        <v>27-CR-21-12714</v>
      </c>
      <c r="C129" s="1" t="n">
        <v>1</v>
      </c>
      <c r="D129" s="2" t="s">
        <v>12</v>
      </c>
      <c r="E129" s="8" t="n">
        <v>44468</v>
      </c>
      <c r="F129" s="2" t="s">
        <v>24</v>
      </c>
      <c r="G129" s="7" t="str">
        <f aca="false">HYPERLINK("https://mncourtfraud.com/file/MCRO_27-CR-21-12714_Order for Conditional Release_2021-09-29_20251126181755.pdf","MCRO_27-CR-21-12714_Order for Conditional Release_2021-09-29_20251126181755.pdf")</f>
        <v>MCRO_27-CR-21-12714_Order for Conditional Release_2021-09-29_20251126181755.pdf</v>
      </c>
      <c r="I129" s="2" t="s">
        <v>481</v>
      </c>
      <c r="J129" s="2" t="s">
        <v>481</v>
      </c>
      <c r="K129" s="2" t="s">
        <v>482</v>
      </c>
      <c r="L129" s="2" t="s">
        <v>469</v>
      </c>
      <c r="M129" s="8" t="n">
        <v>44468</v>
      </c>
      <c r="N129" s="1" t="s">
        <v>515</v>
      </c>
      <c r="O129" s="1" t="n">
        <v>0</v>
      </c>
      <c r="P129" s="1" t="s">
        <v>516</v>
      </c>
      <c r="Q129" s="1" t="n">
        <v>0</v>
      </c>
      <c r="R129" s="1" t="s">
        <v>808</v>
      </c>
      <c r="S129" s="1" t="n">
        <v>20251126181755</v>
      </c>
      <c r="T129" s="2" t="s">
        <v>513</v>
      </c>
      <c r="U129" s="2" t="s">
        <v>518</v>
      </c>
      <c r="X129" s="2" t="n">
        <v>151814</v>
      </c>
      <c r="Y129" s="1" t="n">
        <v>1.6</v>
      </c>
      <c r="Z129" s="1" t="n">
        <v>1</v>
      </c>
    </row>
    <row r="130" customFormat="false" ht="18.7" hidden="false" customHeight="true" outlineLevel="0" collapsed="false">
      <c r="A130" s="1" t="n">
        <v>129</v>
      </c>
      <c r="B130" s="7" t="str">
        <f aca="false">HYPERLINK("https://mncourtfraud.com/file/27-CR-21-12714.pdf","27-CR-21-12714")</f>
        <v>27-CR-21-12714</v>
      </c>
      <c r="C130" s="1" t="n">
        <v>1</v>
      </c>
      <c r="D130" s="2" t="s">
        <v>12</v>
      </c>
      <c r="E130" s="8" t="n">
        <v>44543</v>
      </c>
      <c r="F130" s="2" t="s">
        <v>15</v>
      </c>
      <c r="G130" s="7" t="str">
        <f aca="false">HYPERLINK("https://mncourtfraud.com/file/MCRO_27-CR-21-12714_Order-Evaluation for Competency to Proceed (Rule 20.01)_2021-12-13_20251126181817.pdf","MCRO_27-CR-21-12714_Order-Evaluation for Competency to Proceed (Rule 20.01)_2021-12-13_20251126181817.pdf")</f>
        <v>MCRO_27-CR-21-12714_Order-Evaluation for Competency to Proceed (Rule 20.01)_2021-12-13_20251126181817.pdf</v>
      </c>
      <c r="H130" s="2" t="s">
        <v>465</v>
      </c>
      <c r="I130" s="2" t="s">
        <v>466</v>
      </c>
      <c r="J130" s="2" t="s">
        <v>519</v>
      </c>
      <c r="K130" s="2" t="s">
        <v>520</v>
      </c>
      <c r="L130" s="2" t="s">
        <v>469</v>
      </c>
      <c r="M130" s="8" t="n">
        <v>44543</v>
      </c>
      <c r="N130" s="1" t="s">
        <v>521</v>
      </c>
      <c r="O130" s="1" t="n">
        <v>0</v>
      </c>
      <c r="P130" s="1" t="s">
        <v>809</v>
      </c>
      <c r="Q130" s="1" t="n">
        <v>0</v>
      </c>
      <c r="R130" s="1" t="s">
        <v>810</v>
      </c>
      <c r="S130" s="1" t="n">
        <v>20251126181817</v>
      </c>
      <c r="T130" s="2" t="s">
        <v>524</v>
      </c>
      <c r="U130" s="2" t="s">
        <v>811</v>
      </c>
      <c r="X130" s="2" t="n">
        <v>233839</v>
      </c>
      <c r="Y130" s="1" t="n">
        <v>1.7</v>
      </c>
      <c r="Z130" s="1" t="n">
        <v>2</v>
      </c>
      <c r="AA130" s="9" t="s">
        <v>475</v>
      </c>
    </row>
    <row r="131" customFormat="false" ht="18.7" hidden="false" customHeight="true" outlineLevel="0" collapsed="false">
      <c r="A131" s="1" t="n">
        <v>130</v>
      </c>
      <c r="B131" s="7" t="str">
        <f aca="false">HYPERLINK("https://mncourtfraud.com/file/27-CR-21-12714.pdf","27-CR-21-12714")</f>
        <v>27-CR-21-12714</v>
      </c>
      <c r="C131" s="1" t="n">
        <v>1</v>
      </c>
      <c r="D131" s="2" t="s">
        <v>12</v>
      </c>
      <c r="E131" s="8" t="n">
        <v>44558</v>
      </c>
      <c r="F131" s="2" t="s">
        <v>15</v>
      </c>
      <c r="G131" s="7" t="str">
        <f aca="false">HYPERLINK("https://mncourtfraud.com/file/MCRO_27-CR-21-12714_Order-Evaluation for Competency to Proceed (Rule 20.01)_2021-12-28_20251126181825.pdf","MCRO_27-CR-21-12714_Order-Evaluation for Competency to Proceed (Rule 20.01)_2021-12-28_20251126181825.pdf")</f>
        <v>MCRO_27-CR-21-12714_Order-Evaluation for Competency to Proceed (Rule 20.01)_2021-12-28_20251126181825.pdf</v>
      </c>
      <c r="J131" s="2" t="s">
        <v>498</v>
      </c>
      <c r="K131" s="2" t="s">
        <v>499</v>
      </c>
      <c r="L131" s="2" t="s">
        <v>469</v>
      </c>
      <c r="M131" s="8" t="n">
        <v>44558</v>
      </c>
      <c r="N131" s="1" t="s">
        <v>812</v>
      </c>
      <c r="O131" s="1" t="n">
        <v>0</v>
      </c>
      <c r="P131" s="1" t="s">
        <v>812</v>
      </c>
      <c r="Q131" s="1" t="n">
        <v>0</v>
      </c>
      <c r="R131" s="1" t="s">
        <v>813</v>
      </c>
      <c r="S131" s="1" t="n">
        <v>20251126181825</v>
      </c>
      <c r="T131" s="2" t="s">
        <v>814</v>
      </c>
      <c r="U131" s="2" t="s">
        <v>814</v>
      </c>
      <c r="X131" s="2" t="n">
        <v>242338</v>
      </c>
      <c r="Y131" s="1" t="n">
        <v>1.7</v>
      </c>
      <c r="Z131" s="1" t="n">
        <v>3</v>
      </c>
      <c r="AA131" s="9" t="s">
        <v>475</v>
      </c>
    </row>
    <row r="132" customFormat="false" ht="18.7" hidden="false" customHeight="true" outlineLevel="0" collapsed="false">
      <c r="A132" s="1" t="n">
        <v>131</v>
      </c>
      <c r="B132" s="7" t="str">
        <f aca="false">HYPERLINK("https://mncourtfraud.com/file/27-CR-21-12714.pdf","27-CR-21-12714")</f>
        <v>27-CR-21-12714</v>
      </c>
      <c r="C132" s="1" t="n">
        <v>1</v>
      </c>
      <c r="D132" s="2" t="s">
        <v>12</v>
      </c>
      <c r="E132" s="8" t="n">
        <v>44593</v>
      </c>
      <c r="F132" s="2" t="s">
        <v>19</v>
      </c>
      <c r="G132" s="7" t="str">
        <f aca="false">HYPERLINK("https://mncourtfraud.com/file/MCRO_27-CR-21-12714_Findings and Order_2022-02-01_20251126181711.pdf","MCRO_27-CR-21-12714_Findings and Order_2022-02-01_20251126181711.pdf")</f>
        <v>MCRO_27-CR-21-12714_Findings and Order_2022-02-01_20251126181711.pdf</v>
      </c>
      <c r="H132" s="2" t="s">
        <v>503</v>
      </c>
      <c r="I132" s="2" t="s">
        <v>503</v>
      </c>
      <c r="J132" s="2" t="s">
        <v>519</v>
      </c>
      <c r="K132" s="2" t="s">
        <v>520</v>
      </c>
      <c r="L132" s="2" t="s">
        <v>469</v>
      </c>
      <c r="M132" s="8" t="n">
        <v>44593</v>
      </c>
      <c r="N132" s="1" t="s">
        <v>529</v>
      </c>
      <c r="O132" s="1" t="n">
        <v>0</v>
      </c>
      <c r="P132" s="1" t="s">
        <v>530</v>
      </c>
      <c r="Q132" s="1" t="n">
        <v>0</v>
      </c>
      <c r="R132" s="1" t="s">
        <v>815</v>
      </c>
      <c r="S132" s="1" t="n">
        <v>20251126181711</v>
      </c>
      <c r="T132" s="2" t="s">
        <v>532</v>
      </c>
      <c r="U132" s="2" t="s">
        <v>533</v>
      </c>
      <c r="W132" s="2" t="s">
        <v>509</v>
      </c>
      <c r="X132" s="2" t="n">
        <v>361786</v>
      </c>
      <c r="Y132" s="1" t="n">
        <v>1.7</v>
      </c>
      <c r="Z132" s="1" t="n">
        <v>7</v>
      </c>
      <c r="AA132" s="9" t="s">
        <v>475</v>
      </c>
    </row>
    <row r="133" customFormat="false" ht="18.7" hidden="false" customHeight="true" outlineLevel="0" collapsed="false">
      <c r="A133" s="1" t="n">
        <v>132</v>
      </c>
      <c r="B133" s="7" t="str">
        <f aca="false">HYPERLINK("https://mncourtfraud.com/file/27-CR-21-12714.pdf","27-CR-21-12714")</f>
        <v>27-CR-21-12714</v>
      </c>
      <c r="C133" s="1" t="n">
        <v>1</v>
      </c>
      <c r="D133" s="2" t="s">
        <v>12</v>
      </c>
      <c r="E133" s="8" t="n">
        <v>44692</v>
      </c>
      <c r="F133" s="2" t="s">
        <v>15</v>
      </c>
      <c r="G133" s="7" t="str">
        <f aca="false">HYPERLINK("https://mncourtfraud.com/file/MCRO_27-CR-21-12714_Order-Evaluation for Competency to Proceed (Rule 20.01)_2022-05-11_20251126181834.pdf","MCRO_27-CR-21-12714_Order-Evaluation for Competency to Proceed (Rule 20.01)_2022-05-11_20251126181834.pdf")</f>
        <v>MCRO_27-CR-21-12714_Order-Evaluation for Competency to Proceed (Rule 20.01)_2022-05-11_20251126181834.pdf</v>
      </c>
      <c r="H133" s="2" t="s">
        <v>534</v>
      </c>
      <c r="I133" s="2" t="s">
        <v>534</v>
      </c>
      <c r="J133" s="2" t="s">
        <v>535</v>
      </c>
      <c r="K133" s="2" t="s">
        <v>536</v>
      </c>
      <c r="L133" s="2" t="s">
        <v>469</v>
      </c>
      <c r="M133" s="8" t="n">
        <v>44692</v>
      </c>
      <c r="N133" s="1" t="s">
        <v>537</v>
      </c>
      <c r="O133" s="1" t="n">
        <v>0</v>
      </c>
      <c r="P133" s="1" t="s">
        <v>816</v>
      </c>
      <c r="Q133" s="1" t="n">
        <v>0</v>
      </c>
      <c r="R133" s="1" t="s">
        <v>817</v>
      </c>
      <c r="S133" s="1" t="n">
        <v>20251126181834</v>
      </c>
      <c r="T133" s="2" t="s">
        <v>540</v>
      </c>
      <c r="U133" s="2" t="s">
        <v>818</v>
      </c>
      <c r="W133" s="2" t="s">
        <v>542</v>
      </c>
      <c r="X133" s="2" t="n">
        <v>239820</v>
      </c>
      <c r="Y133" s="1" t="n">
        <v>1.6</v>
      </c>
      <c r="Z133" s="1" t="n">
        <v>2</v>
      </c>
    </row>
    <row r="134" customFormat="false" ht="18.7" hidden="false" customHeight="true" outlineLevel="0" collapsed="false">
      <c r="A134" s="1" t="n">
        <v>133</v>
      </c>
      <c r="B134" s="7" t="str">
        <f aca="false">HYPERLINK("https://mncourtfraud.com/file/27-CR-21-12714.pdf","27-CR-21-12714")</f>
        <v>27-CR-21-12714</v>
      </c>
      <c r="C134" s="1" t="n">
        <v>1</v>
      </c>
      <c r="D134" s="2" t="s">
        <v>12</v>
      </c>
      <c r="E134" s="8" t="n">
        <v>44895</v>
      </c>
      <c r="F134" s="2" t="s">
        <v>15</v>
      </c>
      <c r="G134" s="7" t="str">
        <f aca="false">HYPERLINK("https://mncourtfraud.com/file/MCRO_27-CR-21-12714_Order-Evaluation for Competency to Proceed (Rule 20.01)_2022-11-30_20251126181847.pdf","MCRO_27-CR-21-12714_Order-Evaluation for Competency to Proceed (Rule 20.01)_2022-11-30_20251126181847.pdf")</f>
        <v>MCRO_27-CR-21-12714_Order-Evaluation for Competency to Proceed (Rule 20.01)_2022-11-30_20251126181847.pdf</v>
      </c>
      <c r="H134" s="2" t="s">
        <v>543</v>
      </c>
      <c r="I134" s="2" t="s">
        <v>544</v>
      </c>
      <c r="J134" s="2" t="s">
        <v>519</v>
      </c>
      <c r="K134" s="2" t="s">
        <v>520</v>
      </c>
      <c r="L134" s="2" t="s">
        <v>469</v>
      </c>
      <c r="M134" s="8" t="n">
        <v>44895</v>
      </c>
      <c r="N134" s="1" t="s">
        <v>545</v>
      </c>
      <c r="O134" s="1" t="n">
        <v>0</v>
      </c>
      <c r="P134" s="1" t="s">
        <v>546</v>
      </c>
      <c r="Q134" s="1" t="n">
        <v>0</v>
      </c>
      <c r="R134" s="1" t="s">
        <v>819</v>
      </c>
      <c r="S134" s="1" t="n">
        <v>20251126181847</v>
      </c>
      <c r="T134" s="2" t="s">
        <v>548</v>
      </c>
      <c r="U134" s="2" t="s">
        <v>549</v>
      </c>
      <c r="X134" s="2" t="n">
        <v>816998</v>
      </c>
      <c r="Y134" s="1" t="n">
        <v>1.7</v>
      </c>
      <c r="Z134" s="1" t="n">
        <v>2</v>
      </c>
      <c r="AA134" s="9" t="s">
        <v>475</v>
      </c>
    </row>
    <row r="135" customFormat="false" ht="18.7" hidden="false" customHeight="true" outlineLevel="0" collapsed="false">
      <c r="A135" s="1" t="n">
        <v>134</v>
      </c>
      <c r="B135" s="7" t="str">
        <f aca="false">HYPERLINK("https://mncourtfraud.com/file/27-CR-21-12714.pdf","27-CR-21-12714")</f>
        <v>27-CR-21-12714</v>
      </c>
      <c r="C135" s="1" t="n">
        <v>1</v>
      </c>
      <c r="D135" s="2" t="s">
        <v>12</v>
      </c>
      <c r="E135" s="8" t="n">
        <v>45048</v>
      </c>
      <c r="F135" s="2" t="s">
        <v>80</v>
      </c>
      <c r="G135" s="7" t="str">
        <f aca="false">HYPERLINK("https://mncourtfraud.com/file/MCRO_27-CR-21-12714_Finding of Incompetency and Order_2023-05-02_20251126181658.pdf","MCRO_27-CR-21-12714_Finding of Incompetency and Order_2023-05-02_20251126181658.pdf")</f>
        <v>MCRO_27-CR-21-12714_Finding of Incompetency and Order_2023-05-02_20251126181658.pdf</v>
      </c>
      <c r="H135" s="2" t="s">
        <v>644</v>
      </c>
      <c r="I135" s="2" t="s">
        <v>644</v>
      </c>
      <c r="J135" s="2" t="s">
        <v>519</v>
      </c>
      <c r="K135" s="2" t="s">
        <v>520</v>
      </c>
      <c r="L135" s="2" t="s">
        <v>469</v>
      </c>
      <c r="M135" s="8" t="n">
        <v>45048</v>
      </c>
      <c r="N135" s="1" t="s">
        <v>645</v>
      </c>
      <c r="O135" s="1" t="n">
        <v>0</v>
      </c>
      <c r="P135" s="1" t="s">
        <v>646</v>
      </c>
      <c r="Q135" s="1" t="n">
        <v>0</v>
      </c>
      <c r="R135" s="1" t="s">
        <v>820</v>
      </c>
      <c r="S135" s="1" t="n">
        <v>20251126181658</v>
      </c>
      <c r="T135" s="2" t="s">
        <v>648</v>
      </c>
      <c r="U135" s="2" t="s">
        <v>649</v>
      </c>
      <c r="W135" s="2" t="s">
        <v>650</v>
      </c>
      <c r="X135" s="2" t="n">
        <v>976546</v>
      </c>
      <c r="Y135" s="1" t="n">
        <v>1.7</v>
      </c>
      <c r="Z135" s="1" t="n">
        <v>6</v>
      </c>
      <c r="AA135" s="9" t="s">
        <v>475</v>
      </c>
    </row>
    <row r="136" customFormat="false" ht="18.7" hidden="false" customHeight="true" outlineLevel="0" collapsed="false">
      <c r="A136" s="1" t="n">
        <v>135</v>
      </c>
      <c r="B136" s="7" t="str">
        <f aca="false">HYPERLINK("https://mncourtfraud.com/file/27-CR-21-12714.pdf","27-CR-21-12714")</f>
        <v>27-CR-21-12714</v>
      </c>
      <c r="C136" s="1" t="n">
        <v>1</v>
      </c>
      <c r="D136" s="2" t="s">
        <v>12</v>
      </c>
      <c r="E136" s="8" t="n">
        <v>45160</v>
      </c>
      <c r="F136" s="2" t="s">
        <v>15</v>
      </c>
      <c r="G136" s="7" t="str">
        <f aca="false">HYPERLINK("https://mncourtfraud.com/file/MCRO_27-CR-21-12714_Order-Evaluation for Competency to Proceed (Rule 20.01)_2023-08-22_20251126181856.pdf","MCRO_27-CR-21-12714_Order-Evaluation for Competency to Proceed (Rule 20.01)_2023-08-22_20251126181856.pdf")</f>
        <v>MCRO_27-CR-21-12714_Order-Evaluation for Competency to Proceed (Rule 20.01)_2023-08-22_20251126181856.pdf</v>
      </c>
      <c r="H136" s="2" t="s">
        <v>658</v>
      </c>
      <c r="I136" s="2" t="s">
        <v>659</v>
      </c>
      <c r="J136" s="2" t="s">
        <v>519</v>
      </c>
      <c r="K136" s="2" t="s">
        <v>520</v>
      </c>
      <c r="L136" s="2" t="s">
        <v>469</v>
      </c>
      <c r="M136" s="8" t="n">
        <v>45160</v>
      </c>
      <c r="N136" s="1" t="s">
        <v>660</v>
      </c>
      <c r="O136" s="1" t="n">
        <v>0</v>
      </c>
      <c r="P136" s="1" t="s">
        <v>661</v>
      </c>
      <c r="Q136" s="1" t="n">
        <v>0</v>
      </c>
      <c r="R136" s="1" t="s">
        <v>821</v>
      </c>
      <c r="S136" s="1" t="n">
        <v>20251126181856</v>
      </c>
      <c r="T136" s="2" t="s">
        <v>663</v>
      </c>
      <c r="U136" s="2" t="s">
        <v>664</v>
      </c>
      <c r="X136" s="2" t="n">
        <v>876405</v>
      </c>
      <c r="Y136" s="1" t="n">
        <v>1.7</v>
      </c>
      <c r="Z136" s="1" t="n">
        <v>2</v>
      </c>
      <c r="AA136" s="9" t="s">
        <v>475</v>
      </c>
    </row>
    <row r="137" customFormat="false" ht="18.7" hidden="false" customHeight="true" outlineLevel="0" collapsed="false">
      <c r="A137" s="1" t="n">
        <v>136</v>
      </c>
      <c r="B137" s="7" t="str">
        <f aca="false">HYPERLINK("https://mncourtfraud.com/file/27-CR-21-12714.pdf","27-CR-21-12714")</f>
        <v>27-CR-21-12714</v>
      </c>
      <c r="C137" s="1" t="n">
        <v>1</v>
      </c>
      <c r="D137" s="2" t="s">
        <v>12</v>
      </c>
      <c r="E137" s="8" t="n">
        <v>45412</v>
      </c>
      <c r="F137" s="2" t="s">
        <v>24</v>
      </c>
      <c r="G137" s="7" t="str">
        <f aca="false">HYPERLINK("https://mncourtfraud.com/file/MCRO_27-CR-21-12714_Order for Conditional Release_2024-04-30_20251126181738.pdf","MCRO_27-CR-21-12714_Order for Conditional Release_2024-04-30_20251126181738.pdf")</f>
        <v>MCRO_27-CR-21-12714_Order for Conditional Release_2024-04-30_20251126181738.pdf</v>
      </c>
      <c r="I137" s="2" t="s">
        <v>481</v>
      </c>
      <c r="J137" s="2" t="s">
        <v>481</v>
      </c>
      <c r="K137" s="2" t="s">
        <v>482</v>
      </c>
      <c r="L137" s="2" t="s">
        <v>469</v>
      </c>
      <c r="M137" s="8" t="n">
        <v>45412</v>
      </c>
      <c r="N137" s="1" t="s">
        <v>665</v>
      </c>
      <c r="O137" s="1" t="n">
        <v>0</v>
      </c>
      <c r="P137" s="1" t="s">
        <v>665</v>
      </c>
      <c r="Q137" s="1" t="n">
        <v>0</v>
      </c>
      <c r="R137" s="1" t="s">
        <v>822</v>
      </c>
      <c r="S137" s="1" t="n">
        <v>20251126181738</v>
      </c>
      <c r="T137" s="2" t="s">
        <v>667</v>
      </c>
      <c r="U137" s="2" t="s">
        <v>668</v>
      </c>
      <c r="X137" s="2" t="n">
        <v>150532</v>
      </c>
      <c r="Y137" s="1" t="n">
        <v>1.5</v>
      </c>
      <c r="Z137" s="1" t="n">
        <v>2</v>
      </c>
    </row>
    <row r="138" customFormat="false" ht="18.7" hidden="false" customHeight="true" outlineLevel="0" collapsed="false">
      <c r="A138" s="1" t="n">
        <v>137</v>
      </c>
      <c r="B138" s="7" t="str">
        <f aca="false">HYPERLINK("https://mncourtfraud.com/file/27-CR-21-12714.pdf","27-CR-21-12714")</f>
        <v>27-CR-21-12714</v>
      </c>
      <c r="C138" s="1" t="n">
        <v>1</v>
      </c>
      <c r="D138" s="2" t="s">
        <v>12</v>
      </c>
      <c r="E138" s="8" t="n">
        <v>45412</v>
      </c>
      <c r="F138" s="2" t="s">
        <v>15</v>
      </c>
      <c r="G138" s="7" t="str">
        <f aca="false">HYPERLINK("https://mncourtfraud.com/file/MCRO_27-CR-21-12714_Order-Evaluation for Competency to Proceed (Rule 20.01)_2024-04-30_20251126181906.pdf","MCRO_27-CR-21-12714_Order-Evaluation for Competency to Proceed (Rule 20.01)_2024-04-30_20251126181906.pdf")</f>
        <v>MCRO_27-CR-21-12714_Order-Evaluation for Competency to Proceed (Rule 20.01)_2024-04-30_20251126181906.pdf</v>
      </c>
      <c r="I138" s="2" t="s">
        <v>481</v>
      </c>
      <c r="J138" s="2" t="s">
        <v>481</v>
      </c>
      <c r="K138" s="2" t="s">
        <v>482</v>
      </c>
      <c r="L138" s="2" t="s">
        <v>469</v>
      </c>
      <c r="M138" s="8" t="n">
        <v>45412</v>
      </c>
      <c r="N138" s="1" t="s">
        <v>665</v>
      </c>
      <c r="O138" s="1" t="n">
        <v>0</v>
      </c>
      <c r="P138" s="1" t="s">
        <v>665</v>
      </c>
      <c r="Q138" s="1" t="n">
        <v>0</v>
      </c>
      <c r="R138" s="1" t="s">
        <v>823</v>
      </c>
      <c r="S138" s="1" t="n">
        <v>20251126181906</v>
      </c>
      <c r="T138" s="2" t="s">
        <v>670</v>
      </c>
      <c r="U138" s="2" t="s">
        <v>671</v>
      </c>
      <c r="X138" s="2" t="n">
        <v>219519</v>
      </c>
      <c r="Y138" s="1" t="n">
        <v>1.5</v>
      </c>
      <c r="Z138" s="1" t="n">
        <v>3</v>
      </c>
    </row>
    <row r="139" customFormat="false" ht="18.7" hidden="false" customHeight="true" outlineLevel="0" collapsed="false">
      <c r="A139" s="1" t="n">
        <v>138</v>
      </c>
      <c r="B139" s="7" t="str">
        <f aca="false">HYPERLINK("https://mncourtfraud.com/file/27-CR-21-12749.pdf","27-CR-21-12749")</f>
        <v>27-CR-21-12749</v>
      </c>
      <c r="C139" s="1" t="n">
        <v>1</v>
      </c>
      <c r="D139" s="2" t="s">
        <v>12</v>
      </c>
      <c r="E139" s="8" t="n">
        <v>44396</v>
      </c>
      <c r="F139" s="2" t="s">
        <v>15</v>
      </c>
      <c r="G139" s="7" t="str">
        <f aca="false">HYPERLINK("https://mncourtfraud.com/file/MCRO_27-CR-21-12749_Order-Evaluation for Competency to Proceed (Rule 20.01)_2021-07-19_20251126182123.pdf","MCRO_27-CR-21-12749_Order-Evaluation for Competency to Proceed (Rule 20.01)_2021-07-19_20251126182123.pdf")</f>
        <v>MCRO_27-CR-21-12749_Order-Evaluation for Competency to Proceed (Rule 20.01)_2021-07-19_20251126182123.pdf</v>
      </c>
      <c r="J139" s="2" t="s">
        <v>498</v>
      </c>
      <c r="K139" s="2" t="s">
        <v>499</v>
      </c>
      <c r="L139" s="2" t="s">
        <v>469</v>
      </c>
      <c r="M139" s="8" t="n">
        <v>44396</v>
      </c>
      <c r="N139" s="1" t="s">
        <v>824</v>
      </c>
      <c r="O139" s="1" t="n">
        <v>0</v>
      </c>
      <c r="P139" s="1" t="s">
        <v>824</v>
      </c>
      <c r="Q139" s="1" t="n">
        <v>0</v>
      </c>
      <c r="R139" s="1" t="s">
        <v>825</v>
      </c>
      <c r="S139" s="1" t="n">
        <v>20251126182123</v>
      </c>
      <c r="T139" s="2" t="s">
        <v>826</v>
      </c>
      <c r="U139" s="2" t="s">
        <v>826</v>
      </c>
      <c r="X139" s="2" t="n">
        <v>193506</v>
      </c>
      <c r="Y139" s="1" t="n">
        <v>1.7</v>
      </c>
      <c r="Z139" s="1" t="n">
        <v>2</v>
      </c>
      <c r="AA139" s="9" t="s">
        <v>475</v>
      </c>
    </row>
    <row r="140" customFormat="false" ht="18.7" hidden="false" customHeight="true" outlineLevel="0" collapsed="false">
      <c r="A140" s="1" t="n">
        <v>139</v>
      </c>
      <c r="B140" s="7" t="str">
        <f aca="false">HYPERLINK("https://mncourtfraud.com/file/27-CR-21-12749.pdf","27-CR-21-12749")</f>
        <v>27-CR-21-12749</v>
      </c>
      <c r="C140" s="1" t="n">
        <v>1</v>
      </c>
      <c r="D140" s="2" t="s">
        <v>12</v>
      </c>
      <c r="E140" s="8" t="n">
        <v>44405</v>
      </c>
      <c r="F140" s="2" t="s">
        <v>145</v>
      </c>
      <c r="G140" s="7" t="str">
        <f aca="false">HYPERLINK("https://mncourtfraud.com/file/MCRO_27-CR-21-12749_Demand or Request for Discovery_2021-07-28_20251126181936.pdf","MCRO_27-CR-21-12749_Demand or Request for Discovery_2021-07-28_20251126181936.pdf")</f>
        <v>MCRO_27-CR-21-12749_Demand or Request for Discovery_2021-07-28_20251126181936.pdf</v>
      </c>
      <c r="H140" s="2" t="s">
        <v>796</v>
      </c>
      <c r="I140" s="2" t="s">
        <v>796</v>
      </c>
      <c r="J140" s="2" t="s">
        <v>797</v>
      </c>
      <c r="K140" s="2" t="s">
        <v>798</v>
      </c>
      <c r="L140" s="2" t="s">
        <v>469</v>
      </c>
      <c r="M140" s="8" t="n">
        <v>44405</v>
      </c>
      <c r="N140" s="1" t="s">
        <v>827</v>
      </c>
      <c r="O140" s="1" t="n">
        <v>0</v>
      </c>
      <c r="P140" s="1" t="s">
        <v>828</v>
      </c>
      <c r="Q140" s="1" t="n">
        <v>0</v>
      </c>
      <c r="R140" s="1" t="s">
        <v>829</v>
      </c>
      <c r="S140" s="1" t="n">
        <v>20251126181936</v>
      </c>
      <c r="T140" s="2" t="s">
        <v>830</v>
      </c>
      <c r="U140" s="2" t="s">
        <v>831</v>
      </c>
      <c r="V140" s="2" t="s">
        <v>804</v>
      </c>
      <c r="W140" s="2" t="s">
        <v>805</v>
      </c>
      <c r="X140" s="2" t="n">
        <v>315837</v>
      </c>
      <c r="Y140" s="1" t="n">
        <v>1.6</v>
      </c>
      <c r="Z140" s="1" t="n">
        <v>6</v>
      </c>
      <c r="AA140" s="9" t="s">
        <v>475</v>
      </c>
    </row>
    <row r="141" customFormat="false" ht="18.7" hidden="false" customHeight="true" outlineLevel="0" collapsed="false">
      <c r="A141" s="1" t="n">
        <v>140</v>
      </c>
      <c r="B141" s="7" t="str">
        <f aca="false">HYPERLINK("https://mncourtfraud.com/file/27-CR-21-12749.pdf","27-CR-21-12749")</f>
        <v>27-CR-21-12749</v>
      </c>
      <c r="C141" s="1" t="n">
        <v>1</v>
      </c>
      <c r="D141" s="2" t="s">
        <v>12</v>
      </c>
      <c r="E141" s="8" t="n">
        <v>44439</v>
      </c>
      <c r="F141" s="2" t="s">
        <v>19</v>
      </c>
      <c r="G141" s="7" t="str">
        <f aca="false">HYPERLINK("https://mncourtfraud.com/file/MCRO_27-CR-21-12749_Findings and Order_2021-08-31_20251126182009.pdf","MCRO_27-CR-21-12749_Findings and Order_2021-08-31_20251126182009.pdf")</f>
        <v>MCRO_27-CR-21-12749_Findings and Order_2021-08-31_20251126182009.pdf</v>
      </c>
      <c r="H141" s="2" t="s">
        <v>503</v>
      </c>
      <c r="I141" s="2" t="s">
        <v>503</v>
      </c>
      <c r="J141" s="2" t="s">
        <v>467</v>
      </c>
      <c r="K141" s="2" t="s">
        <v>468</v>
      </c>
      <c r="L141" s="2" t="s">
        <v>469</v>
      </c>
      <c r="M141" s="8" t="n">
        <v>44439</v>
      </c>
      <c r="N141" s="1" t="s">
        <v>504</v>
      </c>
      <c r="O141" s="1" t="n">
        <v>0</v>
      </c>
      <c r="P141" s="1" t="s">
        <v>505</v>
      </c>
      <c r="Q141" s="1" t="n">
        <v>0</v>
      </c>
      <c r="R141" s="1" t="s">
        <v>832</v>
      </c>
      <c r="S141" s="1" t="n">
        <v>20251126182009</v>
      </c>
      <c r="T141" s="2" t="s">
        <v>507</v>
      </c>
      <c r="U141" s="2" t="s">
        <v>508</v>
      </c>
      <c r="W141" s="2" t="s">
        <v>509</v>
      </c>
      <c r="X141" s="2" t="n">
        <v>375486</v>
      </c>
      <c r="Y141" s="1" t="n">
        <v>1.7</v>
      </c>
      <c r="Z141" s="1" t="n">
        <v>7</v>
      </c>
      <c r="AA141" s="9" t="s">
        <v>475</v>
      </c>
    </row>
    <row r="142" customFormat="false" ht="18.7" hidden="false" customHeight="true" outlineLevel="0" collapsed="false">
      <c r="A142" s="1" t="n">
        <v>141</v>
      </c>
      <c r="B142" s="7" t="str">
        <f aca="false">HYPERLINK("https://mncourtfraud.com/file/27-CR-21-12749.pdf","27-CR-21-12749")</f>
        <v>27-CR-21-12749</v>
      </c>
      <c r="C142" s="1" t="n">
        <v>1</v>
      </c>
      <c r="D142" s="2" t="s">
        <v>12</v>
      </c>
      <c r="E142" s="8" t="n">
        <v>44460</v>
      </c>
      <c r="F142" s="2" t="s">
        <v>24</v>
      </c>
      <c r="G142" s="7" t="str">
        <f aca="false">HYPERLINK("https://mncourtfraud.com/file/MCRO_27-CR-21-12749_Order for Conditional Release_2021-09-21_20251126182103.pdf","MCRO_27-CR-21-12749_Order for Conditional Release_2021-09-21_20251126182103.pdf")</f>
        <v>MCRO_27-CR-21-12749_Order for Conditional Release_2021-09-21_20251126182103.pdf</v>
      </c>
      <c r="I142" s="2" t="s">
        <v>481</v>
      </c>
      <c r="J142" s="2" t="s">
        <v>481</v>
      </c>
      <c r="K142" s="2" t="s">
        <v>482</v>
      </c>
      <c r="L142" s="2" t="s">
        <v>469</v>
      </c>
      <c r="M142" s="8" t="n">
        <v>44460</v>
      </c>
      <c r="N142" s="1" t="s">
        <v>510</v>
      </c>
      <c r="O142" s="1" t="n">
        <v>0</v>
      </c>
      <c r="P142" s="1" t="s">
        <v>511</v>
      </c>
      <c r="Q142" s="1" t="n">
        <v>0</v>
      </c>
      <c r="R142" s="1" t="s">
        <v>833</v>
      </c>
      <c r="S142" s="1" t="n">
        <v>20251126182103</v>
      </c>
      <c r="T142" s="2" t="s">
        <v>513</v>
      </c>
      <c r="U142" s="2" t="s">
        <v>514</v>
      </c>
      <c r="X142" s="2" t="n">
        <v>105849</v>
      </c>
      <c r="Y142" s="1" t="n">
        <v>1.5</v>
      </c>
      <c r="Z142" s="1" t="n">
        <v>1</v>
      </c>
    </row>
    <row r="143" customFormat="false" ht="18.7" hidden="false" customHeight="true" outlineLevel="0" collapsed="false">
      <c r="A143" s="1" t="n">
        <v>142</v>
      </c>
      <c r="B143" s="7" t="str">
        <f aca="false">HYPERLINK("https://mncourtfraud.com/file/27-CR-21-12749.pdf","27-CR-21-12749")</f>
        <v>27-CR-21-12749</v>
      </c>
      <c r="C143" s="1" t="n">
        <v>1</v>
      </c>
      <c r="D143" s="2" t="s">
        <v>12</v>
      </c>
      <c r="E143" s="8" t="n">
        <v>44468</v>
      </c>
      <c r="F143" s="2" t="s">
        <v>24</v>
      </c>
      <c r="G143" s="7" t="str">
        <f aca="false">HYPERLINK("https://mncourtfraud.com/file/MCRO_27-CR-21-12749_Order for Conditional Release_2021-09-29_20251126182110.pdf","MCRO_27-CR-21-12749_Order for Conditional Release_2021-09-29_20251126182110.pdf")</f>
        <v>MCRO_27-CR-21-12749_Order for Conditional Release_2021-09-29_20251126182110.pdf</v>
      </c>
      <c r="I143" s="2" t="s">
        <v>481</v>
      </c>
      <c r="J143" s="2" t="s">
        <v>481</v>
      </c>
      <c r="K143" s="2" t="s">
        <v>482</v>
      </c>
      <c r="L143" s="2" t="s">
        <v>469</v>
      </c>
      <c r="M143" s="8" t="n">
        <v>44468</v>
      </c>
      <c r="N143" s="1" t="s">
        <v>515</v>
      </c>
      <c r="O143" s="1" t="n">
        <v>0</v>
      </c>
      <c r="P143" s="1" t="s">
        <v>516</v>
      </c>
      <c r="Q143" s="1" t="n">
        <v>0</v>
      </c>
      <c r="R143" s="1" t="s">
        <v>834</v>
      </c>
      <c r="S143" s="1" t="n">
        <v>20251126182110</v>
      </c>
      <c r="T143" s="2" t="s">
        <v>513</v>
      </c>
      <c r="U143" s="2" t="s">
        <v>518</v>
      </c>
      <c r="X143" s="2" t="n">
        <v>151814</v>
      </c>
      <c r="Y143" s="1" t="n">
        <v>1.6</v>
      </c>
      <c r="Z143" s="1" t="n">
        <v>1</v>
      </c>
    </row>
    <row r="144" customFormat="false" ht="18.7" hidden="false" customHeight="true" outlineLevel="0" collapsed="false">
      <c r="A144" s="1" t="n">
        <v>143</v>
      </c>
      <c r="B144" s="7" t="str">
        <f aca="false">HYPERLINK("https://mncourtfraud.com/file/27-CR-21-12749.pdf","27-CR-21-12749")</f>
        <v>27-CR-21-12749</v>
      </c>
      <c r="C144" s="1" t="n">
        <v>1</v>
      </c>
      <c r="D144" s="2" t="s">
        <v>12</v>
      </c>
      <c r="E144" s="8" t="n">
        <v>44543</v>
      </c>
      <c r="F144" s="2" t="s">
        <v>15</v>
      </c>
      <c r="G144" s="7" t="str">
        <f aca="false">HYPERLINK("https://mncourtfraud.com/file/MCRO_27-CR-21-12749_Order-Evaluation for Competency to Proceed (Rule 20.01)_2021-12-13_20251126182133.pdf","MCRO_27-CR-21-12749_Order-Evaluation for Competency to Proceed (Rule 20.01)_2021-12-13_20251126182133.pdf")</f>
        <v>MCRO_27-CR-21-12749_Order-Evaluation for Competency to Proceed (Rule 20.01)_2021-12-13_20251126182133.pdf</v>
      </c>
      <c r="H144" s="2" t="s">
        <v>465</v>
      </c>
      <c r="I144" s="2" t="s">
        <v>466</v>
      </c>
      <c r="J144" s="2" t="s">
        <v>519</v>
      </c>
      <c r="K144" s="2" t="s">
        <v>520</v>
      </c>
      <c r="L144" s="2" t="s">
        <v>469</v>
      </c>
      <c r="M144" s="8" t="n">
        <v>44543</v>
      </c>
      <c r="N144" s="1" t="s">
        <v>521</v>
      </c>
      <c r="O144" s="1" t="n">
        <v>0</v>
      </c>
      <c r="P144" s="1" t="s">
        <v>835</v>
      </c>
      <c r="Q144" s="1" t="n">
        <v>0</v>
      </c>
      <c r="R144" s="1" t="s">
        <v>836</v>
      </c>
      <c r="S144" s="1" t="n">
        <v>20251126182133</v>
      </c>
      <c r="T144" s="2" t="s">
        <v>524</v>
      </c>
      <c r="U144" s="2" t="s">
        <v>837</v>
      </c>
      <c r="X144" s="2" t="n">
        <v>233842</v>
      </c>
      <c r="Y144" s="1" t="n">
        <v>1.7</v>
      </c>
      <c r="Z144" s="1" t="n">
        <v>2</v>
      </c>
      <c r="AA144" s="9" t="s">
        <v>475</v>
      </c>
    </row>
    <row r="145" customFormat="false" ht="18.7" hidden="false" customHeight="true" outlineLevel="0" collapsed="false">
      <c r="A145" s="1" t="n">
        <v>144</v>
      </c>
      <c r="B145" s="7" t="str">
        <f aca="false">HYPERLINK("https://mncourtfraud.com/file/27-CR-21-12749.pdf","27-CR-21-12749")</f>
        <v>27-CR-21-12749</v>
      </c>
      <c r="C145" s="1" t="n">
        <v>1</v>
      </c>
      <c r="D145" s="2" t="s">
        <v>12</v>
      </c>
      <c r="E145" s="8" t="n">
        <v>44558</v>
      </c>
      <c r="F145" s="2" t="s">
        <v>15</v>
      </c>
      <c r="G145" s="7" t="str">
        <f aca="false">HYPERLINK("https://mncourtfraud.com/file/MCRO_27-CR-21-12749_Order-Evaluation for Competency to Proceed (Rule 20.01)_2021-12-28_20251126182145.pdf","MCRO_27-CR-21-12749_Order-Evaluation for Competency to Proceed (Rule 20.01)_2021-12-28_20251126182145.pdf")</f>
        <v>MCRO_27-CR-21-12749_Order-Evaluation for Competency to Proceed (Rule 20.01)_2021-12-28_20251126182145.pdf</v>
      </c>
      <c r="J145" s="2" t="s">
        <v>498</v>
      </c>
      <c r="K145" s="2" t="s">
        <v>499</v>
      </c>
      <c r="L145" s="2" t="s">
        <v>469</v>
      </c>
      <c r="M145" s="8" t="n">
        <v>44558</v>
      </c>
      <c r="N145" s="1" t="s">
        <v>838</v>
      </c>
      <c r="O145" s="1" t="n">
        <v>0</v>
      </c>
      <c r="P145" s="1" t="s">
        <v>838</v>
      </c>
      <c r="Q145" s="1" t="n">
        <v>0</v>
      </c>
      <c r="R145" s="1" t="s">
        <v>839</v>
      </c>
      <c r="S145" s="1" t="n">
        <v>20251126182145</v>
      </c>
      <c r="T145" s="2" t="s">
        <v>840</v>
      </c>
      <c r="U145" s="2" t="s">
        <v>840</v>
      </c>
      <c r="X145" s="2" t="n">
        <v>239424</v>
      </c>
      <c r="Y145" s="1" t="n">
        <v>1.7</v>
      </c>
      <c r="Z145" s="1" t="n">
        <v>3</v>
      </c>
      <c r="AA145" s="9" t="s">
        <v>475</v>
      </c>
    </row>
    <row r="146" customFormat="false" ht="18.7" hidden="false" customHeight="true" outlineLevel="0" collapsed="false">
      <c r="A146" s="1" t="n">
        <v>145</v>
      </c>
      <c r="B146" s="7" t="str">
        <f aca="false">HYPERLINK("https://mncourtfraud.com/file/27-CR-21-12749.pdf","27-CR-21-12749")</f>
        <v>27-CR-21-12749</v>
      </c>
      <c r="C146" s="1" t="n">
        <v>1</v>
      </c>
      <c r="D146" s="2" t="s">
        <v>12</v>
      </c>
      <c r="E146" s="8" t="n">
        <v>44593</v>
      </c>
      <c r="F146" s="2" t="s">
        <v>19</v>
      </c>
      <c r="G146" s="7" t="str">
        <f aca="false">HYPERLINK("https://mncourtfraud.com/file/MCRO_27-CR-21-12749_Findings and Order_2022-02-01_20251126181958.pdf","MCRO_27-CR-21-12749_Findings and Order_2022-02-01_20251126181958.pdf")</f>
        <v>MCRO_27-CR-21-12749_Findings and Order_2022-02-01_20251126181958.pdf</v>
      </c>
      <c r="H146" s="2" t="s">
        <v>503</v>
      </c>
      <c r="I146" s="2" t="s">
        <v>503</v>
      </c>
      <c r="J146" s="2" t="s">
        <v>519</v>
      </c>
      <c r="K146" s="2" t="s">
        <v>520</v>
      </c>
      <c r="L146" s="2" t="s">
        <v>469</v>
      </c>
      <c r="M146" s="8" t="n">
        <v>44593</v>
      </c>
      <c r="N146" s="1" t="s">
        <v>529</v>
      </c>
      <c r="O146" s="1" t="n">
        <v>0</v>
      </c>
      <c r="P146" s="1" t="s">
        <v>530</v>
      </c>
      <c r="Q146" s="1" t="n">
        <v>0</v>
      </c>
      <c r="R146" s="1" t="s">
        <v>841</v>
      </c>
      <c r="S146" s="1" t="n">
        <v>20251126181958</v>
      </c>
      <c r="T146" s="2" t="s">
        <v>532</v>
      </c>
      <c r="U146" s="2" t="s">
        <v>533</v>
      </c>
      <c r="W146" s="2" t="s">
        <v>509</v>
      </c>
      <c r="X146" s="2" t="n">
        <v>361789</v>
      </c>
      <c r="Y146" s="1" t="n">
        <v>1.7</v>
      </c>
      <c r="Z146" s="1" t="n">
        <v>7</v>
      </c>
      <c r="AA146" s="9" t="s">
        <v>475</v>
      </c>
    </row>
    <row r="147" customFormat="false" ht="18.7" hidden="false" customHeight="true" outlineLevel="0" collapsed="false">
      <c r="A147" s="1" t="n">
        <v>146</v>
      </c>
      <c r="B147" s="7" t="str">
        <f aca="false">HYPERLINK("https://mncourtfraud.com/file/27-CR-21-12749.pdf","27-CR-21-12749")</f>
        <v>27-CR-21-12749</v>
      </c>
      <c r="C147" s="1" t="n">
        <v>1</v>
      </c>
      <c r="D147" s="2" t="s">
        <v>12</v>
      </c>
      <c r="E147" s="8" t="n">
        <v>44692</v>
      </c>
      <c r="F147" s="2" t="s">
        <v>15</v>
      </c>
      <c r="G147" s="7" t="str">
        <f aca="false">HYPERLINK("https://mncourtfraud.com/file/MCRO_27-CR-21-12749_Order-Evaluation for Competency to Proceed (Rule 20.01)_2022-05-11_20251126182155.pdf","MCRO_27-CR-21-12749_Order-Evaluation for Competency to Proceed (Rule 20.01)_2022-05-11_20251126182155.pdf")</f>
        <v>MCRO_27-CR-21-12749_Order-Evaluation for Competency to Proceed (Rule 20.01)_2022-05-11_20251126182155.pdf</v>
      </c>
      <c r="H147" s="2" t="s">
        <v>534</v>
      </c>
      <c r="I147" s="2" t="s">
        <v>534</v>
      </c>
      <c r="J147" s="2" t="s">
        <v>535</v>
      </c>
      <c r="K147" s="2" t="s">
        <v>536</v>
      </c>
      <c r="L147" s="2" t="s">
        <v>469</v>
      </c>
      <c r="M147" s="8" t="n">
        <v>44692</v>
      </c>
      <c r="N147" s="1" t="s">
        <v>537</v>
      </c>
      <c r="O147" s="1" t="n">
        <v>0</v>
      </c>
      <c r="P147" s="1" t="s">
        <v>842</v>
      </c>
      <c r="Q147" s="1" t="n">
        <v>0</v>
      </c>
      <c r="R147" s="1" t="s">
        <v>843</v>
      </c>
      <c r="S147" s="1" t="n">
        <v>20251126182155</v>
      </c>
      <c r="T147" s="2" t="s">
        <v>540</v>
      </c>
      <c r="U147" s="2" t="s">
        <v>844</v>
      </c>
      <c r="W147" s="2" t="s">
        <v>542</v>
      </c>
      <c r="X147" s="2" t="n">
        <v>239821</v>
      </c>
      <c r="Y147" s="1" t="n">
        <v>1.6</v>
      </c>
      <c r="Z147" s="1" t="n">
        <v>2</v>
      </c>
    </row>
    <row r="148" customFormat="false" ht="18.7" hidden="false" customHeight="true" outlineLevel="0" collapsed="false">
      <c r="A148" s="1" t="n">
        <v>147</v>
      </c>
      <c r="B148" s="7" t="str">
        <f aca="false">HYPERLINK("https://mncourtfraud.com/file/27-CR-21-12749.pdf","27-CR-21-12749")</f>
        <v>27-CR-21-12749</v>
      </c>
      <c r="C148" s="1" t="n">
        <v>1</v>
      </c>
      <c r="D148" s="2" t="s">
        <v>12</v>
      </c>
      <c r="E148" s="8" t="n">
        <v>44895</v>
      </c>
      <c r="F148" s="2" t="s">
        <v>15</v>
      </c>
      <c r="G148" s="7" t="str">
        <f aca="false">HYPERLINK("https://mncourtfraud.com/file/MCRO_27-CR-21-12749_Order-Evaluation for Competency to Proceed (Rule 20.01)_2022-11-30_20251126182203.pdf","MCRO_27-CR-21-12749_Order-Evaluation for Competency to Proceed (Rule 20.01)_2022-11-30_20251126182203.pdf")</f>
        <v>MCRO_27-CR-21-12749_Order-Evaluation for Competency to Proceed (Rule 20.01)_2022-11-30_20251126182203.pdf</v>
      </c>
      <c r="H148" s="2" t="s">
        <v>543</v>
      </c>
      <c r="I148" s="2" t="s">
        <v>544</v>
      </c>
      <c r="J148" s="2" t="s">
        <v>519</v>
      </c>
      <c r="K148" s="2" t="s">
        <v>520</v>
      </c>
      <c r="L148" s="2" t="s">
        <v>469</v>
      </c>
      <c r="M148" s="8" t="n">
        <v>44895</v>
      </c>
      <c r="N148" s="1" t="s">
        <v>545</v>
      </c>
      <c r="O148" s="1" t="n">
        <v>0</v>
      </c>
      <c r="P148" s="1" t="s">
        <v>546</v>
      </c>
      <c r="Q148" s="1" t="n">
        <v>0</v>
      </c>
      <c r="R148" s="1" t="s">
        <v>845</v>
      </c>
      <c r="S148" s="1" t="n">
        <v>20251126182203</v>
      </c>
      <c r="T148" s="2" t="s">
        <v>548</v>
      </c>
      <c r="U148" s="2" t="s">
        <v>549</v>
      </c>
      <c r="X148" s="2" t="n">
        <v>816999</v>
      </c>
      <c r="Y148" s="1" t="n">
        <v>1.7</v>
      </c>
      <c r="Z148" s="1" t="n">
        <v>2</v>
      </c>
      <c r="AA148" s="9" t="s">
        <v>475</v>
      </c>
    </row>
    <row r="149" customFormat="false" ht="18.7" hidden="false" customHeight="true" outlineLevel="0" collapsed="false">
      <c r="A149" s="1" t="n">
        <v>148</v>
      </c>
      <c r="B149" s="7" t="str">
        <f aca="false">HYPERLINK("https://mncourtfraud.com/file/27-CR-21-12749.pdf","27-CR-21-12749")</f>
        <v>27-CR-21-12749</v>
      </c>
      <c r="C149" s="1" t="n">
        <v>1</v>
      </c>
      <c r="D149" s="2" t="s">
        <v>12</v>
      </c>
      <c r="E149" s="8" t="n">
        <v>45048</v>
      </c>
      <c r="F149" s="2" t="s">
        <v>80</v>
      </c>
      <c r="G149" s="7" t="str">
        <f aca="false">HYPERLINK("https://mncourtfraud.com/file/MCRO_27-CR-21-12749_Finding of Incompetency and Order_2023-05-02_20251126181946.pdf","MCRO_27-CR-21-12749_Finding of Incompetency and Order_2023-05-02_20251126181946.pdf")</f>
        <v>MCRO_27-CR-21-12749_Finding of Incompetency and Order_2023-05-02_20251126181946.pdf</v>
      </c>
      <c r="H149" s="2" t="s">
        <v>644</v>
      </c>
      <c r="I149" s="2" t="s">
        <v>644</v>
      </c>
      <c r="J149" s="2" t="s">
        <v>519</v>
      </c>
      <c r="K149" s="2" t="s">
        <v>520</v>
      </c>
      <c r="L149" s="2" t="s">
        <v>469</v>
      </c>
      <c r="M149" s="8" t="n">
        <v>45048</v>
      </c>
      <c r="N149" s="1" t="s">
        <v>645</v>
      </c>
      <c r="O149" s="1" t="n">
        <v>0</v>
      </c>
      <c r="P149" s="1" t="s">
        <v>646</v>
      </c>
      <c r="Q149" s="1" t="n">
        <v>0</v>
      </c>
      <c r="R149" s="1" t="s">
        <v>846</v>
      </c>
      <c r="S149" s="1" t="n">
        <v>20251126181946</v>
      </c>
      <c r="T149" s="2" t="s">
        <v>648</v>
      </c>
      <c r="U149" s="2" t="s">
        <v>649</v>
      </c>
      <c r="W149" s="2" t="s">
        <v>650</v>
      </c>
      <c r="X149" s="2" t="n">
        <v>976545</v>
      </c>
      <c r="Y149" s="1" t="n">
        <v>1.7</v>
      </c>
      <c r="Z149" s="1" t="n">
        <v>6</v>
      </c>
      <c r="AA149" s="9" t="s">
        <v>475</v>
      </c>
    </row>
    <row r="150" customFormat="false" ht="18.7" hidden="false" customHeight="true" outlineLevel="0" collapsed="false">
      <c r="A150" s="1" t="n">
        <v>149</v>
      </c>
      <c r="B150" s="7" t="str">
        <f aca="false">HYPERLINK("https://mncourtfraud.com/file/27-CR-21-12749.pdf","27-CR-21-12749")</f>
        <v>27-CR-21-12749</v>
      </c>
      <c r="C150" s="1" t="n">
        <v>1</v>
      </c>
      <c r="D150" s="2" t="s">
        <v>12</v>
      </c>
      <c r="E150" s="8" t="n">
        <v>45093</v>
      </c>
      <c r="F150" s="2" t="s">
        <v>82</v>
      </c>
      <c r="G150" s="7" t="str">
        <f aca="false">HYPERLINK("https://mncourtfraud.com/file/MCRO_27-CR-21-12749_Notice of Case Reassignment_2023-06-16_20251126182023.pdf","MCRO_27-CR-21-12749_Notice of Case Reassignment_2023-06-16_20251126182023.pdf")</f>
        <v>MCRO_27-CR-21-12749_Notice of Case Reassignment_2023-06-16_20251126182023.pdf</v>
      </c>
      <c r="H150" s="2" t="s">
        <v>651</v>
      </c>
      <c r="I150" s="2" t="s">
        <v>651</v>
      </c>
      <c r="J150" s="2" t="s">
        <v>535</v>
      </c>
      <c r="K150" s="2" t="s">
        <v>652</v>
      </c>
      <c r="L150" s="2" t="s">
        <v>469</v>
      </c>
      <c r="M150" s="8" t="n">
        <v>45093</v>
      </c>
      <c r="N150" s="1" t="s">
        <v>653</v>
      </c>
      <c r="O150" s="1" t="n">
        <v>5</v>
      </c>
      <c r="P150" s="1" t="s">
        <v>653</v>
      </c>
      <c r="Q150" s="1" t="n">
        <v>5</v>
      </c>
      <c r="R150" s="1" t="s">
        <v>847</v>
      </c>
      <c r="S150" s="1" t="n">
        <v>20251126182023</v>
      </c>
      <c r="T150" s="2" t="s">
        <v>848</v>
      </c>
      <c r="U150" s="2" t="s">
        <v>849</v>
      </c>
      <c r="W150" s="2" t="s">
        <v>657</v>
      </c>
      <c r="X150" s="2" t="n">
        <v>113629</v>
      </c>
      <c r="Y150" s="1" t="n">
        <v>1.6</v>
      </c>
      <c r="Z150" s="1" t="n">
        <v>1</v>
      </c>
    </row>
    <row r="151" customFormat="false" ht="18.7" hidden="false" customHeight="true" outlineLevel="0" collapsed="false">
      <c r="A151" s="1" t="n">
        <v>150</v>
      </c>
      <c r="B151" s="7" t="str">
        <f aca="false">HYPERLINK("https://mncourtfraud.com/file/27-CR-21-12749.pdf","27-CR-21-12749")</f>
        <v>27-CR-21-12749</v>
      </c>
      <c r="C151" s="1" t="n">
        <v>1</v>
      </c>
      <c r="D151" s="2" t="s">
        <v>12</v>
      </c>
      <c r="E151" s="8" t="n">
        <v>45160</v>
      </c>
      <c r="F151" s="2" t="s">
        <v>15</v>
      </c>
      <c r="G151" s="7" t="str">
        <f aca="false">HYPERLINK("https://mncourtfraud.com/file/MCRO_27-CR-21-12749_Order-Evaluation for Competency to Proceed (Rule 20.01)_2023-08-22_20251126182213.pdf","MCRO_27-CR-21-12749_Order-Evaluation for Competency to Proceed (Rule 20.01)_2023-08-22_20251126182213.pdf")</f>
        <v>MCRO_27-CR-21-12749_Order-Evaluation for Competency to Proceed (Rule 20.01)_2023-08-22_20251126182213.pdf</v>
      </c>
      <c r="H151" s="2" t="s">
        <v>658</v>
      </c>
      <c r="I151" s="2" t="s">
        <v>659</v>
      </c>
      <c r="J151" s="2" t="s">
        <v>519</v>
      </c>
      <c r="K151" s="2" t="s">
        <v>520</v>
      </c>
      <c r="L151" s="2" t="s">
        <v>469</v>
      </c>
      <c r="M151" s="8" t="n">
        <v>45160</v>
      </c>
      <c r="N151" s="1" t="s">
        <v>660</v>
      </c>
      <c r="O151" s="1" t="n">
        <v>0</v>
      </c>
      <c r="P151" s="1" t="s">
        <v>661</v>
      </c>
      <c r="Q151" s="1" t="n">
        <v>0</v>
      </c>
      <c r="R151" s="1" t="s">
        <v>850</v>
      </c>
      <c r="S151" s="1" t="n">
        <v>20251126182213</v>
      </c>
      <c r="T151" s="2" t="s">
        <v>663</v>
      </c>
      <c r="U151" s="2" t="s">
        <v>664</v>
      </c>
      <c r="X151" s="2" t="n">
        <v>876402</v>
      </c>
      <c r="Y151" s="1" t="n">
        <v>1.7</v>
      </c>
      <c r="Z151" s="1" t="n">
        <v>2</v>
      </c>
      <c r="AA151" s="9" t="s">
        <v>475</v>
      </c>
    </row>
    <row r="152" customFormat="false" ht="18.7" hidden="false" customHeight="true" outlineLevel="0" collapsed="false">
      <c r="A152" s="1" t="n">
        <v>151</v>
      </c>
      <c r="B152" s="7" t="str">
        <f aca="false">HYPERLINK("https://mncourtfraud.com/file/27-CR-21-12749.pdf","27-CR-21-12749")</f>
        <v>27-CR-21-12749</v>
      </c>
      <c r="C152" s="1" t="n">
        <v>1</v>
      </c>
      <c r="D152" s="2" t="s">
        <v>12</v>
      </c>
      <c r="E152" s="8" t="n">
        <v>45412</v>
      </c>
      <c r="F152" s="2" t="s">
        <v>24</v>
      </c>
      <c r="G152" s="7" t="str">
        <f aca="false">HYPERLINK("https://mncourtfraud.com/file/MCRO_27-CR-21-12749_Order for Conditional Release_2024-04-30_20251126182051.pdf","MCRO_27-CR-21-12749_Order for Conditional Release_2024-04-30_20251126182051.pdf")</f>
        <v>MCRO_27-CR-21-12749_Order for Conditional Release_2024-04-30_20251126182051.pdf</v>
      </c>
      <c r="I152" s="2" t="s">
        <v>481</v>
      </c>
      <c r="J152" s="2" t="s">
        <v>481</v>
      </c>
      <c r="K152" s="2" t="s">
        <v>482</v>
      </c>
      <c r="L152" s="2" t="s">
        <v>469</v>
      </c>
      <c r="M152" s="8" t="n">
        <v>45412</v>
      </c>
      <c r="N152" s="1" t="s">
        <v>665</v>
      </c>
      <c r="O152" s="1" t="n">
        <v>0</v>
      </c>
      <c r="P152" s="1" t="s">
        <v>665</v>
      </c>
      <c r="Q152" s="1" t="n">
        <v>0</v>
      </c>
      <c r="R152" s="1" t="s">
        <v>851</v>
      </c>
      <c r="S152" s="1" t="n">
        <v>20251126182051</v>
      </c>
      <c r="T152" s="2" t="s">
        <v>667</v>
      </c>
      <c r="U152" s="2" t="s">
        <v>668</v>
      </c>
      <c r="X152" s="2" t="n">
        <v>150533</v>
      </c>
      <c r="Y152" s="1" t="n">
        <v>1.5</v>
      </c>
      <c r="Z152" s="1" t="n">
        <v>2</v>
      </c>
    </row>
    <row r="153" customFormat="false" ht="18.7" hidden="false" customHeight="true" outlineLevel="0" collapsed="false">
      <c r="A153" s="1" t="n">
        <v>152</v>
      </c>
      <c r="B153" s="7" t="str">
        <f aca="false">HYPERLINK("https://mncourtfraud.com/file/27-CR-21-12749.pdf","27-CR-21-12749")</f>
        <v>27-CR-21-12749</v>
      </c>
      <c r="C153" s="1" t="n">
        <v>1</v>
      </c>
      <c r="D153" s="2" t="s">
        <v>12</v>
      </c>
      <c r="E153" s="8" t="n">
        <v>45412</v>
      </c>
      <c r="F153" s="2" t="s">
        <v>15</v>
      </c>
      <c r="G153" s="7" t="str">
        <f aca="false">HYPERLINK("https://mncourtfraud.com/file/MCRO_27-CR-21-12749_Order-Evaluation for Competency to Proceed (Rule 20.01)_2024-04-30_20251126182222.pdf","MCRO_27-CR-21-12749_Order-Evaluation for Competency to Proceed (Rule 20.01)_2024-04-30_20251126182222.pdf")</f>
        <v>MCRO_27-CR-21-12749_Order-Evaluation for Competency to Proceed (Rule 20.01)_2024-04-30_20251126182222.pdf</v>
      </c>
      <c r="I153" s="2" t="s">
        <v>481</v>
      </c>
      <c r="J153" s="2" t="s">
        <v>481</v>
      </c>
      <c r="K153" s="2" t="s">
        <v>482</v>
      </c>
      <c r="L153" s="2" t="s">
        <v>469</v>
      </c>
      <c r="M153" s="8" t="n">
        <v>45412</v>
      </c>
      <c r="N153" s="1" t="s">
        <v>665</v>
      </c>
      <c r="O153" s="1" t="n">
        <v>0</v>
      </c>
      <c r="P153" s="1" t="s">
        <v>665</v>
      </c>
      <c r="Q153" s="1" t="n">
        <v>0</v>
      </c>
      <c r="R153" s="1" t="s">
        <v>852</v>
      </c>
      <c r="S153" s="1" t="n">
        <v>20251126182222</v>
      </c>
      <c r="T153" s="2" t="s">
        <v>670</v>
      </c>
      <c r="U153" s="2" t="s">
        <v>671</v>
      </c>
      <c r="X153" s="2" t="n">
        <v>219523</v>
      </c>
      <c r="Y153" s="1" t="n">
        <v>1.5</v>
      </c>
      <c r="Z153" s="1" t="n">
        <v>3</v>
      </c>
    </row>
    <row r="154" customFormat="false" ht="18.7" hidden="false" customHeight="true" outlineLevel="0" collapsed="false">
      <c r="A154" s="1" t="n">
        <v>153</v>
      </c>
      <c r="B154" s="7" t="str">
        <f aca="false">HYPERLINK("https://mncourtfraud.com/file/27-CR-21-12762.pdf","27-CR-21-12762")</f>
        <v>27-CR-21-12762</v>
      </c>
      <c r="C154" s="1" t="n">
        <v>1</v>
      </c>
      <c r="D154" s="2" t="s">
        <v>12</v>
      </c>
      <c r="E154" s="8" t="n">
        <v>44396</v>
      </c>
      <c r="F154" s="2" t="s">
        <v>15</v>
      </c>
      <c r="G154" s="7" t="str">
        <f aca="false">HYPERLINK("https://mncourtfraud.com/file/MCRO_27-CR-21-12762_Order-Evaluation for Competency to Proceed (Rule 20.01)_2021-07-19_20251126182430.pdf","MCRO_27-CR-21-12762_Order-Evaluation for Competency to Proceed (Rule 20.01)_2021-07-19_20251126182430.pdf")</f>
        <v>MCRO_27-CR-21-12762_Order-Evaluation for Competency to Proceed (Rule 20.01)_2021-07-19_20251126182430.pdf</v>
      </c>
      <c r="J154" s="2" t="s">
        <v>498</v>
      </c>
      <c r="K154" s="2" t="s">
        <v>499</v>
      </c>
      <c r="L154" s="2" t="s">
        <v>469</v>
      </c>
      <c r="M154" s="8" t="n">
        <v>44396</v>
      </c>
      <c r="N154" s="1" t="s">
        <v>853</v>
      </c>
      <c r="O154" s="1" t="n">
        <v>0</v>
      </c>
      <c r="P154" s="1" t="s">
        <v>853</v>
      </c>
      <c r="Q154" s="1" t="n">
        <v>0</v>
      </c>
      <c r="R154" s="1" t="s">
        <v>854</v>
      </c>
      <c r="S154" s="1" t="n">
        <v>20251126182430</v>
      </c>
      <c r="T154" s="2" t="s">
        <v>855</v>
      </c>
      <c r="U154" s="2" t="s">
        <v>855</v>
      </c>
      <c r="X154" s="2" t="n">
        <v>197452</v>
      </c>
      <c r="Y154" s="1" t="n">
        <v>1.7</v>
      </c>
      <c r="Z154" s="1" t="n">
        <v>2</v>
      </c>
      <c r="AA154" s="9" t="s">
        <v>475</v>
      </c>
    </row>
    <row r="155" customFormat="false" ht="18.7" hidden="false" customHeight="true" outlineLevel="0" collapsed="false">
      <c r="A155" s="1" t="n">
        <v>154</v>
      </c>
      <c r="B155" s="7" t="str">
        <f aca="false">HYPERLINK("https://mncourtfraud.com/file/27-CR-21-12762.pdf","27-CR-21-12762")</f>
        <v>27-CR-21-12762</v>
      </c>
      <c r="C155" s="1" t="n">
        <v>1</v>
      </c>
      <c r="D155" s="2" t="s">
        <v>12</v>
      </c>
      <c r="E155" s="8" t="n">
        <v>44405</v>
      </c>
      <c r="F155" s="2" t="s">
        <v>145</v>
      </c>
      <c r="G155" s="7" t="str">
        <f aca="false">HYPERLINK("https://mncourtfraud.com/file/MCRO_27-CR-21-12762_Demand or Request for Discovery_2021-07-28_20251126182249.pdf","MCRO_27-CR-21-12762_Demand or Request for Discovery_2021-07-28_20251126182249.pdf")</f>
        <v>MCRO_27-CR-21-12762_Demand or Request for Discovery_2021-07-28_20251126182249.pdf</v>
      </c>
      <c r="H155" s="2" t="s">
        <v>796</v>
      </c>
      <c r="I155" s="2" t="s">
        <v>796</v>
      </c>
      <c r="J155" s="2" t="s">
        <v>797</v>
      </c>
      <c r="K155" s="2" t="s">
        <v>798</v>
      </c>
      <c r="L155" s="2" t="s">
        <v>469</v>
      </c>
      <c r="M155" s="8" t="n">
        <v>44405</v>
      </c>
      <c r="N155" s="1" t="s">
        <v>856</v>
      </c>
      <c r="O155" s="1" t="n">
        <v>0</v>
      </c>
      <c r="P155" s="1" t="s">
        <v>857</v>
      </c>
      <c r="Q155" s="1" t="n">
        <v>0</v>
      </c>
      <c r="R155" s="1" t="s">
        <v>858</v>
      </c>
      <c r="S155" s="1" t="n">
        <v>20251126182249</v>
      </c>
      <c r="T155" s="2" t="s">
        <v>859</v>
      </c>
      <c r="U155" s="2" t="s">
        <v>860</v>
      </c>
      <c r="V155" s="2" t="s">
        <v>804</v>
      </c>
      <c r="W155" s="2" t="s">
        <v>805</v>
      </c>
      <c r="X155" s="2" t="n">
        <v>315708</v>
      </c>
      <c r="Y155" s="1" t="n">
        <v>1.6</v>
      </c>
      <c r="Z155" s="1" t="n">
        <v>6</v>
      </c>
      <c r="AA155" s="9" t="s">
        <v>475</v>
      </c>
    </row>
    <row r="156" customFormat="false" ht="18.7" hidden="false" customHeight="true" outlineLevel="0" collapsed="false">
      <c r="A156" s="1" t="n">
        <v>155</v>
      </c>
      <c r="B156" s="7" t="str">
        <f aca="false">HYPERLINK("https://mncourtfraud.com/file/27-CR-21-12762.pdf","27-CR-21-12762")</f>
        <v>27-CR-21-12762</v>
      </c>
      <c r="C156" s="1" t="n">
        <v>1</v>
      </c>
      <c r="D156" s="2" t="s">
        <v>12</v>
      </c>
      <c r="E156" s="8" t="n">
        <v>44439</v>
      </c>
      <c r="F156" s="2" t="s">
        <v>19</v>
      </c>
      <c r="G156" s="7" t="str">
        <f aca="false">HYPERLINK("https://mncourtfraud.com/file/MCRO_27-CR-21-12762_Findings and Order_2021-08-31_20251126182327.pdf","MCRO_27-CR-21-12762_Findings and Order_2021-08-31_20251126182327.pdf")</f>
        <v>MCRO_27-CR-21-12762_Findings and Order_2021-08-31_20251126182327.pdf</v>
      </c>
      <c r="H156" s="2" t="s">
        <v>503</v>
      </c>
      <c r="I156" s="2" t="s">
        <v>503</v>
      </c>
      <c r="J156" s="2" t="s">
        <v>467</v>
      </c>
      <c r="K156" s="2" t="s">
        <v>468</v>
      </c>
      <c r="L156" s="2" t="s">
        <v>469</v>
      </c>
      <c r="M156" s="8" t="n">
        <v>44439</v>
      </c>
      <c r="N156" s="1" t="s">
        <v>504</v>
      </c>
      <c r="O156" s="1" t="n">
        <v>0</v>
      </c>
      <c r="P156" s="1" t="s">
        <v>505</v>
      </c>
      <c r="Q156" s="1" t="n">
        <v>0</v>
      </c>
      <c r="R156" s="1" t="s">
        <v>861</v>
      </c>
      <c r="S156" s="1" t="n">
        <v>20251126182327</v>
      </c>
      <c r="T156" s="2" t="s">
        <v>507</v>
      </c>
      <c r="U156" s="2" t="s">
        <v>508</v>
      </c>
      <c r="W156" s="2" t="s">
        <v>509</v>
      </c>
      <c r="X156" s="2" t="n">
        <v>375486</v>
      </c>
      <c r="Y156" s="1" t="n">
        <v>1.7</v>
      </c>
      <c r="Z156" s="1" t="n">
        <v>7</v>
      </c>
      <c r="AA156" s="9" t="s">
        <v>475</v>
      </c>
    </row>
    <row r="157" customFormat="false" ht="18.7" hidden="false" customHeight="true" outlineLevel="0" collapsed="false">
      <c r="A157" s="1" t="n">
        <v>156</v>
      </c>
      <c r="B157" s="7" t="str">
        <f aca="false">HYPERLINK("https://mncourtfraud.com/file/27-CR-21-12762.pdf","27-CR-21-12762")</f>
        <v>27-CR-21-12762</v>
      </c>
      <c r="C157" s="1" t="n">
        <v>1</v>
      </c>
      <c r="D157" s="2" t="s">
        <v>12</v>
      </c>
      <c r="E157" s="8" t="n">
        <v>44460</v>
      </c>
      <c r="F157" s="2" t="s">
        <v>24</v>
      </c>
      <c r="G157" s="7" t="str">
        <f aca="false">HYPERLINK("https://mncourtfraud.com/file/MCRO_27-CR-21-12762_Order for Conditional Release_2021-09-21_20251126182412.pdf","MCRO_27-CR-21-12762_Order for Conditional Release_2021-09-21_20251126182412.pdf")</f>
        <v>MCRO_27-CR-21-12762_Order for Conditional Release_2021-09-21_20251126182412.pdf</v>
      </c>
      <c r="I157" s="2" t="s">
        <v>481</v>
      </c>
      <c r="J157" s="2" t="s">
        <v>481</v>
      </c>
      <c r="K157" s="2" t="s">
        <v>482</v>
      </c>
      <c r="L157" s="2" t="s">
        <v>469</v>
      </c>
      <c r="M157" s="8" t="n">
        <v>44460</v>
      </c>
      <c r="N157" s="1" t="s">
        <v>510</v>
      </c>
      <c r="O157" s="1" t="n">
        <v>0</v>
      </c>
      <c r="P157" s="1" t="s">
        <v>511</v>
      </c>
      <c r="Q157" s="1" t="n">
        <v>0</v>
      </c>
      <c r="R157" s="1" t="s">
        <v>862</v>
      </c>
      <c r="S157" s="1" t="n">
        <v>20251126182412</v>
      </c>
      <c r="T157" s="2" t="s">
        <v>513</v>
      </c>
      <c r="U157" s="2" t="s">
        <v>514</v>
      </c>
      <c r="X157" s="2" t="n">
        <v>105848</v>
      </c>
      <c r="Y157" s="1" t="n">
        <v>1.5</v>
      </c>
      <c r="Z157" s="1" t="n">
        <v>1</v>
      </c>
    </row>
    <row r="158" customFormat="false" ht="18.7" hidden="false" customHeight="true" outlineLevel="0" collapsed="false">
      <c r="A158" s="1" t="n">
        <v>157</v>
      </c>
      <c r="B158" s="7" t="str">
        <f aca="false">HYPERLINK("https://mncourtfraud.com/file/27-CR-21-12762.pdf","27-CR-21-12762")</f>
        <v>27-CR-21-12762</v>
      </c>
      <c r="C158" s="1" t="n">
        <v>1</v>
      </c>
      <c r="D158" s="2" t="s">
        <v>12</v>
      </c>
      <c r="E158" s="8" t="n">
        <v>44468</v>
      </c>
      <c r="F158" s="2" t="s">
        <v>24</v>
      </c>
      <c r="G158" s="7" t="str">
        <f aca="false">HYPERLINK("https://mncourtfraud.com/file/MCRO_27-CR-21-12762_Order for Conditional Release_2021-09-29_20251126182418.pdf","MCRO_27-CR-21-12762_Order for Conditional Release_2021-09-29_20251126182418.pdf")</f>
        <v>MCRO_27-CR-21-12762_Order for Conditional Release_2021-09-29_20251126182418.pdf</v>
      </c>
      <c r="I158" s="2" t="s">
        <v>481</v>
      </c>
      <c r="J158" s="2" t="s">
        <v>481</v>
      </c>
      <c r="K158" s="2" t="s">
        <v>482</v>
      </c>
      <c r="L158" s="2" t="s">
        <v>469</v>
      </c>
      <c r="M158" s="8" t="n">
        <v>44468</v>
      </c>
      <c r="N158" s="1" t="s">
        <v>515</v>
      </c>
      <c r="O158" s="1" t="n">
        <v>0</v>
      </c>
      <c r="P158" s="1" t="s">
        <v>516</v>
      </c>
      <c r="Q158" s="1" t="n">
        <v>0</v>
      </c>
      <c r="R158" s="1" t="s">
        <v>863</v>
      </c>
      <c r="S158" s="1" t="n">
        <v>20251126182418</v>
      </c>
      <c r="T158" s="2" t="s">
        <v>513</v>
      </c>
      <c r="U158" s="2" t="s">
        <v>518</v>
      </c>
      <c r="X158" s="2" t="n">
        <v>151809</v>
      </c>
      <c r="Y158" s="1" t="n">
        <v>1.6</v>
      </c>
      <c r="Z158" s="1" t="n">
        <v>1</v>
      </c>
    </row>
    <row r="159" customFormat="false" ht="18.7" hidden="false" customHeight="true" outlineLevel="0" collapsed="false">
      <c r="A159" s="1" t="n">
        <v>158</v>
      </c>
      <c r="B159" s="7" t="str">
        <f aca="false">HYPERLINK("https://mncourtfraud.com/file/27-CR-21-12762.pdf","27-CR-21-12762")</f>
        <v>27-CR-21-12762</v>
      </c>
      <c r="C159" s="1" t="n">
        <v>1</v>
      </c>
      <c r="D159" s="2" t="s">
        <v>12</v>
      </c>
      <c r="E159" s="8" t="n">
        <v>44543</v>
      </c>
      <c r="F159" s="2" t="s">
        <v>15</v>
      </c>
      <c r="G159" s="7" t="str">
        <f aca="false">HYPERLINK("https://mncourtfraud.com/file/MCRO_27-CR-21-12762_Order-Evaluation for Competency to Proceed (Rule 20.01)_2021-12-13_20251126182440.pdf","MCRO_27-CR-21-12762_Order-Evaluation for Competency to Proceed (Rule 20.01)_2021-12-13_20251126182440.pdf")</f>
        <v>MCRO_27-CR-21-12762_Order-Evaluation for Competency to Proceed (Rule 20.01)_2021-12-13_20251126182440.pdf</v>
      </c>
      <c r="H159" s="2" t="s">
        <v>465</v>
      </c>
      <c r="I159" s="2" t="s">
        <v>466</v>
      </c>
      <c r="J159" s="2" t="s">
        <v>519</v>
      </c>
      <c r="K159" s="2" t="s">
        <v>520</v>
      </c>
      <c r="L159" s="2" t="s">
        <v>469</v>
      </c>
      <c r="M159" s="8" t="n">
        <v>44543</v>
      </c>
      <c r="N159" s="1" t="s">
        <v>521</v>
      </c>
      <c r="O159" s="1" t="n">
        <v>0</v>
      </c>
      <c r="P159" s="1" t="s">
        <v>864</v>
      </c>
      <c r="Q159" s="1" t="n">
        <v>0</v>
      </c>
      <c r="R159" s="1" t="s">
        <v>865</v>
      </c>
      <c r="S159" s="1" t="n">
        <v>20251126182440</v>
      </c>
      <c r="T159" s="2" t="s">
        <v>524</v>
      </c>
      <c r="U159" s="2" t="s">
        <v>866</v>
      </c>
      <c r="X159" s="2" t="n">
        <v>233841</v>
      </c>
      <c r="Y159" s="1" t="n">
        <v>1.7</v>
      </c>
      <c r="Z159" s="1" t="n">
        <v>2</v>
      </c>
      <c r="AA159" s="9" t="s">
        <v>475</v>
      </c>
    </row>
    <row r="160" customFormat="false" ht="18.7" hidden="false" customHeight="true" outlineLevel="0" collapsed="false">
      <c r="A160" s="1" t="n">
        <v>159</v>
      </c>
      <c r="B160" s="7" t="str">
        <f aca="false">HYPERLINK("https://mncourtfraud.com/file/27-CR-21-12762.pdf","27-CR-21-12762")</f>
        <v>27-CR-21-12762</v>
      </c>
      <c r="C160" s="1" t="n">
        <v>1</v>
      </c>
      <c r="D160" s="2" t="s">
        <v>12</v>
      </c>
      <c r="E160" s="8" t="n">
        <v>44558</v>
      </c>
      <c r="F160" s="2" t="s">
        <v>15</v>
      </c>
      <c r="G160" s="7" t="str">
        <f aca="false">HYPERLINK("https://mncourtfraud.com/file/MCRO_27-CR-21-12762_Order-Evaluation for Competency to Proceed (Rule 20.01)_2021-12-28_20251126182449.pdf","MCRO_27-CR-21-12762_Order-Evaluation for Competency to Proceed (Rule 20.01)_2021-12-28_20251126182449.pdf")</f>
        <v>MCRO_27-CR-21-12762_Order-Evaluation for Competency to Proceed (Rule 20.01)_2021-12-28_20251126182449.pdf</v>
      </c>
      <c r="J160" s="2" t="s">
        <v>498</v>
      </c>
      <c r="K160" s="2" t="s">
        <v>499</v>
      </c>
      <c r="L160" s="2" t="s">
        <v>469</v>
      </c>
      <c r="M160" s="8" t="n">
        <v>44558</v>
      </c>
      <c r="N160" s="1" t="s">
        <v>867</v>
      </c>
      <c r="O160" s="1" t="n">
        <v>0</v>
      </c>
      <c r="P160" s="1" t="s">
        <v>867</v>
      </c>
      <c r="Q160" s="1" t="n">
        <v>0</v>
      </c>
      <c r="R160" s="1" t="s">
        <v>868</v>
      </c>
      <c r="S160" s="1" t="n">
        <v>20251126182449</v>
      </c>
      <c r="T160" s="2" t="s">
        <v>869</v>
      </c>
      <c r="U160" s="2" t="s">
        <v>869</v>
      </c>
      <c r="X160" s="2" t="n">
        <v>242521</v>
      </c>
      <c r="Y160" s="1" t="n">
        <v>1.7</v>
      </c>
      <c r="Z160" s="1" t="n">
        <v>3</v>
      </c>
      <c r="AA160" s="9" t="s">
        <v>475</v>
      </c>
    </row>
    <row r="161" customFormat="false" ht="18.7" hidden="false" customHeight="true" outlineLevel="0" collapsed="false">
      <c r="A161" s="1" t="n">
        <v>160</v>
      </c>
      <c r="B161" s="7" t="str">
        <f aca="false">HYPERLINK("https://mncourtfraud.com/file/27-CR-21-12762.pdf","27-CR-21-12762")</f>
        <v>27-CR-21-12762</v>
      </c>
      <c r="C161" s="1" t="n">
        <v>1</v>
      </c>
      <c r="D161" s="2" t="s">
        <v>12</v>
      </c>
      <c r="E161" s="8" t="n">
        <v>44593</v>
      </c>
      <c r="F161" s="2" t="s">
        <v>19</v>
      </c>
      <c r="G161" s="7" t="str">
        <f aca="false">HYPERLINK("https://mncourtfraud.com/file/MCRO_27-CR-21-12762_Findings and Order_2022-02-01_20251126182314.pdf","MCRO_27-CR-21-12762_Findings and Order_2022-02-01_20251126182314.pdf")</f>
        <v>MCRO_27-CR-21-12762_Findings and Order_2022-02-01_20251126182314.pdf</v>
      </c>
      <c r="H161" s="2" t="s">
        <v>503</v>
      </c>
      <c r="I161" s="2" t="s">
        <v>503</v>
      </c>
      <c r="J161" s="2" t="s">
        <v>519</v>
      </c>
      <c r="K161" s="2" t="s">
        <v>520</v>
      </c>
      <c r="L161" s="2" t="s">
        <v>469</v>
      </c>
      <c r="M161" s="8" t="n">
        <v>44593</v>
      </c>
      <c r="N161" s="1" t="s">
        <v>529</v>
      </c>
      <c r="O161" s="1" t="n">
        <v>0</v>
      </c>
      <c r="P161" s="1" t="s">
        <v>530</v>
      </c>
      <c r="Q161" s="1" t="n">
        <v>0</v>
      </c>
      <c r="R161" s="1" t="s">
        <v>870</v>
      </c>
      <c r="S161" s="1" t="n">
        <v>20251126182314</v>
      </c>
      <c r="T161" s="2" t="s">
        <v>532</v>
      </c>
      <c r="U161" s="2" t="s">
        <v>533</v>
      </c>
      <c r="W161" s="2" t="s">
        <v>509</v>
      </c>
      <c r="X161" s="2" t="n">
        <v>361787</v>
      </c>
      <c r="Y161" s="1" t="n">
        <v>1.7</v>
      </c>
      <c r="Z161" s="1" t="n">
        <v>7</v>
      </c>
      <c r="AA161" s="9" t="s">
        <v>475</v>
      </c>
    </row>
    <row r="162" customFormat="false" ht="18.7" hidden="false" customHeight="true" outlineLevel="0" collapsed="false">
      <c r="A162" s="1" t="n">
        <v>161</v>
      </c>
      <c r="B162" s="7" t="str">
        <f aca="false">HYPERLINK("https://mncourtfraud.com/file/27-CR-21-12762.pdf","27-CR-21-12762")</f>
        <v>27-CR-21-12762</v>
      </c>
      <c r="C162" s="1" t="n">
        <v>1</v>
      </c>
      <c r="D162" s="2" t="s">
        <v>12</v>
      </c>
      <c r="E162" s="8" t="n">
        <v>44692</v>
      </c>
      <c r="F162" s="2" t="s">
        <v>15</v>
      </c>
      <c r="G162" s="7" t="str">
        <f aca="false">HYPERLINK("https://mncourtfraud.com/file/MCRO_27-CR-21-12762_Order-Evaluation for Competency to Proceed (Rule 20.01)_2022-05-11_20251126182457.pdf","MCRO_27-CR-21-12762_Order-Evaluation for Competency to Proceed (Rule 20.01)_2022-05-11_20251126182457.pdf")</f>
        <v>MCRO_27-CR-21-12762_Order-Evaluation for Competency to Proceed (Rule 20.01)_2022-05-11_20251126182457.pdf</v>
      </c>
      <c r="H162" s="2" t="s">
        <v>534</v>
      </c>
      <c r="I162" s="2" t="s">
        <v>534</v>
      </c>
      <c r="J162" s="2" t="s">
        <v>535</v>
      </c>
      <c r="K162" s="2" t="s">
        <v>536</v>
      </c>
      <c r="L162" s="2" t="s">
        <v>469</v>
      </c>
      <c r="M162" s="8" t="n">
        <v>44692</v>
      </c>
      <c r="N162" s="1" t="s">
        <v>537</v>
      </c>
      <c r="O162" s="1" t="n">
        <v>0</v>
      </c>
      <c r="P162" s="1" t="s">
        <v>871</v>
      </c>
      <c r="Q162" s="1" t="n">
        <v>0</v>
      </c>
      <c r="R162" s="1" t="s">
        <v>872</v>
      </c>
      <c r="S162" s="1" t="n">
        <v>20251126182457</v>
      </c>
      <c r="T162" s="2" t="s">
        <v>540</v>
      </c>
      <c r="U162" s="2" t="s">
        <v>873</v>
      </c>
      <c r="W162" s="2" t="s">
        <v>542</v>
      </c>
      <c r="X162" s="2" t="n">
        <v>239820</v>
      </c>
      <c r="Y162" s="1" t="n">
        <v>1.6</v>
      </c>
      <c r="Z162" s="1" t="n">
        <v>2</v>
      </c>
    </row>
    <row r="163" customFormat="false" ht="18.7" hidden="false" customHeight="true" outlineLevel="0" collapsed="false">
      <c r="A163" s="1" t="n">
        <v>162</v>
      </c>
      <c r="B163" s="7" t="str">
        <f aca="false">HYPERLINK("https://mncourtfraud.com/file/27-CR-21-12762.pdf","27-CR-21-12762")</f>
        <v>27-CR-21-12762</v>
      </c>
      <c r="C163" s="1" t="n">
        <v>1</v>
      </c>
      <c r="D163" s="2" t="s">
        <v>12</v>
      </c>
      <c r="E163" s="8" t="n">
        <v>44895</v>
      </c>
      <c r="F163" s="2" t="s">
        <v>15</v>
      </c>
      <c r="G163" s="7" t="str">
        <f aca="false">HYPERLINK("https://mncourtfraud.com/file/MCRO_27-CR-21-12762_Order-Evaluation for Competency to Proceed (Rule 20.01)_2022-11-30_20251126182506.pdf","MCRO_27-CR-21-12762_Order-Evaluation for Competency to Proceed (Rule 20.01)_2022-11-30_20251126182506.pdf")</f>
        <v>MCRO_27-CR-21-12762_Order-Evaluation for Competency to Proceed (Rule 20.01)_2022-11-30_20251126182506.pdf</v>
      </c>
      <c r="H163" s="2" t="s">
        <v>543</v>
      </c>
      <c r="I163" s="2" t="s">
        <v>544</v>
      </c>
      <c r="J163" s="2" t="s">
        <v>519</v>
      </c>
      <c r="K163" s="2" t="s">
        <v>520</v>
      </c>
      <c r="L163" s="2" t="s">
        <v>469</v>
      </c>
      <c r="M163" s="8" t="n">
        <v>44895</v>
      </c>
      <c r="N163" s="1" t="s">
        <v>545</v>
      </c>
      <c r="O163" s="1" t="n">
        <v>0</v>
      </c>
      <c r="P163" s="1" t="s">
        <v>546</v>
      </c>
      <c r="Q163" s="1" t="n">
        <v>0</v>
      </c>
      <c r="R163" s="1" t="s">
        <v>874</v>
      </c>
      <c r="S163" s="1" t="n">
        <v>20251126182506</v>
      </c>
      <c r="T163" s="2" t="s">
        <v>548</v>
      </c>
      <c r="U163" s="2" t="s">
        <v>549</v>
      </c>
      <c r="X163" s="2" t="n">
        <v>816998</v>
      </c>
      <c r="Y163" s="1" t="n">
        <v>1.7</v>
      </c>
      <c r="Z163" s="1" t="n">
        <v>2</v>
      </c>
      <c r="AA163" s="9" t="s">
        <v>475</v>
      </c>
    </row>
    <row r="164" customFormat="false" ht="18.7" hidden="false" customHeight="true" outlineLevel="0" collapsed="false">
      <c r="A164" s="1" t="n">
        <v>163</v>
      </c>
      <c r="B164" s="7" t="str">
        <f aca="false">HYPERLINK("https://mncourtfraud.com/file/27-CR-21-12762.pdf","27-CR-21-12762")</f>
        <v>27-CR-21-12762</v>
      </c>
      <c r="C164" s="1" t="n">
        <v>1</v>
      </c>
      <c r="D164" s="2" t="s">
        <v>12</v>
      </c>
      <c r="E164" s="8" t="n">
        <v>45048</v>
      </c>
      <c r="F164" s="2" t="s">
        <v>80</v>
      </c>
      <c r="G164" s="7" t="str">
        <f aca="false">HYPERLINK("https://mncourtfraud.com/file/MCRO_27-CR-21-12762_Finding of Incompetency and Order_2023-05-02_20251126182300.pdf","MCRO_27-CR-21-12762_Finding of Incompetency and Order_2023-05-02_20251126182300.pdf")</f>
        <v>MCRO_27-CR-21-12762_Finding of Incompetency and Order_2023-05-02_20251126182300.pdf</v>
      </c>
      <c r="H164" s="2" t="s">
        <v>644</v>
      </c>
      <c r="I164" s="2" t="s">
        <v>644</v>
      </c>
      <c r="J164" s="2" t="s">
        <v>519</v>
      </c>
      <c r="K164" s="2" t="s">
        <v>520</v>
      </c>
      <c r="L164" s="2" t="s">
        <v>469</v>
      </c>
      <c r="M164" s="8" t="n">
        <v>45048</v>
      </c>
      <c r="N164" s="1" t="s">
        <v>645</v>
      </c>
      <c r="O164" s="1" t="n">
        <v>0</v>
      </c>
      <c r="P164" s="1" t="s">
        <v>646</v>
      </c>
      <c r="Q164" s="1" t="n">
        <v>0</v>
      </c>
      <c r="R164" s="1" t="s">
        <v>875</v>
      </c>
      <c r="S164" s="1" t="n">
        <v>20251126182300</v>
      </c>
      <c r="T164" s="2" t="s">
        <v>648</v>
      </c>
      <c r="U164" s="2" t="s">
        <v>649</v>
      </c>
      <c r="W164" s="2" t="s">
        <v>650</v>
      </c>
      <c r="X164" s="2" t="n">
        <v>976544</v>
      </c>
      <c r="Y164" s="1" t="n">
        <v>1.7</v>
      </c>
      <c r="Z164" s="1" t="n">
        <v>6</v>
      </c>
      <c r="AA164" s="9" t="s">
        <v>475</v>
      </c>
    </row>
    <row r="165" customFormat="false" ht="18.7" hidden="false" customHeight="true" outlineLevel="0" collapsed="false">
      <c r="A165" s="1" t="n">
        <v>164</v>
      </c>
      <c r="B165" s="7" t="str">
        <f aca="false">HYPERLINK("https://mncourtfraud.com/file/27-CR-21-12762.pdf","27-CR-21-12762")</f>
        <v>27-CR-21-12762</v>
      </c>
      <c r="C165" s="1" t="n">
        <v>1</v>
      </c>
      <c r="D165" s="2" t="s">
        <v>12</v>
      </c>
      <c r="E165" s="8" t="n">
        <v>45093</v>
      </c>
      <c r="F165" s="2" t="s">
        <v>82</v>
      </c>
      <c r="G165" s="7" t="str">
        <f aca="false">HYPERLINK("https://mncourtfraud.com/file/MCRO_27-CR-21-12762_Notice of Case Reassignment_2023-06-16_20251126182340.pdf","MCRO_27-CR-21-12762_Notice of Case Reassignment_2023-06-16_20251126182340.pdf")</f>
        <v>MCRO_27-CR-21-12762_Notice of Case Reassignment_2023-06-16_20251126182340.pdf</v>
      </c>
      <c r="H165" s="2" t="s">
        <v>651</v>
      </c>
      <c r="I165" s="2" t="s">
        <v>651</v>
      </c>
      <c r="J165" s="2" t="s">
        <v>535</v>
      </c>
      <c r="K165" s="2" t="s">
        <v>652</v>
      </c>
      <c r="L165" s="2" t="s">
        <v>469</v>
      </c>
      <c r="M165" s="8" t="n">
        <v>45093</v>
      </c>
      <c r="N165" s="1" t="s">
        <v>653</v>
      </c>
      <c r="O165" s="1" t="n">
        <v>5</v>
      </c>
      <c r="P165" s="1" t="s">
        <v>653</v>
      </c>
      <c r="Q165" s="1" t="n">
        <v>5</v>
      </c>
      <c r="R165" s="1" t="s">
        <v>876</v>
      </c>
      <c r="S165" s="1" t="n">
        <v>20251126182340</v>
      </c>
      <c r="T165" s="2" t="s">
        <v>877</v>
      </c>
      <c r="U165" s="2" t="s">
        <v>878</v>
      </c>
      <c r="W165" s="2" t="s">
        <v>657</v>
      </c>
      <c r="X165" s="2" t="n">
        <v>113631</v>
      </c>
      <c r="Y165" s="1" t="n">
        <v>1.6</v>
      </c>
      <c r="Z165" s="1" t="n">
        <v>1</v>
      </c>
    </row>
    <row r="166" customFormat="false" ht="18.7" hidden="false" customHeight="true" outlineLevel="0" collapsed="false">
      <c r="A166" s="1" t="n">
        <v>165</v>
      </c>
      <c r="B166" s="7" t="str">
        <f aca="false">HYPERLINK("https://mncourtfraud.com/file/27-CR-21-12762.pdf","27-CR-21-12762")</f>
        <v>27-CR-21-12762</v>
      </c>
      <c r="C166" s="1" t="n">
        <v>1</v>
      </c>
      <c r="D166" s="2" t="s">
        <v>12</v>
      </c>
      <c r="E166" s="8" t="n">
        <v>45160</v>
      </c>
      <c r="F166" s="2" t="s">
        <v>15</v>
      </c>
      <c r="G166" s="7" t="str">
        <f aca="false">HYPERLINK("https://mncourtfraud.com/file/MCRO_27-CR-21-12762_Order-Evaluation for Competency to Proceed (Rule 20.01)_2023-08-22_20251126182515.pdf","MCRO_27-CR-21-12762_Order-Evaluation for Competency to Proceed (Rule 20.01)_2023-08-22_20251126182515.pdf")</f>
        <v>MCRO_27-CR-21-12762_Order-Evaluation for Competency to Proceed (Rule 20.01)_2023-08-22_20251126182515.pdf</v>
      </c>
      <c r="H166" s="2" t="s">
        <v>658</v>
      </c>
      <c r="I166" s="2" t="s">
        <v>659</v>
      </c>
      <c r="J166" s="2" t="s">
        <v>519</v>
      </c>
      <c r="K166" s="2" t="s">
        <v>520</v>
      </c>
      <c r="L166" s="2" t="s">
        <v>469</v>
      </c>
      <c r="M166" s="8" t="n">
        <v>45160</v>
      </c>
      <c r="N166" s="1" t="s">
        <v>660</v>
      </c>
      <c r="O166" s="1" t="n">
        <v>0</v>
      </c>
      <c r="P166" s="1" t="s">
        <v>661</v>
      </c>
      <c r="Q166" s="1" t="n">
        <v>0</v>
      </c>
      <c r="R166" s="1" t="s">
        <v>879</v>
      </c>
      <c r="S166" s="1" t="n">
        <v>20251126182515</v>
      </c>
      <c r="T166" s="2" t="s">
        <v>663</v>
      </c>
      <c r="U166" s="2" t="s">
        <v>664</v>
      </c>
      <c r="X166" s="2" t="n">
        <v>876401</v>
      </c>
      <c r="Y166" s="1" t="n">
        <v>1.7</v>
      </c>
      <c r="Z166" s="1" t="n">
        <v>2</v>
      </c>
      <c r="AA166" s="9" t="s">
        <v>475</v>
      </c>
    </row>
    <row r="167" customFormat="false" ht="18.7" hidden="false" customHeight="true" outlineLevel="0" collapsed="false">
      <c r="A167" s="1" t="n">
        <v>166</v>
      </c>
      <c r="B167" s="7" t="str">
        <f aca="false">HYPERLINK("https://mncourtfraud.com/file/27-CR-21-12762.pdf","27-CR-21-12762")</f>
        <v>27-CR-21-12762</v>
      </c>
      <c r="C167" s="1" t="n">
        <v>1</v>
      </c>
      <c r="D167" s="2" t="s">
        <v>12</v>
      </c>
      <c r="E167" s="8" t="n">
        <v>45412</v>
      </c>
      <c r="F167" s="2" t="s">
        <v>24</v>
      </c>
      <c r="G167" s="7" t="str">
        <f aca="false">HYPERLINK("https://mncourtfraud.com/file/MCRO_27-CR-21-12762_Order for Conditional Release_2024-04-30_20251126182405.pdf","MCRO_27-CR-21-12762_Order for Conditional Release_2024-04-30_20251126182405.pdf")</f>
        <v>MCRO_27-CR-21-12762_Order for Conditional Release_2024-04-30_20251126182405.pdf</v>
      </c>
      <c r="I167" s="2" t="s">
        <v>481</v>
      </c>
      <c r="J167" s="2" t="s">
        <v>481</v>
      </c>
      <c r="K167" s="2" t="s">
        <v>482</v>
      </c>
      <c r="L167" s="2" t="s">
        <v>469</v>
      </c>
      <c r="M167" s="8" t="n">
        <v>45412</v>
      </c>
      <c r="N167" s="1" t="s">
        <v>665</v>
      </c>
      <c r="O167" s="1" t="n">
        <v>0</v>
      </c>
      <c r="P167" s="1" t="s">
        <v>665</v>
      </c>
      <c r="Q167" s="1" t="n">
        <v>0</v>
      </c>
      <c r="R167" s="1" t="s">
        <v>880</v>
      </c>
      <c r="S167" s="1" t="n">
        <v>20251126182405</v>
      </c>
      <c r="T167" s="2" t="s">
        <v>667</v>
      </c>
      <c r="U167" s="2" t="s">
        <v>668</v>
      </c>
      <c r="X167" s="2" t="n">
        <v>150535</v>
      </c>
      <c r="Y167" s="1" t="n">
        <v>1.5</v>
      </c>
      <c r="Z167" s="1" t="n">
        <v>2</v>
      </c>
    </row>
    <row r="168" customFormat="false" ht="18.7" hidden="false" customHeight="true" outlineLevel="0" collapsed="false">
      <c r="A168" s="1" t="n">
        <v>167</v>
      </c>
      <c r="B168" s="7" t="str">
        <f aca="false">HYPERLINK("https://mncourtfraud.com/file/27-CR-21-12762.pdf","27-CR-21-12762")</f>
        <v>27-CR-21-12762</v>
      </c>
      <c r="C168" s="1" t="n">
        <v>1</v>
      </c>
      <c r="D168" s="2" t="s">
        <v>12</v>
      </c>
      <c r="E168" s="8" t="n">
        <v>45412</v>
      </c>
      <c r="F168" s="2" t="s">
        <v>15</v>
      </c>
      <c r="G168" s="7" t="str">
        <f aca="false">HYPERLINK("https://mncourtfraud.com/file/MCRO_27-CR-21-12762_Order-Evaluation for Competency to Proceed (Rule 20.01)_2024-04-30_20251126182523.pdf","MCRO_27-CR-21-12762_Order-Evaluation for Competency to Proceed (Rule 20.01)_2024-04-30_20251126182523.pdf")</f>
        <v>MCRO_27-CR-21-12762_Order-Evaluation for Competency to Proceed (Rule 20.01)_2024-04-30_20251126182523.pdf</v>
      </c>
      <c r="I168" s="2" t="s">
        <v>481</v>
      </c>
      <c r="J168" s="2" t="s">
        <v>481</v>
      </c>
      <c r="K168" s="2" t="s">
        <v>482</v>
      </c>
      <c r="L168" s="2" t="s">
        <v>469</v>
      </c>
      <c r="M168" s="8" t="n">
        <v>45412</v>
      </c>
      <c r="N168" s="1" t="s">
        <v>665</v>
      </c>
      <c r="O168" s="1" t="n">
        <v>0</v>
      </c>
      <c r="P168" s="1" t="s">
        <v>665</v>
      </c>
      <c r="Q168" s="1" t="n">
        <v>0</v>
      </c>
      <c r="R168" s="1" t="s">
        <v>881</v>
      </c>
      <c r="S168" s="1" t="n">
        <v>20251126182523</v>
      </c>
      <c r="T168" s="2" t="s">
        <v>670</v>
      </c>
      <c r="U168" s="2" t="s">
        <v>671</v>
      </c>
      <c r="X168" s="2" t="n">
        <v>219521</v>
      </c>
      <c r="Y168" s="1" t="n">
        <v>1.5</v>
      </c>
      <c r="Z168" s="1" t="n">
        <v>3</v>
      </c>
    </row>
    <row r="169" customFormat="false" ht="18.7" hidden="false" customHeight="true" outlineLevel="0" collapsed="false">
      <c r="A169" s="1" t="n">
        <v>168</v>
      </c>
      <c r="B169" s="7" t="str">
        <f aca="false">HYPERLINK("https://mncourtfraud.com/file/27-CR-21-12947.pdf","27-CR-21-12947")</f>
        <v>27-CR-21-12947</v>
      </c>
      <c r="C169" s="1" t="n">
        <v>1</v>
      </c>
      <c r="D169" s="2" t="s">
        <v>12</v>
      </c>
      <c r="E169" s="8" t="n">
        <v>44396</v>
      </c>
      <c r="F169" s="2" t="s">
        <v>15</v>
      </c>
      <c r="G169" s="7" t="str">
        <f aca="false">HYPERLINK("https://mncourtfraud.com/file/MCRO_27-CR-21-12947_Order-Evaluation for Competency to Proceed (Rule 20.01)_2021-07-19_20251126182723.pdf","MCRO_27-CR-21-12947_Order-Evaluation for Competency to Proceed (Rule 20.01)_2021-07-19_20251126182723.pdf")</f>
        <v>MCRO_27-CR-21-12947_Order-Evaluation for Competency to Proceed (Rule 20.01)_2021-07-19_20251126182723.pdf</v>
      </c>
      <c r="J169" s="2" t="s">
        <v>498</v>
      </c>
      <c r="K169" s="2" t="s">
        <v>499</v>
      </c>
      <c r="L169" s="2" t="s">
        <v>469</v>
      </c>
      <c r="M169" s="8" t="n">
        <v>44396</v>
      </c>
      <c r="N169" s="1" t="s">
        <v>882</v>
      </c>
      <c r="O169" s="1" t="n">
        <v>0</v>
      </c>
      <c r="P169" s="1" t="s">
        <v>882</v>
      </c>
      <c r="Q169" s="1" t="n">
        <v>0</v>
      </c>
      <c r="R169" s="1" t="s">
        <v>883</v>
      </c>
      <c r="S169" s="1" t="n">
        <v>20251126182723</v>
      </c>
      <c r="T169" s="2" t="s">
        <v>884</v>
      </c>
      <c r="U169" s="2" t="s">
        <v>884</v>
      </c>
      <c r="X169" s="2" t="n">
        <v>193598</v>
      </c>
      <c r="Y169" s="1" t="n">
        <v>1.7</v>
      </c>
      <c r="Z169" s="1" t="n">
        <v>2</v>
      </c>
      <c r="AA169" s="9" t="s">
        <v>475</v>
      </c>
    </row>
    <row r="170" customFormat="false" ht="18.7" hidden="false" customHeight="true" outlineLevel="0" collapsed="false">
      <c r="A170" s="1" t="n">
        <v>169</v>
      </c>
      <c r="B170" s="7" t="str">
        <f aca="false">HYPERLINK("https://mncourtfraud.com/file/27-CR-21-12947.pdf","27-CR-21-12947")</f>
        <v>27-CR-21-12947</v>
      </c>
      <c r="C170" s="1" t="n">
        <v>1</v>
      </c>
      <c r="D170" s="2" t="s">
        <v>12</v>
      </c>
      <c r="E170" s="8" t="n">
        <v>44405</v>
      </c>
      <c r="F170" s="2" t="s">
        <v>145</v>
      </c>
      <c r="G170" s="7" t="str">
        <f aca="false">HYPERLINK("https://mncourtfraud.com/file/MCRO_27-CR-21-12947_Demand or Request for Discovery_2021-07-28_20251126182551.pdf","MCRO_27-CR-21-12947_Demand or Request for Discovery_2021-07-28_20251126182551.pdf")</f>
        <v>MCRO_27-CR-21-12947_Demand or Request for Discovery_2021-07-28_20251126182551.pdf</v>
      </c>
      <c r="H170" s="2" t="s">
        <v>796</v>
      </c>
      <c r="I170" s="2" t="s">
        <v>796</v>
      </c>
      <c r="J170" s="2" t="s">
        <v>797</v>
      </c>
      <c r="K170" s="2" t="s">
        <v>798</v>
      </c>
      <c r="L170" s="2" t="s">
        <v>469</v>
      </c>
      <c r="M170" s="8" t="n">
        <v>44405</v>
      </c>
      <c r="N170" s="1" t="s">
        <v>885</v>
      </c>
      <c r="O170" s="1" t="n">
        <v>0</v>
      </c>
      <c r="P170" s="1" t="s">
        <v>886</v>
      </c>
      <c r="Q170" s="1" t="n">
        <v>0</v>
      </c>
      <c r="R170" s="1" t="s">
        <v>887</v>
      </c>
      <c r="S170" s="1" t="n">
        <v>20251126182551</v>
      </c>
      <c r="T170" s="2" t="s">
        <v>888</v>
      </c>
      <c r="U170" s="2" t="s">
        <v>889</v>
      </c>
      <c r="V170" s="2" t="s">
        <v>804</v>
      </c>
      <c r="W170" s="2" t="s">
        <v>805</v>
      </c>
      <c r="X170" s="2" t="n">
        <v>315798</v>
      </c>
      <c r="Y170" s="1" t="n">
        <v>1.6</v>
      </c>
      <c r="Z170" s="1" t="n">
        <v>6</v>
      </c>
      <c r="AA170" s="9" t="s">
        <v>475</v>
      </c>
    </row>
    <row r="171" customFormat="false" ht="18.7" hidden="false" customHeight="true" outlineLevel="0" collapsed="false">
      <c r="A171" s="1" t="n">
        <v>170</v>
      </c>
      <c r="B171" s="7" t="str">
        <f aca="false">HYPERLINK("https://mncourtfraud.com/file/27-CR-21-12947.pdf","27-CR-21-12947")</f>
        <v>27-CR-21-12947</v>
      </c>
      <c r="C171" s="1" t="n">
        <v>1</v>
      </c>
      <c r="D171" s="2" t="s">
        <v>12</v>
      </c>
      <c r="E171" s="8" t="n">
        <v>44439</v>
      </c>
      <c r="F171" s="2" t="s">
        <v>19</v>
      </c>
      <c r="G171" s="7" t="str">
        <f aca="false">HYPERLINK("https://mncourtfraud.com/file/MCRO_27-CR-21-12947_Findings and Order_2021-08-31_20251126182625.pdf","MCRO_27-CR-21-12947_Findings and Order_2021-08-31_20251126182625.pdf")</f>
        <v>MCRO_27-CR-21-12947_Findings and Order_2021-08-31_20251126182625.pdf</v>
      </c>
      <c r="H171" s="2" t="s">
        <v>503</v>
      </c>
      <c r="I171" s="2" t="s">
        <v>503</v>
      </c>
      <c r="J171" s="2" t="s">
        <v>467</v>
      </c>
      <c r="K171" s="2" t="s">
        <v>468</v>
      </c>
      <c r="L171" s="2" t="s">
        <v>469</v>
      </c>
      <c r="M171" s="8" t="n">
        <v>44439</v>
      </c>
      <c r="N171" s="1" t="s">
        <v>504</v>
      </c>
      <c r="O171" s="1" t="n">
        <v>0</v>
      </c>
      <c r="P171" s="1" t="s">
        <v>505</v>
      </c>
      <c r="Q171" s="1" t="n">
        <v>0</v>
      </c>
      <c r="R171" s="1" t="s">
        <v>890</v>
      </c>
      <c r="S171" s="1" t="n">
        <v>20251126182625</v>
      </c>
      <c r="T171" s="2" t="s">
        <v>507</v>
      </c>
      <c r="U171" s="2" t="s">
        <v>508</v>
      </c>
      <c r="W171" s="2" t="s">
        <v>509</v>
      </c>
      <c r="X171" s="2" t="n">
        <v>375487</v>
      </c>
      <c r="Y171" s="1" t="n">
        <v>1.7</v>
      </c>
      <c r="Z171" s="1" t="n">
        <v>7</v>
      </c>
      <c r="AA171" s="9" t="s">
        <v>475</v>
      </c>
    </row>
    <row r="172" customFormat="false" ht="18.7" hidden="false" customHeight="true" outlineLevel="0" collapsed="false">
      <c r="A172" s="1" t="n">
        <v>171</v>
      </c>
      <c r="B172" s="7" t="str">
        <f aca="false">HYPERLINK("https://mncourtfraud.com/file/27-CR-21-12947.pdf","27-CR-21-12947")</f>
        <v>27-CR-21-12947</v>
      </c>
      <c r="C172" s="1" t="n">
        <v>1</v>
      </c>
      <c r="D172" s="2" t="s">
        <v>12</v>
      </c>
      <c r="E172" s="8" t="n">
        <v>44460</v>
      </c>
      <c r="F172" s="2" t="s">
        <v>24</v>
      </c>
      <c r="G172" s="7" t="str">
        <f aca="false">HYPERLINK("https://mncourtfraud.com/file/MCRO_27-CR-21-12947_Order for Conditional Release_2021-09-21_20251126182704.pdf","MCRO_27-CR-21-12947_Order for Conditional Release_2021-09-21_20251126182704.pdf")</f>
        <v>MCRO_27-CR-21-12947_Order for Conditional Release_2021-09-21_20251126182704.pdf</v>
      </c>
      <c r="I172" s="2" t="s">
        <v>481</v>
      </c>
      <c r="J172" s="2" t="s">
        <v>481</v>
      </c>
      <c r="K172" s="2" t="s">
        <v>482</v>
      </c>
      <c r="L172" s="2" t="s">
        <v>469</v>
      </c>
      <c r="M172" s="8" t="n">
        <v>44460</v>
      </c>
      <c r="N172" s="1" t="s">
        <v>510</v>
      </c>
      <c r="O172" s="1" t="n">
        <v>0</v>
      </c>
      <c r="P172" s="1" t="s">
        <v>511</v>
      </c>
      <c r="Q172" s="1" t="n">
        <v>0</v>
      </c>
      <c r="R172" s="1" t="s">
        <v>891</v>
      </c>
      <c r="S172" s="1" t="n">
        <v>20251126182704</v>
      </c>
      <c r="T172" s="2" t="s">
        <v>513</v>
      </c>
      <c r="U172" s="2" t="s">
        <v>514</v>
      </c>
      <c r="X172" s="2" t="n">
        <v>105849</v>
      </c>
      <c r="Y172" s="1" t="n">
        <v>1.5</v>
      </c>
      <c r="Z172" s="1" t="n">
        <v>1</v>
      </c>
    </row>
    <row r="173" customFormat="false" ht="18.7" hidden="false" customHeight="true" outlineLevel="0" collapsed="false">
      <c r="A173" s="1" t="n">
        <v>172</v>
      </c>
      <c r="B173" s="7" t="str">
        <f aca="false">HYPERLINK("https://mncourtfraud.com/file/27-CR-21-12947.pdf","27-CR-21-12947")</f>
        <v>27-CR-21-12947</v>
      </c>
      <c r="C173" s="1" t="n">
        <v>1</v>
      </c>
      <c r="D173" s="2" t="s">
        <v>12</v>
      </c>
      <c r="E173" s="8" t="n">
        <v>44468</v>
      </c>
      <c r="F173" s="2" t="s">
        <v>24</v>
      </c>
      <c r="G173" s="7" t="str">
        <f aca="false">HYPERLINK("https://mncourtfraud.com/file/MCRO_27-CR-21-12947_Order for Conditional Release_2021-09-29_20251126182710.pdf","MCRO_27-CR-21-12947_Order for Conditional Release_2021-09-29_20251126182710.pdf")</f>
        <v>MCRO_27-CR-21-12947_Order for Conditional Release_2021-09-29_20251126182710.pdf</v>
      </c>
      <c r="I173" s="2" t="s">
        <v>481</v>
      </c>
      <c r="J173" s="2" t="s">
        <v>481</v>
      </c>
      <c r="K173" s="2" t="s">
        <v>482</v>
      </c>
      <c r="L173" s="2" t="s">
        <v>469</v>
      </c>
      <c r="M173" s="8" t="n">
        <v>44468</v>
      </c>
      <c r="N173" s="1" t="s">
        <v>515</v>
      </c>
      <c r="O173" s="1" t="n">
        <v>0</v>
      </c>
      <c r="P173" s="1" t="s">
        <v>516</v>
      </c>
      <c r="Q173" s="1" t="n">
        <v>0</v>
      </c>
      <c r="R173" s="1" t="s">
        <v>892</v>
      </c>
      <c r="S173" s="1" t="n">
        <v>20251126182710</v>
      </c>
      <c r="T173" s="2" t="s">
        <v>513</v>
      </c>
      <c r="U173" s="2" t="s">
        <v>518</v>
      </c>
      <c r="X173" s="2" t="n">
        <v>151809</v>
      </c>
      <c r="Y173" s="1" t="n">
        <v>1.6</v>
      </c>
      <c r="Z173" s="1" t="n">
        <v>1</v>
      </c>
    </row>
    <row r="174" customFormat="false" ht="18.7" hidden="false" customHeight="true" outlineLevel="0" collapsed="false">
      <c r="A174" s="1" t="n">
        <v>173</v>
      </c>
      <c r="B174" s="7" t="str">
        <f aca="false">HYPERLINK("https://mncourtfraud.com/file/27-CR-21-12947.pdf","27-CR-21-12947")</f>
        <v>27-CR-21-12947</v>
      </c>
      <c r="C174" s="1" t="n">
        <v>1</v>
      </c>
      <c r="D174" s="2" t="s">
        <v>12</v>
      </c>
      <c r="E174" s="8" t="n">
        <v>44543</v>
      </c>
      <c r="F174" s="2" t="s">
        <v>15</v>
      </c>
      <c r="G174" s="7" t="str">
        <f aca="false">HYPERLINK("https://mncourtfraud.com/file/MCRO_27-CR-21-12947_Order-Evaluation for Competency to Proceed (Rule 20.01)_2021-12-13_20251126182732.pdf","MCRO_27-CR-21-12947_Order-Evaluation for Competency to Proceed (Rule 20.01)_2021-12-13_20251126182732.pdf")</f>
        <v>MCRO_27-CR-21-12947_Order-Evaluation for Competency to Proceed (Rule 20.01)_2021-12-13_20251126182732.pdf</v>
      </c>
      <c r="H174" s="2" t="s">
        <v>465</v>
      </c>
      <c r="I174" s="2" t="s">
        <v>466</v>
      </c>
      <c r="J174" s="2" t="s">
        <v>519</v>
      </c>
      <c r="K174" s="2" t="s">
        <v>520</v>
      </c>
      <c r="L174" s="2" t="s">
        <v>469</v>
      </c>
      <c r="M174" s="8" t="n">
        <v>44543</v>
      </c>
      <c r="N174" s="1" t="s">
        <v>521</v>
      </c>
      <c r="O174" s="1" t="n">
        <v>0</v>
      </c>
      <c r="P174" s="1" t="s">
        <v>893</v>
      </c>
      <c r="Q174" s="1" t="n">
        <v>0</v>
      </c>
      <c r="R174" s="1" t="s">
        <v>894</v>
      </c>
      <c r="S174" s="1" t="n">
        <v>20251126182732</v>
      </c>
      <c r="T174" s="2" t="s">
        <v>524</v>
      </c>
      <c r="U174" s="2" t="s">
        <v>895</v>
      </c>
      <c r="X174" s="2" t="n">
        <v>233841</v>
      </c>
      <c r="Y174" s="1" t="n">
        <v>1.7</v>
      </c>
      <c r="Z174" s="1" t="n">
        <v>2</v>
      </c>
      <c r="AA174" s="9" t="s">
        <v>475</v>
      </c>
    </row>
    <row r="175" customFormat="false" ht="18.7" hidden="false" customHeight="true" outlineLevel="0" collapsed="false">
      <c r="A175" s="1" t="n">
        <v>174</v>
      </c>
      <c r="B175" s="7" t="str">
        <f aca="false">HYPERLINK("https://mncourtfraud.com/file/27-CR-21-12947.pdf","27-CR-21-12947")</f>
        <v>27-CR-21-12947</v>
      </c>
      <c r="C175" s="1" t="n">
        <v>1</v>
      </c>
      <c r="D175" s="2" t="s">
        <v>12</v>
      </c>
      <c r="E175" s="8" t="n">
        <v>44558</v>
      </c>
      <c r="F175" s="2" t="s">
        <v>15</v>
      </c>
      <c r="G175" s="7" t="str">
        <f aca="false">HYPERLINK("https://mncourtfraud.com/file/MCRO_27-CR-21-12947_Order-Evaluation for Competency to Proceed (Rule 20.01)_2021-12-28_20251126182740.pdf","MCRO_27-CR-21-12947_Order-Evaluation for Competency to Proceed (Rule 20.01)_2021-12-28_20251126182740.pdf")</f>
        <v>MCRO_27-CR-21-12947_Order-Evaluation for Competency to Proceed (Rule 20.01)_2021-12-28_20251126182740.pdf</v>
      </c>
      <c r="J175" s="2" t="s">
        <v>498</v>
      </c>
      <c r="K175" s="2" t="s">
        <v>499</v>
      </c>
      <c r="L175" s="2" t="s">
        <v>469</v>
      </c>
      <c r="M175" s="8" t="n">
        <v>44558</v>
      </c>
      <c r="N175" s="1" t="s">
        <v>896</v>
      </c>
      <c r="O175" s="1" t="n">
        <v>0</v>
      </c>
      <c r="P175" s="1" t="s">
        <v>896</v>
      </c>
      <c r="Q175" s="1" t="n">
        <v>0</v>
      </c>
      <c r="R175" s="1" t="s">
        <v>897</v>
      </c>
      <c r="S175" s="1" t="n">
        <v>20251126182740</v>
      </c>
      <c r="T175" s="2" t="s">
        <v>898</v>
      </c>
      <c r="U175" s="2" t="s">
        <v>898</v>
      </c>
      <c r="X175" s="2" t="n">
        <v>240077</v>
      </c>
      <c r="Y175" s="1" t="n">
        <v>1.7</v>
      </c>
      <c r="Z175" s="1" t="n">
        <v>3</v>
      </c>
      <c r="AA175" s="9" t="s">
        <v>475</v>
      </c>
    </row>
    <row r="176" customFormat="false" ht="18.7" hidden="false" customHeight="true" outlineLevel="0" collapsed="false">
      <c r="A176" s="1" t="n">
        <v>175</v>
      </c>
      <c r="B176" s="7" t="str">
        <f aca="false">HYPERLINK("https://mncourtfraud.com/file/27-CR-21-12947.pdf","27-CR-21-12947")</f>
        <v>27-CR-21-12947</v>
      </c>
      <c r="C176" s="1" t="n">
        <v>1</v>
      </c>
      <c r="D176" s="2" t="s">
        <v>12</v>
      </c>
      <c r="E176" s="8" t="n">
        <v>44593</v>
      </c>
      <c r="F176" s="2" t="s">
        <v>19</v>
      </c>
      <c r="G176" s="7" t="str">
        <f aca="false">HYPERLINK("https://mncourtfraud.com/file/MCRO_27-CR-21-12947_Findings and Order_2022-02-01_20251126182615.pdf","MCRO_27-CR-21-12947_Findings and Order_2022-02-01_20251126182615.pdf")</f>
        <v>MCRO_27-CR-21-12947_Findings and Order_2022-02-01_20251126182615.pdf</v>
      </c>
      <c r="H176" s="2" t="s">
        <v>503</v>
      </c>
      <c r="I176" s="2" t="s">
        <v>503</v>
      </c>
      <c r="J176" s="2" t="s">
        <v>519</v>
      </c>
      <c r="K176" s="2" t="s">
        <v>520</v>
      </c>
      <c r="L176" s="2" t="s">
        <v>469</v>
      </c>
      <c r="M176" s="8" t="n">
        <v>44593</v>
      </c>
      <c r="N176" s="1" t="s">
        <v>529</v>
      </c>
      <c r="O176" s="1" t="n">
        <v>0</v>
      </c>
      <c r="P176" s="1" t="s">
        <v>530</v>
      </c>
      <c r="Q176" s="1" t="n">
        <v>0</v>
      </c>
      <c r="R176" s="1" t="s">
        <v>899</v>
      </c>
      <c r="S176" s="1" t="n">
        <v>20251126182615</v>
      </c>
      <c r="T176" s="2" t="s">
        <v>532</v>
      </c>
      <c r="U176" s="2" t="s">
        <v>533</v>
      </c>
      <c r="W176" s="2" t="s">
        <v>509</v>
      </c>
      <c r="X176" s="2" t="n">
        <v>361788</v>
      </c>
      <c r="Y176" s="1" t="n">
        <v>1.7</v>
      </c>
      <c r="Z176" s="1" t="n">
        <v>7</v>
      </c>
      <c r="AA176" s="9" t="s">
        <v>475</v>
      </c>
    </row>
    <row r="177" customFormat="false" ht="18.7" hidden="false" customHeight="true" outlineLevel="0" collapsed="false">
      <c r="A177" s="1" t="n">
        <v>176</v>
      </c>
      <c r="B177" s="7" t="str">
        <f aca="false">HYPERLINK("https://mncourtfraud.com/file/27-CR-21-12947.pdf","27-CR-21-12947")</f>
        <v>27-CR-21-12947</v>
      </c>
      <c r="C177" s="1" t="n">
        <v>1</v>
      </c>
      <c r="D177" s="2" t="s">
        <v>12</v>
      </c>
      <c r="E177" s="8" t="n">
        <v>44692</v>
      </c>
      <c r="F177" s="2" t="s">
        <v>15</v>
      </c>
      <c r="G177" s="7" t="str">
        <f aca="false">HYPERLINK("https://mncourtfraud.com/file/MCRO_27-CR-21-12947_Order-Evaluation for Competency to Proceed (Rule 20.01)_2022-05-11_20251126182749.pdf","MCRO_27-CR-21-12947_Order-Evaluation for Competency to Proceed (Rule 20.01)_2022-05-11_20251126182749.pdf")</f>
        <v>MCRO_27-CR-21-12947_Order-Evaluation for Competency to Proceed (Rule 20.01)_2022-05-11_20251126182749.pdf</v>
      </c>
      <c r="H177" s="2" t="s">
        <v>534</v>
      </c>
      <c r="I177" s="2" t="s">
        <v>534</v>
      </c>
      <c r="J177" s="2" t="s">
        <v>535</v>
      </c>
      <c r="K177" s="2" t="s">
        <v>536</v>
      </c>
      <c r="L177" s="2" t="s">
        <v>469</v>
      </c>
      <c r="M177" s="8" t="n">
        <v>44692</v>
      </c>
      <c r="N177" s="1" t="s">
        <v>537</v>
      </c>
      <c r="O177" s="1" t="n">
        <v>0</v>
      </c>
      <c r="P177" s="1" t="s">
        <v>900</v>
      </c>
      <c r="Q177" s="1" t="n">
        <v>0</v>
      </c>
      <c r="R177" s="1" t="s">
        <v>901</v>
      </c>
      <c r="S177" s="1" t="n">
        <v>20251126182749</v>
      </c>
      <c r="T177" s="2" t="s">
        <v>540</v>
      </c>
      <c r="U177" s="2" t="s">
        <v>902</v>
      </c>
      <c r="W177" s="2" t="s">
        <v>542</v>
      </c>
      <c r="X177" s="2" t="n">
        <v>239821</v>
      </c>
      <c r="Y177" s="1" t="n">
        <v>1.6</v>
      </c>
      <c r="Z177" s="1" t="n">
        <v>2</v>
      </c>
    </row>
    <row r="178" customFormat="false" ht="18.7" hidden="false" customHeight="true" outlineLevel="0" collapsed="false">
      <c r="A178" s="1" t="n">
        <v>177</v>
      </c>
      <c r="B178" s="7" t="str">
        <f aca="false">HYPERLINK("https://mncourtfraud.com/file/27-CR-21-12947.pdf","27-CR-21-12947")</f>
        <v>27-CR-21-12947</v>
      </c>
      <c r="C178" s="1" t="n">
        <v>1</v>
      </c>
      <c r="D178" s="2" t="s">
        <v>12</v>
      </c>
      <c r="E178" s="8" t="n">
        <v>44895</v>
      </c>
      <c r="F178" s="2" t="s">
        <v>15</v>
      </c>
      <c r="G178" s="7" t="str">
        <f aca="false">HYPERLINK("https://mncourtfraud.com/file/MCRO_27-CR-21-12947_Order-Evaluation for Competency to Proceed (Rule 20.01)_2022-11-30_20251126182757.pdf","MCRO_27-CR-21-12947_Order-Evaluation for Competency to Proceed (Rule 20.01)_2022-11-30_20251126182757.pdf")</f>
        <v>MCRO_27-CR-21-12947_Order-Evaluation for Competency to Proceed (Rule 20.01)_2022-11-30_20251126182757.pdf</v>
      </c>
      <c r="H178" s="2" t="s">
        <v>543</v>
      </c>
      <c r="I178" s="2" t="s">
        <v>544</v>
      </c>
      <c r="J178" s="2" t="s">
        <v>519</v>
      </c>
      <c r="K178" s="2" t="s">
        <v>520</v>
      </c>
      <c r="L178" s="2" t="s">
        <v>469</v>
      </c>
      <c r="M178" s="8" t="n">
        <v>44895</v>
      </c>
      <c r="N178" s="1" t="s">
        <v>545</v>
      </c>
      <c r="O178" s="1" t="n">
        <v>0</v>
      </c>
      <c r="P178" s="1" t="s">
        <v>546</v>
      </c>
      <c r="Q178" s="1" t="n">
        <v>0</v>
      </c>
      <c r="R178" s="1" t="s">
        <v>903</v>
      </c>
      <c r="S178" s="1" t="n">
        <v>20251126182757</v>
      </c>
      <c r="T178" s="2" t="s">
        <v>548</v>
      </c>
      <c r="U178" s="2" t="s">
        <v>549</v>
      </c>
      <c r="X178" s="2" t="n">
        <v>816999</v>
      </c>
      <c r="Y178" s="1" t="n">
        <v>1.7</v>
      </c>
      <c r="Z178" s="1" t="n">
        <v>2</v>
      </c>
      <c r="AA178" s="9" t="s">
        <v>475</v>
      </c>
    </row>
    <row r="179" customFormat="false" ht="18.7" hidden="false" customHeight="true" outlineLevel="0" collapsed="false">
      <c r="A179" s="1" t="n">
        <v>178</v>
      </c>
      <c r="B179" s="7" t="str">
        <f aca="false">HYPERLINK("https://mncourtfraud.com/file/27-CR-21-12947.pdf","27-CR-21-12947")</f>
        <v>27-CR-21-12947</v>
      </c>
      <c r="C179" s="1" t="n">
        <v>1</v>
      </c>
      <c r="D179" s="2" t="s">
        <v>12</v>
      </c>
      <c r="E179" s="8" t="n">
        <v>45048</v>
      </c>
      <c r="F179" s="2" t="s">
        <v>80</v>
      </c>
      <c r="G179" s="7" t="str">
        <f aca="false">HYPERLINK("https://mncourtfraud.com/file/MCRO_27-CR-21-12947_Finding of Incompetency and Order_2023-05-02_20251126182603.pdf","MCRO_27-CR-21-12947_Finding of Incompetency and Order_2023-05-02_20251126182603.pdf")</f>
        <v>MCRO_27-CR-21-12947_Finding of Incompetency and Order_2023-05-02_20251126182603.pdf</v>
      </c>
      <c r="H179" s="2" t="s">
        <v>644</v>
      </c>
      <c r="I179" s="2" t="s">
        <v>644</v>
      </c>
      <c r="J179" s="2" t="s">
        <v>519</v>
      </c>
      <c r="K179" s="2" t="s">
        <v>520</v>
      </c>
      <c r="L179" s="2" t="s">
        <v>469</v>
      </c>
      <c r="M179" s="8" t="n">
        <v>45048</v>
      </c>
      <c r="N179" s="1" t="s">
        <v>645</v>
      </c>
      <c r="O179" s="1" t="n">
        <v>0</v>
      </c>
      <c r="P179" s="1" t="s">
        <v>646</v>
      </c>
      <c r="Q179" s="1" t="n">
        <v>0</v>
      </c>
      <c r="R179" s="1" t="s">
        <v>904</v>
      </c>
      <c r="S179" s="1" t="n">
        <v>20251126182603</v>
      </c>
      <c r="T179" s="2" t="s">
        <v>648</v>
      </c>
      <c r="U179" s="2" t="s">
        <v>649</v>
      </c>
      <c r="W179" s="2" t="s">
        <v>650</v>
      </c>
      <c r="X179" s="2" t="n">
        <v>976545</v>
      </c>
      <c r="Y179" s="1" t="n">
        <v>1.7</v>
      </c>
      <c r="Z179" s="1" t="n">
        <v>6</v>
      </c>
      <c r="AA179" s="9" t="s">
        <v>475</v>
      </c>
    </row>
    <row r="180" customFormat="false" ht="18.7" hidden="false" customHeight="true" outlineLevel="0" collapsed="false">
      <c r="A180" s="1" t="n">
        <v>179</v>
      </c>
      <c r="B180" s="7" t="str">
        <f aca="false">HYPERLINK("https://mncourtfraud.com/file/27-CR-21-12947.pdf","27-CR-21-12947")</f>
        <v>27-CR-21-12947</v>
      </c>
      <c r="C180" s="1" t="n">
        <v>1</v>
      </c>
      <c r="D180" s="2" t="s">
        <v>12</v>
      </c>
      <c r="E180" s="8" t="n">
        <v>45093</v>
      </c>
      <c r="F180" s="2" t="s">
        <v>82</v>
      </c>
      <c r="G180" s="7" t="str">
        <f aca="false">HYPERLINK("https://mncourtfraud.com/file/MCRO_27-CR-21-12947_Notice of Case Reassignment_2023-06-16_20251126182639.pdf","MCRO_27-CR-21-12947_Notice of Case Reassignment_2023-06-16_20251126182639.pdf")</f>
        <v>MCRO_27-CR-21-12947_Notice of Case Reassignment_2023-06-16_20251126182639.pdf</v>
      </c>
      <c r="H180" s="2" t="s">
        <v>651</v>
      </c>
      <c r="I180" s="2" t="s">
        <v>651</v>
      </c>
      <c r="J180" s="2" t="s">
        <v>535</v>
      </c>
      <c r="K180" s="2" t="s">
        <v>652</v>
      </c>
      <c r="L180" s="2" t="s">
        <v>469</v>
      </c>
      <c r="M180" s="8" t="n">
        <v>45093</v>
      </c>
      <c r="N180" s="1" t="s">
        <v>653</v>
      </c>
      <c r="O180" s="1" t="n">
        <v>5</v>
      </c>
      <c r="P180" s="1" t="s">
        <v>653</v>
      </c>
      <c r="Q180" s="1" t="n">
        <v>5</v>
      </c>
      <c r="R180" s="1" t="s">
        <v>905</v>
      </c>
      <c r="S180" s="1" t="n">
        <v>20251126182639</v>
      </c>
      <c r="T180" s="2" t="s">
        <v>906</v>
      </c>
      <c r="U180" s="2" t="s">
        <v>907</v>
      </c>
      <c r="W180" s="2" t="s">
        <v>657</v>
      </c>
      <c r="X180" s="2" t="n">
        <v>113630</v>
      </c>
      <c r="Y180" s="1" t="n">
        <v>1.6</v>
      </c>
      <c r="Z180" s="1" t="n">
        <v>1</v>
      </c>
    </row>
    <row r="181" customFormat="false" ht="18.7" hidden="false" customHeight="true" outlineLevel="0" collapsed="false">
      <c r="A181" s="1" t="n">
        <v>180</v>
      </c>
      <c r="B181" s="7" t="str">
        <f aca="false">HYPERLINK("https://mncourtfraud.com/file/27-CR-21-12947.pdf","27-CR-21-12947")</f>
        <v>27-CR-21-12947</v>
      </c>
      <c r="C181" s="1" t="n">
        <v>1</v>
      </c>
      <c r="D181" s="2" t="s">
        <v>12</v>
      </c>
      <c r="E181" s="8" t="n">
        <v>45160</v>
      </c>
      <c r="F181" s="2" t="s">
        <v>15</v>
      </c>
      <c r="G181" s="7" t="str">
        <f aca="false">HYPERLINK("https://mncourtfraud.com/file/MCRO_27-CR-21-12947_Order-Evaluation for Competency to Proceed (Rule 20.01)_2023-08-22_20251126182805.pdf","MCRO_27-CR-21-12947_Order-Evaluation for Competency to Proceed (Rule 20.01)_2023-08-22_20251126182805.pdf")</f>
        <v>MCRO_27-CR-21-12947_Order-Evaluation for Competency to Proceed (Rule 20.01)_2023-08-22_20251126182805.pdf</v>
      </c>
      <c r="H181" s="2" t="s">
        <v>658</v>
      </c>
      <c r="I181" s="2" t="s">
        <v>659</v>
      </c>
      <c r="J181" s="2" t="s">
        <v>519</v>
      </c>
      <c r="K181" s="2" t="s">
        <v>520</v>
      </c>
      <c r="L181" s="2" t="s">
        <v>469</v>
      </c>
      <c r="M181" s="8" t="n">
        <v>45160</v>
      </c>
      <c r="N181" s="1" t="s">
        <v>660</v>
      </c>
      <c r="O181" s="1" t="n">
        <v>0</v>
      </c>
      <c r="P181" s="1" t="s">
        <v>661</v>
      </c>
      <c r="Q181" s="1" t="n">
        <v>0</v>
      </c>
      <c r="R181" s="1" t="s">
        <v>908</v>
      </c>
      <c r="S181" s="1" t="n">
        <v>20251126182805</v>
      </c>
      <c r="T181" s="2" t="s">
        <v>663</v>
      </c>
      <c r="U181" s="2" t="s">
        <v>664</v>
      </c>
      <c r="X181" s="2" t="n">
        <v>876402</v>
      </c>
      <c r="Y181" s="1" t="n">
        <v>1.7</v>
      </c>
      <c r="Z181" s="1" t="n">
        <v>2</v>
      </c>
      <c r="AA181" s="9" t="s">
        <v>475</v>
      </c>
    </row>
    <row r="182" customFormat="false" ht="18.7" hidden="false" customHeight="true" outlineLevel="0" collapsed="false">
      <c r="A182" s="1" t="n">
        <v>181</v>
      </c>
      <c r="B182" s="7" t="str">
        <f aca="false">HYPERLINK("https://mncourtfraud.com/file/27-CR-21-12947.pdf","27-CR-21-12947")</f>
        <v>27-CR-21-12947</v>
      </c>
      <c r="C182" s="1" t="n">
        <v>1</v>
      </c>
      <c r="D182" s="2" t="s">
        <v>12</v>
      </c>
      <c r="E182" s="8" t="n">
        <v>45412</v>
      </c>
      <c r="F182" s="2" t="s">
        <v>24</v>
      </c>
      <c r="G182" s="7" t="str">
        <f aca="false">HYPERLINK("https://mncourtfraud.com/file/MCRO_27-CR-21-12947_Order for Conditional Release_2024-04-30_20251126182656.pdf","MCRO_27-CR-21-12947_Order for Conditional Release_2024-04-30_20251126182656.pdf")</f>
        <v>MCRO_27-CR-21-12947_Order for Conditional Release_2024-04-30_20251126182656.pdf</v>
      </c>
      <c r="I182" s="2" t="s">
        <v>481</v>
      </c>
      <c r="J182" s="2" t="s">
        <v>481</v>
      </c>
      <c r="K182" s="2" t="s">
        <v>482</v>
      </c>
      <c r="L182" s="2" t="s">
        <v>469</v>
      </c>
      <c r="M182" s="8" t="n">
        <v>45412</v>
      </c>
      <c r="N182" s="1" t="s">
        <v>665</v>
      </c>
      <c r="O182" s="1" t="n">
        <v>0</v>
      </c>
      <c r="P182" s="1" t="s">
        <v>665</v>
      </c>
      <c r="Q182" s="1" t="n">
        <v>0</v>
      </c>
      <c r="R182" s="1" t="s">
        <v>909</v>
      </c>
      <c r="S182" s="1" t="n">
        <v>20251126182656</v>
      </c>
      <c r="T182" s="2" t="s">
        <v>667</v>
      </c>
      <c r="U182" s="2" t="s">
        <v>668</v>
      </c>
      <c r="X182" s="2" t="n">
        <v>150532</v>
      </c>
      <c r="Y182" s="1" t="n">
        <v>1.5</v>
      </c>
      <c r="Z182" s="1" t="n">
        <v>2</v>
      </c>
    </row>
    <row r="183" customFormat="false" ht="18.7" hidden="false" customHeight="true" outlineLevel="0" collapsed="false">
      <c r="A183" s="1" t="n">
        <v>182</v>
      </c>
      <c r="B183" s="7" t="str">
        <f aca="false">HYPERLINK("https://mncourtfraud.com/file/27-CR-21-12947.pdf","27-CR-21-12947")</f>
        <v>27-CR-21-12947</v>
      </c>
      <c r="C183" s="1" t="n">
        <v>1</v>
      </c>
      <c r="D183" s="2" t="s">
        <v>12</v>
      </c>
      <c r="E183" s="8" t="n">
        <v>45412</v>
      </c>
      <c r="F183" s="2" t="s">
        <v>15</v>
      </c>
      <c r="G183" s="7" t="str">
        <f aca="false">HYPERLINK("https://mncourtfraud.com/file/MCRO_27-CR-21-12947_Order-Evaluation for Competency to Proceed (Rule 20.01)_2024-04-30_20251126182816.pdf","MCRO_27-CR-21-12947_Order-Evaluation for Competency to Proceed (Rule 20.01)_2024-04-30_20251126182816.pdf")</f>
        <v>MCRO_27-CR-21-12947_Order-Evaluation for Competency to Proceed (Rule 20.01)_2024-04-30_20251126182816.pdf</v>
      </c>
      <c r="I183" s="2" t="s">
        <v>481</v>
      </c>
      <c r="J183" s="2" t="s">
        <v>481</v>
      </c>
      <c r="K183" s="2" t="s">
        <v>482</v>
      </c>
      <c r="L183" s="2" t="s">
        <v>469</v>
      </c>
      <c r="M183" s="8" t="n">
        <v>45412</v>
      </c>
      <c r="N183" s="1" t="s">
        <v>665</v>
      </c>
      <c r="O183" s="1" t="n">
        <v>0</v>
      </c>
      <c r="P183" s="1" t="s">
        <v>665</v>
      </c>
      <c r="Q183" s="1" t="n">
        <v>0</v>
      </c>
      <c r="R183" s="1" t="s">
        <v>910</v>
      </c>
      <c r="S183" s="1" t="n">
        <v>20251126182816</v>
      </c>
      <c r="T183" s="2" t="s">
        <v>670</v>
      </c>
      <c r="U183" s="2" t="s">
        <v>671</v>
      </c>
      <c r="X183" s="2" t="n">
        <v>219519</v>
      </c>
      <c r="Y183" s="1" t="n">
        <v>1.5</v>
      </c>
      <c r="Z183" s="1" t="n">
        <v>3</v>
      </c>
    </row>
    <row r="184" customFormat="false" ht="18.7" hidden="false" customHeight="true" outlineLevel="0" collapsed="false">
      <c r="A184" s="1" t="n">
        <v>183</v>
      </c>
      <c r="B184" s="7" t="str">
        <f aca="false">HYPERLINK("https://mncourtfraud.com/file/27-CR-21-13144.pdf","27-CR-21-13144")</f>
        <v>27-CR-21-13144</v>
      </c>
      <c r="C184" s="1" t="n">
        <v>1</v>
      </c>
      <c r="D184" s="2" t="s">
        <v>12</v>
      </c>
      <c r="E184" s="8" t="n">
        <v>44396</v>
      </c>
      <c r="F184" s="2" t="s">
        <v>15</v>
      </c>
      <c r="G184" s="7" t="str">
        <f aca="false">HYPERLINK("https://mncourtfraud.com/file/MCRO_27-CR-21-13144_Order-Evaluation for Competency to Proceed (Rule 20.01)_2021-07-19_20251126183017.pdf","MCRO_27-CR-21-13144_Order-Evaluation for Competency to Proceed (Rule 20.01)_2021-07-19_20251126183017.pdf")</f>
        <v>MCRO_27-CR-21-13144_Order-Evaluation for Competency to Proceed (Rule 20.01)_2021-07-19_20251126183017.pdf</v>
      </c>
      <c r="J184" s="2" t="s">
        <v>498</v>
      </c>
      <c r="K184" s="2" t="s">
        <v>499</v>
      </c>
      <c r="L184" s="2" t="s">
        <v>469</v>
      </c>
      <c r="M184" s="8" t="n">
        <v>44396</v>
      </c>
      <c r="N184" s="1" t="s">
        <v>911</v>
      </c>
      <c r="O184" s="1" t="n">
        <v>0</v>
      </c>
      <c r="P184" s="1" t="s">
        <v>911</v>
      </c>
      <c r="Q184" s="1" t="n">
        <v>0</v>
      </c>
      <c r="R184" s="1" t="s">
        <v>912</v>
      </c>
      <c r="S184" s="1" t="n">
        <v>20251126183017</v>
      </c>
      <c r="T184" s="2" t="s">
        <v>913</v>
      </c>
      <c r="U184" s="2" t="s">
        <v>913</v>
      </c>
      <c r="X184" s="2" t="n">
        <v>193712</v>
      </c>
      <c r="Y184" s="1" t="n">
        <v>1.7</v>
      </c>
      <c r="Z184" s="1" t="n">
        <v>2</v>
      </c>
      <c r="AA184" s="9" t="s">
        <v>475</v>
      </c>
    </row>
    <row r="185" customFormat="false" ht="18.7" hidden="false" customHeight="true" outlineLevel="0" collapsed="false">
      <c r="A185" s="1" t="n">
        <v>184</v>
      </c>
      <c r="B185" s="7" t="str">
        <f aca="false">HYPERLINK("https://mncourtfraud.com/file/27-CR-21-13144.pdf","27-CR-21-13144")</f>
        <v>27-CR-21-13144</v>
      </c>
      <c r="C185" s="1" t="n">
        <v>1</v>
      </c>
      <c r="D185" s="2" t="s">
        <v>12</v>
      </c>
      <c r="E185" s="8" t="n">
        <v>44405</v>
      </c>
      <c r="F185" s="2" t="s">
        <v>145</v>
      </c>
      <c r="G185" s="7" t="str">
        <f aca="false">HYPERLINK("https://mncourtfraud.com/file/MCRO_27-CR-21-13144_Demand or Request for Discovery_2021-07-28_20251126182845.pdf","MCRO_27-CR-21-13144_Demand or Request for Discovery_2021-07-28_20251126182845.pdf")</f>
        <v>MCRO_27-CR-21-13144_Demand or Request for Discovery_2021-07-28_20251126182845.pdf</v>
      </c>
      <c r="H185" s="2" t="s">
        <v>796</v>
      </c>
      <c r="I185" s="2" t="s">
        <v>796</v>
      </c>
      <c r="J185" s="2" t="s">
        <v>797</v>
      </c>
      <c r="K185" s="2" t="s">
        <v>798</v>
      </c>
      <c r="L185" s="2" t="s">
        <v>469</v>
      </c>
      <c r="M185" s="8" t="n">
        <v>44405</v>
      </c>
      <c r="N185" s="1" t="s">
        <v>914</v>
      </c>
      <c r="O185" s="1" t="n">
        <v>0</v>
      </c>
      <c r="P185" s="1" t="s">
        <v>915</v>
      </c>
      <c r="Q185" s="1" t="n">
        <v>0</v>
      </c>
      <c r="R185" s="1" t="s">
        <v>916</v>
      </c>
      <c r="S185" s="1" t="n">
        <v>20251126182845</v>
      </c>
      <c r="T185" s="2" t="s">
        <v>917</v>
      </c>
      <c r="U185" s="2" t="s">
        <v>918</v>
      </c>
      <c r="V185" s="2" t="s">
        <v>804</v>
      </c>
      <c r="W185" s="2" t="s">
        <v>805</v>
      </c>
      <c r="X185" s="2" t="n">
        <v>315859</v>
      </c>
      <c r="Y185" s="1" t="n">
        <v>1.6</v>
      </c>
      <c r="Z185" s="1" t="n">
        <v>6</v>
      </c>
      <c r="AA185" s="9" t="s">
        <v>475</v>
      </c>
    </row>
    <row r="186" customFormat="false" ht="18.7" hidden="false" customHeight="true" outlineLevel="0" collapsed="false">
      <c r="A186" s="1" t="n">
        <v>185</v>
      </c>
      <c r="B186" s="7" t="str">
        <f aca="false">HYPERLINK("https://mncourtfraud.com/file/27-CR-21-13144.pdf","27-CR-21-13144")</f>
        <v>27-CR-21-13144</v>
      </c>
      <c r="C186" s="1" t="n">
        <v>1</v>
      </c>
      <c r="D186" s="2" t="s">
        <v>12</v>
      </c>
      <c r="E186" s="8" t="n">
        <v>44439</v>
      </c>
      <c r="F186" s="2" t="s">
        <v>19</v>
      </c>
      <c r="G186" s="7" t="str">
        <f aca="false">HYPERLINK("https://mncourtfraud.com/file/MCRO_27-CR-21-13144_Findings and Order_2021-08-31_20251126182917.pdf","MCRO_27-CR-21-13144_Findings and Order_2021-08-31_20251126182917.pdf")</f>
        <v>MCRO_27-CR-21-13144_Findings and Order_2021-08-31_20251126182917.pdf</v>
      </c>
      <c r="H186" s="2" t="s">
        <v>503</v>
      </c>
      <c r="I186" s="2" t="s">
        <v>503</v>
      </c>
      <c r="J186" s="2" t="s">
        <v>467</v>
      </c>
      <c r="K186" s="2" t="s">
        <v>468</v>
      </c>
      <c r="L186" s="2" t="s">
        <v>469</v>
      </c>
      <c r="M186" s="8" t="n">
        <v>44439</v>
      </c>
      <c r="N186" s="1" t="s">
        <v>504</v>
      </c>
      <c r="O186" s="1" t="n">
        <v>0</v>
      </c>
      <c r="P186" s="1" t="s">
        <v>505</v>
      </c>
      <c r="Q186" s="1" t="n">
        <v>0</v>
      </c>
      <c r="R186" s="1" t="s">
        <v>919</v>
      </c>
      <c r="S186" s="1" t="n">
        <v>20251126182917</v>
      </c>
      <c r="T186" s="2" t="s">
        <v>507</v>
      </c>
      <c r="U186" s="2" t="s">
        <v>508</v>
      </c>
      <c r="W186" s="2" t="s">
        <v>509</v>
      </c>
      <c r="X186" s="2" t="n">
        <v>375490</v>
      </c>
      <c r="Y186" s="1" t="n">
        <v>1.7</v>
      </c>
      <c r="Z186" s="1" t="n">
        <v>7</v>
      </c>
      <c r="AA186" s="9" t="s">
        <v>475</v>
      </c>
    </row>
    <row r="187" customFormat="false" ht="18.7" hidden="false" customHeight="true" outlineLevel="0" collapsed="false">
      <c r="A187" s="1" t="n">
        <v>186</v>
      </c>
      <c r="B187" s="7" t="str">
        <f aca="false">HYPERLINK("https://mncourtfraud.com/file/27-CR-21-13144.pdf","27-CR-21-13144")</f>
        <v>27-CR-21-13144</v>
      </c>
      <c r="C187" s="1" t="n">
        <v>1</v>
      </c>
      <c r="D187" s="2" t="s">
        <v>12</v>
      </c>
      <c r="E187" s="8" t="n">
        <v>44460</v>
      </c>
      <c r="F187" s="2" t="s">
        <v>24</v>
      </c>
      <c r="G187" s="7" t="str">
        <f aca="false">HYPERLINK("https://mncourtfraud.com/file/MCRO_27-CR-21-13144_Order for Conditional Release_2021-09-21_20251126182955.pdf","MCRO_27-CR-21-13144_Order for Conditional Release_2021-09-21_20251126182955.pdf")</f>
        <v>MCRO_27-CR-21-13144_Order for Conditional Release_2021-09-21_20251126182955.pdf</v>
      </c>
      <c r="I187" s="2" t="s">
        <v>481</v>
      </c>
      <c r="J187" s="2" t="s">
        <v>481</v>
      </c>
      <c r="K187" s="2" t="s">
        <v>482</v>
      </c>
      <c r="L187" s="2" t="s">
        <v>469</v>
      </c>
      <c r="M187" s="8" t="n">
        <v>44460</v>
      </c>
      <c r="N187" s="1" t="s">
        <v>510</v>
      </c>
      <c r="O187" s="1" t="n">
        <v>0</v>
      </c>
      <c r="P187" s="1" t="s">
        <v>511</v>
      </c>
      <c r="Q187" s="1" t="n">
        <v>0</v>
      </c>
      <c r="R187" s="1" t="s">
        <v>920</v>
      </c>
      <c r="S187" s="1" t="n">
        <v>20251126182955</v>
      </c>
      <c r="T187" s="2" t="s">
        <v>513</v>
      </c>
      <c r="U187" s="2" t="s">
        <v>514</v>
      </c>
      <c r="X187" s="2" t="n">
        <v>105849</v>
      </c>
      <c r="Y187" s="1" t="n">
        <v>1.5</v>
      </c>
      <c r="Z187" s="1" t="n">
        <v>1</v>
      </c>
    </row>
    <row r="188" customFormat="false" ht="18.7" hidden="false" customHeight="true" outlineLevel="0" collapsed="false">
      <c r="A188" s="1" t="n">
        <v>187</v>
      </c>
      <c r="B188" s="7" t="str">
        <f aca="false">HYPERLINK("https://mncourtfraud.com/file/27-CR-21-13144.pdf","27-CR-21-13144")</f>
        <v>27-CR-21-13144</v>
      </c>
      <c r="C188" s="1" t="n">
        <v>1</v>
      </c>
      <c r="D188" s="2" t="s">
        <v>12</v>
      </c>
      <c r="E188" s="8" t="n">
        <v>44468</v>
      </c>
      <c r="F188" s="2" t="s">
        <v>24</v>
      </c>
      <c r="G188" s="7" t="str">
        <f aca="false">HYPERLINK("https://mncourtfraud.com/file/MCRO_27-CR-21-13144_Order for Conditional Release_2021-09-29_20251126183006.pdf","MCRO_27-CR-21-13144_Order for Conditional Release_2021-09-29_20251126183006.pdf")</f>
        <v>MCRO_27-CR-21-13144_Order for Conditional Release_2021-09-29_20251126183006.pdf</v>
      </c>
      <c r="I188" s="2" t="s">
        <v>481</v>
      </c>
      <c r="J188" s="2" t="s">
        <v>481</v>
      </c>
      <c r="K188" s="2" t="s">
        <v>482</v>
      </c>
      <c r="L188" s="2" t="s">
        <v>469</v>
      </c>
      <c r="M188" s="8" t="n">
        <v>44468</v>
      </c>
      <c r="N188" s="1" t="s">
        <v>515</v>
      </c>
      <c r="O188" s="1" t="n">
        <v>0</v>
      </c>
      <c r="P188" s="1" t="s">
        <v>516</v>
      </c>
      <c r="Q188" s="1" t="n">
        <v>0</v>
      </c>
      <c r="R188" s="1" t="s">
        <v>921</v>
      </c>
      <c r="S188" s="1" t="n">
        <v>20251126183006</v>
      </c>
      <c r="T188" s="2" t="s">
        <v>513</v>
      </c>
      <c r="U188" s="2" t="s">
        <v>518</v>
      </c>
      <c r="X188" s="2" t="n">
        <v>151814</v>
      </c>
      <c r="Y188" s="1" t="n">
        <v>1.6</v>
      </c>
      <c r="Z188" s="1" t="n">
        <v>1</v>
      </c>
    </row>
    <row r="189" customFormat="false" ht="18.7" hidden="false" customHeight="true" outlineLevel="0" collapsed="false">
      <c r="A189" s="1" t="n">
        <v>188</v>
      </c>
      <c r="B189" s="7" t="str">
        <f aca="false">HYPERLINK("https://mncourtfraud.com/file/27-CR-21-13144.pdf","27-CR-21-13144")</f>
        <v>27-CR-21-13144</v>
      </c>
      <c r="C189" s="1" t="n">
        <v>1</v>
      </c>
      <c r="D189" s="2" t="s">
        <v>12</v>
      </c>
      <c r="E189" s="8" t="n">
        <v>44543</v>
      </c>
      <c r="F189" s="2" t="s">
        <v>15</v>
      </c>
      <c r="G189" s="7" t="str">
        <f aca="false">HYPERLINK("https://mncourtfraud.com/file/MCRO_27-CR-21-13144_Order-Evaluation for Competency to Proceed (Rule 20.01)_2021-12-13_20251126183025.pdf","MCRO_27-CR-21-13144_Order-Evaluation for Competency to Proceed (Rule 20.01)_2021-12-13_20251126183025.pdf")</f>
        <v>MCRO_27-CR-21-13144_Order-Evaluation for Competency to Proceed (Rule 20.01)_2021-12-13_20251126183025.pdf</v>
      </c>
      <c r="H189" s="2" t="s">
        <v>465</v>
      </c>
      <c r="I189" s="2" t="s">
        <v>466</v>
      </c>
      <c r="J189" s="2" t="s">
        <v>519</v>
      </c>
      <c r="K189" s="2" t="s">
        <v>520</v>
      </c>
      <c r="L189" s="2" t="s">
        <v>469</v>
      </c>
      <c r="M189" s="8" t="n">
        <v>44543</v>
      </c>
      <c r="N189" s="1" t="s">
        <v>521</v>
      </c>
      <c r="O189" s="1" t="n">
        <v>0</v>
      </c>
      <c r="P189" s="1" t="s">
        <v>922</v>
      </c>
      <c r="Q189" s="1" t="n">
        <v>0</v>
      </c>
      <c r="R189" s="1" t="s">
        <v>923</v>
      </c>
      <c r="S189" s="1" t="n">
        <v>20251126183025</v>
      </c>
      <c r="T189" s="2" t="s">
        <v>524</v>
      </c>
      <c r="U189" s="2" t="s">
        <v>924</v>
      </c>
      <c r="X189" s="2" t="n">
        <v>233840</v>
      </c>
      <c r="Y189" s="1" t="n">
        <v>1.7</v>
      </c>
      <c r="Z189" s="1" t="n">
        <v>2</v>
      </c>
      <c r="AA189" s="9" t="s">
        <v>475</v>
      </c>
    </row>
    <row r="190" customFormat="false" ht="18.7" hidden="false" customHeight="true" outlineLevel="0" collapsed="false">
      <c r="A190" s="1" t="n">
        <v>189</v>
      </c>
      <c r="B190" s="7" t="str">
        <f aca="false">HYPERLINK("https://mncourtfraud.com/file/27-CR-21-13144.pdf","27-CR-21-13144")</f>
        <v>27-CR-21-13144</v>
      </c>
      <c r="C190" s="1" t="n">
        <v>1</v>
      </c>
      <c r="D190" s="2" t="s">
        <v>12</v>
      </c>
      <c r="E190" s="8" t="n">
        <v>44558</v>
      </c>
      <c r="F190" s="2" t="s">
        <v>15</v>
      </c>
      <c r="G190" s="7" t="str">
        <f aca="false">HYPERLINK("https://mncourtfraud.com/file/MCRO_27-CR-21-13144_Order-Evaluation for Competency to Proceed (Rule 20.01)_2021-12-28_20251126183033.pdf","MCRO_27-CR-21-13144_Order-Evaluation for Competency to Proceed (Rule 20.01)_2021-12-28_20251126183033.pdf")</f>
        <v>MCRO_27-CR-21-13144_Order-Evaluation for Competency to Proceed (Rule 20.01)_2021-12-28_20251126183033.pdf</v>
      </c>
      <c r="J190" s="2" t="s">
        <v>498</v>
      </c>
      <c r="K190" s="2" t="s">
        <v>499</v>
      </c>
      <c r="L190" s="2" t="s">
        <v>469</v>
      </c>
      <c r="M190" s="8" t="n">
        <v>44558</v>
      </c>
      <c r="N190" s="1" t="s">
        <v>925</v>
      </c>
      <c r="O190" s="1" t="n">
        <v>0</v>
      </c>
      <c r="P190" s="1" t="s">
        <v>925</v>
      </c>
      <c r="Q190" s="1" t="n">
        <v>0</v>
      </c>
      <c r="R190" s="1" t="s">
        <v>926</v>
      </c>
      <c r="S190" s="1" t="n">
        <v>20251126183033</v>
      </c>
      <c r="T190" s="2" t="s">
        <v>927</v>
      </c>
      <c r="U190" s="2" t="s">
        <v>927</v>
      </c>
      <c r="X190" s="2" t="n">
        <v>238882</v>
      </c>
      <c r="Y190" s="1" t="n">
        <v>1.7</v>
      </c>
      <c r="Z190" s="1" t="n">
        <v>3</v>
      </c>
      <c r="AA190" s="9" t="s">
        <v>475</v>
      </c>
    </row>
    <row r="191" customFormat="false" ht="18.7" hidden="false" customHeight="true" outlineLevel="0" collapsed="false">
      <c r="A191" s="1" t="n">
        <v>190</v>
      </c>
      <c r="B191" s="7" t="str">
        <f aca="false">HYPERLINK("https://mncourtfraud.com/file/27-CR-21-13144.pdf","27-CR-21-13144")</f>
        <v>27-CR-21-13144</v>
      </c>
      <c r="C191" s="1" t="n">
        <v>1</v>
      </c>
      <c r="D191" s="2" t="s">
        <v>12</v>
      </c>
      <c r="E191" s="8" t="n">
        <v>44593</v>
      </c>
      <c r="F191" s="2" t="s">
        <v>19</v>
      </c>
      <c r="G191" s="7" t="str">
        <f aca="false">HYPERLINK("https://mncourtfraud.com/file/MCRO_27-CR-21-13144_Findings and Order_2022-02-01_20251126182907.pdf","MCRO_27-CR-21-13144_Findings and Order_2022-02-01_20251126182907.pdf")</f>
        <v>MCRO_27-CR-21-13144_Findings and Order_2022-02-01_20251126182907.pdf</v>
      </c>
      <c r="H191" s="2" t="s">
        <v>503</v>
      </c>
      <c r="I191" s="2" t="s">
        <v>503</v>
      </c>
      <c r="J191" s="2" t="s">
        <v>519</v>
      </c>
      <c r="K191" s="2" t="s">
        <v>520</v>
      </c>
      <c r="L191" s="2" t="s">
        <v>469</v>
      </c>
      <c r="M191" s="8" t="n">
        <v>44593</v>
      </c>
      <c r="N191" s="1" t="s">
        <v>529</v>
      </c>
      <c r="O191" s="1" t="n">
        <v>0</v>
      </c>
      <c r="P191" s="1" t="s">
        <v>530</v>
      </c>
      <c r="Q191" s="1" t="n">
        <v>0</v>
      </c>
      <c r="R191" s="1" t="s">
        <v>928</v>
      </c>
      <c r="S191" s="1" t="n">
        <v>20251126182907</v>
      </c>
      <c r="T191" s="2" t="s">
        <v>532</v>
      </c>
      <c r="U191" s="2" t="s">
        <v>533</v>
      </c>
      <c r="W191" s="2" t="s">
        <v>509</v>
      </c>
      <c r="X191" s="2" t="n">
        <v>361788</v>
      </c>
      <c r="Y191" s="1" t="n">
        <v>1.7</v>
      </c>
      <c r="Z191" s="1" t="n">
        <v>7</v>
      </c>
      <c r="AA191" s="9" t="s">
        <v>475</v>
      </c>
    </row>
    <row r="192" customFormat="false" ht="18.7" hidden="false" customHeight="true" outlineLevel="0" collapsed="false">
      <c r="A192" s="1" t="n">
        <v>191</v>
      </c>
      <c r="B192" s="7" t="str">
        <f aca="false">HYPERLINK("https://mncourtfraud.com/file/27-CR-21-13144.pdf","27-CR-21-13144")</f>
        <v>27-CR-21-13144</v>
      </c>
      <c r="C192" s="1" t="n">
        <v>1</v>
      </c>
      <c r="D192" s="2" t="s">
        <v>12</v>
      </c>
      <c r="E192" s="8" t="n">
        <v>44692</v>
      </c>
      <c r="F192" s="2" t="s">
        <v>15</v>
      </c>
      <c r="G192" s="7" t="str">
        <f aca="false">HYPERLINK("https://mncourtfraud.com/file/MCRO_27-CR-21-13144_Order-Evaluation for Competency to Proceed (Rule 20.01)_2022-05-11_20251126183041.pdf","MCRO_27-CR-21-13144_Order-Evaluation for Competency to Proceed (Rule 20.01)_2022-05-11_20251126183041.pdf")</f>
        <v>MCRO_27-CR-21-13144_Order-Evaluation for Competency to Proceed (Rule 20.01)_2022-05-11_20251126183041.pdf</v>
      </c>
      <c r="H192" s="2" t="s">
        <v>534</v>
      </c>
      <c r="I192" s="2" t="s">
        <v>534</v>
      </c>
      <c r="J192" s="2" t="s">
        <v>535</v>
      </c>
      <c r="K192" s="2" t="s">
        <v>536</v>
      </c>
      <c r="L192" s="2" t="s">
        <v>469</v>
      </c>
      <c r="M192" s="8" t="n">
        <v>44692</v>
      </c>
      <c r="N192" s="1" t="s">
        <v>537</v>
      </c>
      <c r="O192" s="1" t="n">
        <v>0</v>
      </c>
      <c r="P192" s="1" t="s">
        <v>929</v>
      </c>
      <c r="Q192" s="1" t="n">
        <v>0</v>
      </c>
      <c r="R192" s="1" t="s">
        <v>930</v>
      </c>
      <c r="S192" s="1" t="n">
        <v>20251126183041</v>
      </c>
      <c r="T192" s="2" t="s">
        <v>540</v>
      </c>
      <c r="U192" s="2" t="s">
        <v>931</v>
      </c>
      <c r="W192" s="2" t="s">
        <v>542</v>
      </c>
      <c r="X192" s="2" t="n">
        <v>239817</v>
      </c>
      <c r="Y192" s="1" t="n">
        <v>1.6</v>
      </c>
      <c r="Z192" s="1" t="n">
        <v>2</v>
      </c>
    </row>
    <row r="193" customFormat="false" ht="18.7" hidden="false" customHeight="true" outlineLevel="0" collapsed="false">
      <c r="A193" s="1" t="n">
        <v>192</v>
      </c>
      <c r="B193" s="7" t="str">
        <f aca="false">HYPERLINK("https://mncourtfraud.com/file/27-CR-21-13144.pdf","27-CR-21-13144")</f>
        <v>27-CR-21-13144</v>
      </c>
      <c r="C193" s="1" t="n">
        <v>1</v>
      </c>
      <c r="D193" s="2" t="s">
        <v>12</v>
      </c>
      <c r="E193" s="8" t="n">
        <v>44895</v>
      </c>
      <c r="F193" s="2" t="s">
        <v>15</v>
      </c>
      <c r="G193" s="7" t="str">
        <f aca="false">HYPERLINK("https://mncourtfraud.com/file/MCRO_27-CR-21-13144_Order-Evaluation for Competency to Proceed (Rule 20.01)_2022-11-30_20251126183049.pdf","MCRO_27-CR-21-13144_Order-Evaluation for Competency to Proceed (Rule 20.01)_2022-11-30_20251126183049.pdf")</f>
        <v>MCRO_27-CR-21-13144_Order-Evaluation for Competency to Proceed (Rule 20.01)_2022-11-30_20251126183049.pdf</v>
      </c>
      <c r="H193" s="2" t="s">
        <v>543</v>
      </c>
      <c r="I193" s="2" t="s">
        <v>544</v>
      </c>
      <c r="J193" s="2" t="s">
        <v>519</v>
      </c>
      <c r="K193" s="2" t="s">
        <v>520</v>
      </c>
      <c r="L193" s="2" t="s">
        <v>469</v>
      </c>
      <c r="M193" s="8" t="n">
        <v>44895</v>
      </c>
      <c r="N193" s="1" t="s">
        <v>545</v>
      </c>
      <c r="O193" s="1" t="n">
        <v>0</v>
      </c>
      <c r="P193" s="1" t="s">
        <v>546</v>
      </c>
      <c r="Q193" s="1" t="n">
        <v>0</v>
      </c>
      <c r="R193" s="1" t="s">
        <v>932</v>
      </c>
      <c r="S193" s="1" t="n">
        <v>20251126183049</v>
      </c>
      <c r="T193" s="2" t="s">
        <v>548</v>
      </c>
      <c r="U193" s="2" t="s">
        <v>549</v>
      </c>
      <c r="X193" s="2" t="n">
        <v>816998</v>
      </c>
      <c r="Y193" s="1" t="n">
        <v>1.7</v>
      </c>
      <c r="Z193" s="1" t="n">
        <v>2</v>
      </c>
      <c r="AA193" s="9" t="s">
        <v>475</v>
      </c>
    </row>
    <row r="194" customFormat="false" ht="18.7" hidden="false" customHeight="true" outlineLevel="0" collapsed="false">
      <c r="A194" s="1" t="n">
        <v>193</v>
      </c>
      <c r="B194" s="7" t="str">
        <f aca="false">HYPERLINK("https://mncourtfraud.com/file/27-CR-21-13144.pdf","27-CR-21-13144")</f>
        <v>27-CR-21-13144</v>
      </c>
      <c r="C194" s="1" t="n">
        <v>1</v>
      </c>
      <c r="D194" s="2" t="s">
        <v>12</v>
      </c>
      <c r="E194" s="8" t="n">
        <v>44999</v>
      </c>
      <c r="F194" s="2" t="s">
        <v>17</v>
      </c>
      <c r="G194" s="7" t="str">
        <f aca="false">HYPERLINK("https://mncourtfraud.com/file/MCRO_27-CR-21-13144_Returned Mail_2023-03-14_20251126183118.pdf","MCRO_27-CR-21-13144_Returned Mail_2023-03-14_20251126183118.pdf")</f>
        <v>MCRO_27-CR-21-13144_Returned Mail_2023-03-14_20251126183118.pdf</v>
      </c>
      <c r="J194" s="2" t="s">
        <v>498</v>
      </c>
      <c r="K194" s="2" t="s">
        <v>499</v>
      </c>
      <c r="L194" s="2" t="s">
        <v>469</v>
      </c>
      <c r="M194" s="8" t="n">
        <v>44999</v>
      </c>
      <c r="N194" s="1" t="s">
        <v>933</v>
      </c>
      <c r="O194" s="1" t="n">
        <v>7</v>
      </c>
      <c r="P194" s="1" t="s">
        <v>933</v>
      </c>
      <c r="Q194" s="1" t="n">
        <v>7</v>
      </c>
      <c r="R194" s="1" t="s">
        <v>934</v>
      </c>
      <c r="S194" s="1" t="n">
        <v>20251126183118</v>
      </c>
      <c r="T194" s="2" t="s">
        <v>935</v>
      </c>
      <c r="U194" s="2" t="s">
        <v>935</v>
      </c>
      <c r="X194" s="2" t="n">
        <v>266282</v>
      </c>
      <c r="Y194" s="1" t="n">
        <v>1.7</v>
      </c>
      <c r="Z194" s="1" t="n">
        <v>1</v>
      </c>
      <c r="AA194" s="9" t="s">
        <v>475</v>
      </c>
    </row>
    <row r="195" customFormat="false" ht="18.7" hidden="false" customHeight="true" outlineLevel="0" collapsed="false">
      <c r="A195" s="1" t="n">
        <v>194</v>
      </c>
      <c r="B195" s="7" t="str">
        <f aca="false">HYPERLINK("https://mncourtfraud.com/file/27-CR-21-13144.pdf","27-CR-21-13144")</f>
        <v>27-CR-21-13144</v>
      </c>
      <c r="C195" s="1" t="n">
        <v>1</v>
      </c>
      <c r="D195" s="2" t="s">
        <v>12</v>
      </c>
      <c r="E195" s="8" t="n">
        <v>45048</v>
      </c>
      <c r="F195" s="2" t="s">
        <v>80</v>
      </c>
      <c r="G195" s="7" t="str">
        <f aca="false">HYPERLINK("https://mncourtfraud.com/file/MCRO_27-CR-21-13144_Finding of Incompetency and Order_2023-05-02_20251126182855.pdf","MCRO_27-CR-21-13144_Finding of Incompetency and Order_2023-05-02_20251126182855.pdf")</f>
        <v>MCRO_27-CR-21-13144_Finding of Incompetency and Order_2023-05-02_20251126182855.pdf</v>
      </c>
      <c r="H195" s="2" t="s">
        <v>644</v>
      </c>
      <c r="I195" s="2" t="s">
        <v>644</v>
      </c>
      <c r="J195" s="2" t="s">
        <v>519</v>
      </c>
      <c r="K195" s="2" t="s">
        <v>520</v>
      </c>
      <c r="L195" s="2" t="s">
        <v>469</v>
      </c>
      <c r="M195" s="8" t="n">
        <v>45048</v>
      </c>
      <c r="N195" s="1" t="s">
        <v>645</v>
      </c>
      <c r="O195" s="1" t="n">
        <v>0</v>
      </c>
      <c r="P195" s="1" t="s">
        <v>646</v>
      </c>
      <c r="Q195" s="1" t="n">
        <v>0</v>
      </c>
      <c r="R195" s="1" t="s">
        <v>936</v>
      </c>
      <c r="S195" s="1" t="n">
        <v>20251126182855</v>
      </c>
      <c r="T195" s="2" t="s">
        <v>648</v>
      </c>
      <c r="U195" s="2" t="s">
        <v>649</v>
      </c>
      <c r="W195" s="2" t="s">
        <v>650</v>
      </c>
      <c r="X195" s="2" t="n">
        <v>976544</v>
      </c>
      <c r="Y195" s="1" t="n">
        <v>1.7</v>
      </c>
      <c r="Z195" s="1" t="n">
        <v>6</v>
      </c>
      <c r="AA195" s="9" t="s">
        <v>475</v>
      </c>
    </row>
    <row r="196" customFormat="false" ht="18.7" hidden="false" customHeight="true" outlineLevel="0" collapsed="false">
      <c r="A196" s="1" t="n">
        <v>195</v>
      </c>
      <c r="B196" s="7" t="str">
        <f aca="false">HYPERLINK("https://mncourtfraud.com/file/27-CR-21-13144.pdf","27-CR-21-13144")</f>
        <v>27-CR-21-13144</v>
      </c>
      <c r="C196" s="1" t="n">
        <v>1</v>
      </c>
      <c r="D196" s="2" t="s">
        <v>12</v>
      </c>
      <c r="E196" s="8" t="n">
        <v>45093</v>
      </c>
      <c r="F196" s="2" t="s">
        <v>82</v>
      </c>
      <c r="G196" s="7" t="str">
        <f aca="false">HYPERLINK("https://mncourtfraud.com/file/MCRO_27-CR-21-13144_Notice of Case Reassignment_2023-06-16_20251126182929.pdf","MCRO_27-CR-21-13144_Notice of Case Reassignment_2023-06-16_20251126182929.pdf")</f>
        <v>MCRO_27-CR-21-13144_Notice of Case Reassignment_2023-06-16_20251126182929.pdf</v>
      </c>
      <c r="H196" s="2" t="s">
        <v>651</v>
      </c>
      <c r="I196" s="2" t="s">
        <v>651</v>
      </c>
      <c r="J196" s="2" t="s">
        <v>535</v>
      </c>
      <c r="K196" s="2" t="s">
        <v>652</v>
      </c>
      <c r="L196" s="2" t="s">
        <v>469</v>
      </c>
      <c r="M196" s="8" t="n">
        <v>45093</v>
      </c>
      <c r="N196" s="1" t="s">
        <v>653</v>
      </c>
      <c r="O196" s="1" t="n">
        <v>5</v>
      </c>
      <c r="P196" s="1" t="s">
        <v>653</v>
      </c>
      <c r="Q196" s="1" t="n">
        <v>5</v>
      </c>
      <c r="R196" s="1" t="s">
        <v>937</v>
      </c>
      <c r="S196" s="1" t="n">
        <v>20251126182929</v>
      </c>
      <c r="T196" s="2" t="s">
        <v>938</v>
      </c>
      <c r="U196" s="2" t="s">
        <v>939</v>
      </c>
      <c r="W196" s="2" t="s">
        <v>657</v>
      </c>
      <c r="X196" s="2" t="n">
        <v>113628</v>
      </c>
      <c r="Y196" s="1" t="n">
        <v>1.6</v>
      </c>
      <c r="Z196" s="1" t="n">
        <v>1</v>
      </c>
    </row>
    <row r="197" customFormat="false" ht="18.7" hidden="false" customHeight="true" outlineLevel="0" collapsed="false">
      <c r="A197" s="1" t="n">
        <v>196</v>
      </c>
      <c r="B197" s="7" t="str">
        <f aca="false">HYPERLINK("https://mncourtfraud.com/file/27-CR-21-13144.pdf","27-CR-21-13144")</f>
        <v>27-CR-21-13144</v>
      </c>
      <c r="C197" s="1" t="n">
        <v>1</v>
      </c>
      <c r="D197" s="2" t="s">
        <v>12</v>
      </c>
      <c r="E197" s="8" t="n">
        <v>45160</v>
      </c>
      <c r="F197" s="2" t="s">
        <v>15</v>
      </c>
      <c r="G197" s="7" t="str">
        <f aca="false">HYPERLINK("https://mncourtfraud.com/file/MCRO_27-CR-21-13144_Order-Evaluation for Competency to Proceed (Rule 20.01)_2023-08-22_20251126183057.pdf","MCRO_27-CR-21-13144_Order-Evaluation for Competency to Proceed (Rule 20.01)_2023-08-22_20251126183057.pdf")</f>
        <v>MCRO_27-CR-21-13144_Order-Evaluation for Competency to Proceed (Rule 20.01)_2023-08-22_20251126183057.pdf</v>
      </c>
      <c r="H197" s="2" t="s">
        <v>658</v>
      </c>
      <c r="I197" s="2" t="s">
        <v>659</v>
      </c>
      <c r="J197" s="2" t="s">
        <v>519</v>
      </c>
      <c r="K197" s="2" t="s">
        <v>520</v>
      </c>
      <c r="L197" s="2" t="s">
        <v>469</v>
      </c>
      <c r="M197" s="8" t="n">
        <v>45160</v>
      </c>
      <c r="N197" s="1" t="s">
        <v>660</v>
      </c>
      <c r="O197" s="1" t="n">
        <v>0</v>
      </c>
      <c r="P197" s="1" t="s">
        <v>661</v>
      </c>
      <c r="Q197" s="1" t="n">
        <v>0</v>
      </c>
      <c r="R197" s="1" t="s">
        <v>940</v>
      </c>
      <c r="S197" s="1" t="n">
        <v>20251126183057</v>
      </c>
      <c r="T197" s="2" t="s">
        <v>663</v>
      </c>
      <c r="U197" s="2" t="s">
        <v>664</v>
      </c>
      <c r="X197" s="2" t="n">
        <v>876399</v>
      </c>
      <c r="Y197" s="1" t="n">
        <v>1.7</v>
      </c>
      <c r="Z197" s="1" t="n">
        <v>2</v>
      </c>
      <c r="AA197" s="9" t="s">
        <v>475</v>
      </c>
    </row>
    <row r="198" customFormat="false" ht="18.7" hidden="false" customHeight="true" outlineLevel="0" collapsed="false">
      <c r="A198" s="1" t="n">
        <v>197</v>
      </c>
      <c r="B198" s="7" t="str">
        <f aca="false">HYPERLINK("https://mncourtfraud.com/file/27-CR-21-13144.pdf","27-CR-21-13144")</f>
        <v>27-CR-21-13144</v>
      </c>
      <c r="C198" s="1" t="n">
        <v>1</v>
      </c>
      <c r="D198" s="2" t="s">
        <v>12</v>
      </c>
      <c r="E198" s="8" t="n">
        <v>45412</v>
      </c>
      <c r="F198" s="2" t="s">
        <v>24</v>
      </c>
      <c r="G198" s="7" t="str">
        <f aca="false">HYPERLINK("https://mncourtfraud.com/file/MCRO_27-CR-21-13144_Order for Conditional Release_2024-04-30_20251126182947.pdf","MCRO_27-CR-21-13144_Order for Conditional Release_2024-04-30_20251126182947.pdf")</f>
        <v>MCRO_27-CR-21-13144_Order for Conditional Release_2024-04-30_20251126182947.pdf</v>
      </c>
      <c r="I198" s="2" t="s">
        <v>481</v>
      </c>
      <c r="J198" s="2" t="s">
        <v>481</v>
      </c>
      <c r="K198" s="2" t="s">
        <v>482</v>
      </c>
      <c r="L198" s="2" t="s">
        <v>469</v>
      </c>
      <c r="M198" s="8" t="n">
        <v>45412</v>
      </c>
      <c r="N198" s="1" t="s">
        <v>665</v>
      </c>
      <c r="O198" s="1" t="n">
        <v>0</v>
      </c>
      <c r="P198" s="1" t="s">
        <v>665</v>
      </c>
      <c r="Q198" s="1" t="n">
        <v>0</v>
      </c>
      <c r="R198" s="1" t="s">
        <v>941</v>
      </c>
      <c r="S198" s="1" t="n">
        <v>20251126182947</v>
      </c>
      <c r="T198" s="2" t="s">
        <v>667</v>
      </c>
      <c r="U198" s="2" t="s">
        <v>668</v>
      </c>
      <c r="X198" s="2" t="n">
        <v>150536</v>
      </c>
      <c r="Y198" s="1" t="n">
        <v>1.5</v>
      </c>
      <c r="Z198" s="1" t="n">
        <v>2</v>
      </c>
    </row>
    <row r="199" customFormat="false" ht="18.7" hidden="false" customHeight="true" outlineLevel="0" collapsed="false">
      <c r="A199" s="1" t="n">
        <v>198</v>
      </c>
      <c r="B199" s="7" t="str">
        <f aca="false">HYPERLINK("https://mncourtfraud.com/file/27-CR-21-13144.pdf","27-CR-21-13144")</f>
        <v>27-CR-21-13144</v>
      </c>
      <c r="C199" s="1" t="n">
        <v>1</v>
      </c>
      <c r="D199" s="2" t="s">
        <v>12</v>
      </c>
      <c r="E199" s="8" t="n">
        <v>45412</v>
      </c>
      <c r="F199" s="2" t="s">
        <v>15</v>
      </c>
      <c r="G199" s="7" t="str">
        <f aca="false">HYPERLINK("https://mncourtfraud.com/file/MCRO_27-CR-21-13144_Order-Evaluation for Competency to Proceed (Rule 20.01)_2024-04-30_20251126183105.pdf","MCRO_27-CR-21-13144_Order-Evaluation for Competency to Proceed (Rule 20.01)_2024-04-30_20251126183105.pdf")</f>
        <v>MCRO_27-CR-21-13144_Order-Evaluation for Competency to Proceed (Rule 20.01)_2024-04-30_20251126183105.pdf</v>
      </c>
      <c r="I199" s="2" t="s">
        <v>481</v>
      </c>
      <c r="J199" s="2" t="s">
        <v>481</v>
      </c>
      <c r="K199" s="2" t="s">
        <v>482</v>
      </c>
      <c r="L199" s="2" t="s">
        <v>469</v>
      </c>
      <c r="M199" s="8" t="n">
        <v>45412</v>
      </c>
      <c r="N199" s="1" t="s">
        <v>665</v>
      </c>
      <c r="O199" s="1" t="n">
        <v>0</v>
      </c>
      <c r="P199" s="1" t="s">
        <v>665</v>
      </c>
      <c r="Q199" s="1" t="n">
        <v>0</v>
      </c>
      <c r="R199" s="1" t="s">
        <v>942</v>
      </c>
      <c r="S199" s="1" t="n">
        <v>20251126183105</v>
      </c>
      <c r="T199" s="2" t="s">
        <v>670</v>
      </c>
      <c r="U199" s="2" t="s">
        <v>671</v>
      </c>
      <c r="X199" s="2" t="n">
        <v>219524</v>
      </c>
      <c r="Y199" s="1" t="n">
        <v>1.5</v>
      </c>
      <c r="Z199" s="1" t="n">
        <v>3</v>
      </c>
    </row>
    <row r="200" customFormat="false" ht="18.7" hidden="false" customHeight="true" outlineLevel="0" collapsed="false">
      <c r="A200" s="1" t="n">
        <v>199</v>
      </c>
      <c r="B200" s="7" t="str">
        <f aca="false">HYPERLINK("https://mncourtfraud.com/file/27-CR-21-13146.pdf","27-CR-21-13146")</f>
        <v>27-CR-21-13146</v>
      </c>
      <c r="C200" s="1" t="n">
        <v>1</v>
      </c>
      <c r="D200" s="2" t="s">
        <v>12</v>
      </c>
      <c r="E200" s="8" t="n">
        <v>44396</v>
      </c>
      <c r="F200" s="2" t="s">
        <v>15</v>
      </c>
      <c r="G200" s="7" t="str">
        <f aca="false">HYPERLINK("https://mncourtfraud.com/file/MCRO_27-CR-21-13146_Order-Evaluation for Competency to Proceed (Rule 20.01)_2021-07-19_20251126183316.pdf","MCRO_27-CR-21-13146_Order-Evaluation for Competency to Proceed (Rule 20.01)_2021-07-19_20251126183316.pdf")</f>
        <v>MCRO_27-CR-21-13146_Order-Evaluation for Competency to Proceed (Rule 20.01)_2021-07-19_20251126183316.pdf</v>
      </c>
      <c r="J200" s="2" t="s">
        <v>498</v>
      </c>
      <c r="K200" s="2" t="s">
        <v>499</v>
      </c>
      <c r="L200" s="2" t="s">
        <v>469</v>
      </c>
      <c r="M200" s="8" t="n">
        <v>44396</v>
      </c>
      <c r="N200" s="1" t="s">
        <v>943</v>
      </c>
      <c r="O200" s="1" t="n">
        <v>0</v>
      </c>
      <c r="P200" s="1" t="s">
        <v>943</v>
      </c>
      <c r="Q200" s="1" t="n">
        <v>0</v>
      </c>
      <c r="R200" s="1" t="s">
        <v>944</v>
      </c>
      <c r="S200" s="1" t="n">
        <v>20251126183316</v>
      </c>
      <c r="T200" s="2" t="s">
        <v>945</v>
      </c>
      <c r="U200" s="2" t="s">
        <v>945</v>
      </c>
      <c r="X200" s="2" t="n">
        <v>195134</v>
      </c>
      <c r="Y200" s="1" t="n">
        <v>1.7</v>
      </c>
      <c r="Z200" s="1" t="n">
        <v>2</v>
      </c>
      <c r="AA200" s="9" t="s">
        <v>475</v>
      </c>
    </row>
    <row r="201" customFormat="false" ht="18.7" hidden="false" customHeight="true" outlineLevel="0" collapsed="false">
      <c r="A201" s="1" t="n">
        <v>200</v>
      </c>
      <c r="B201" s="7" t="str">
        <f aca="false">HYPERLINK("https://mncourtfraud.com/file/27-CR-21-13146.pdf","27-CR-21-13146")</f>
        <v>27-CR-21-13146</v>
      </c>
      <c r="C201" s="1" t="n">
        <v>1</v>
      </c>
      <c r="D201" s="2" t="s">
        <v>12</v>
      </c>
      <c r="E201" s="8" t="n">
        <v>44405</v>
      </c>
      <c r="F201" s="2" t="s">
        <v>145</v>
      </c>
      <c r="G201" s="7" t="str">
        <f aca="false">HYPERLINK("https://mncourtfraud.com/file/MCRO_27-CR-21-13146_Demand or Request for Discovery_2021-07-28_20251126183146.pdf","MCRO_27-CR-21-13146_Demand or Request for Discovery_2021-07-28_20251126183146.pdf")</f>
        <v>MCRO_27-CR-21-13146_Demand or Request for Discovery_2021-07-28_20251126183146.pdf</v>
      </c>
      <c r="H201" s="2" t="s">
        <v>796</v>
      </c>
      <c r="I201" s="2" t="s">
        <v>796</v>
      </c>
      <c r="J201" s="2" t="s">
        <v>797</v>
      </c>
      <c r="K201" s="2" t="s">
        <v>798</v>
      </c>
      <c r="L201" s="2" t="s">
        <v>469</v>
      </c>
      <c r="M201" s="8" t="n">
        <v>44405</v>
      </c>
      <c r="N201" s="1" t="s">
        <v>946</v>
      </c>
      <c r="O201" s="1" t="n">
        <v>0</v>
      </c>
      <c r="P201" s="1" t="s">
        <v>947</v>
      </c>
      <c r="Q201" s="1" t="n">
        <v>0</v>
      </c>
      <c r="R201" s="1" t="s">
        <v>948</v>
      </c>
      <c r="S201" s="1" t="n">
        <v>20251126183146</v>
      </c>
      <c r="T201" s="2" t="s">
        <v>949</v>
      </c>
      <c r="U201" s="2" t="s">
        <v>950</v>
      </c>
      <c r="V201" s="2" t="s">
        <v>804</v>
      </c>
      <c r="W201" s="2" t="s">
        <v>805</v>
      </c>
      <c r="X201" s="2" t="n">
        <v>316127</v>
      </c>
      <c r="Y201" s="1" t="n">
        <v>1.6</v>
      </c>
      <c r="Z201" s="1" t="n">
        <v>6</v>
      </c>
      <c r="AA201" s="9" t="s">
        <v>475</v>
      </c>
    </row>
    <row r="202" customFormat="false" ht="18.7" hidden="false" customHeight="true" outlineLevel="0" collapsed="false">
      <c r="A202" s="1" t="n">
        <v>201</v>
      </c>
      <c r="B202" s="7" t="str">
        <f aca="false">HYPERLINK("https://mncourtfraud.com/file/27-CR-21-13146.pdf","27-CR-21-13146")</f>
        <v>27-CR-21-13146</v>
      </c>
      <c r="C202" s="1" t="n">
        <v>1</v>
      </c>
      <c r="D202" s="2" t="s">
        <v>12</v>
      </c>
      <c r="E202" s="8" t="n">
        <v>44439</v>
      </c>
      <c r="F202" s="2" t="s">
        <v>19</v>
      </c>
      <c r="G202" s="7" t="str">
        <f aca="false">HYPERLINK("https://mncourtfraud.com/file/MCRO_27-CR-21-13146_Findings and Order_2021-08-31_20251126183219.pdf","MCRO_27-CR-21-13146_Findings and Order_2021-08-31_20251126183219.pdf")</f>
        <v>MCRO_27-CR-21-13146_Findings and Order_2021-08-31_20251126183219.pdf</v>
      </c>
      <c r="H202" s="2" t="s">
        <v>503</v>
      </c>
      <c r="I202" s="2" t="s">
        <v>503</v>
      </c>
      <c r="J202" s="2" t="s">
        <v>467</v>
      </c>
      <c r="K202" s="2" t="s">
        <v>468</v>
      </c>
      <c r="L202" s="2" t="s">
        <v>469</v>
      </c>
      <c r="M202" s="8" t="n">
        <v>44439</v>
      </c>
      <c r="N202" s="1" t="s">
        <v>504</v>
      </c>
      <c r="O202" s="1" t="n">
        <v>0</v>
      </c>
      <c r="P202" s="1" t="s">
        <v>505</v>
      </c>
      <c r="Q202" s="1" t="n">
        <v>0</v>
      </c>
      <c r="R202" s="1" t="s">
        <v>951</v>
      </c>
      <c r="S202" s="1" t="n">
        <v>20251126183219</v>
      </c>
      <c r="T202" s="2" t="s">
        <v>507</v>
      </c>
      <c r="U202" s="2" t="s">
        <v>508</v>
      </c>
      <c r="W202" s="2" t="s">
        <v>509</v>
      </c>
      <c r="X202" s="2" t="n">
        <v>375490</v>
      </c>
      <c r="Y202" s="1" t="n">
        <v>1.7</v>
      </c>
      <c r="Z202" s="1" t="n">
        <v>7</v>
      </c>
      <c r="AA202" s="9" t="s">
        <v>475</v>
      </c>
    </row>
    <row r="203" customFormat="false" ht="18.7" hidden="false" customHeight="true" outlineLevel="0" collapsed="false">
      <c r="A203" s="1" t="n">
        <v>202</v>
      </c>
      <c r="B203" s="7" t="str">
        <f aca="false">HYPERLINK("https://mncourtfraud.com/file/27-CR-21-13146.pdf","27-CR-21-13146")</f>
        <v>27-CR-21-13146</v>
      </c>
      <c r="C203" s="1" t="n">
        <v>1</v>
      </c>
      <c r="D203" s="2" t="s">
        <v>12</v>
      </c>
      <c r="E203" s="8" t="n">
        <v>44460</v>
      </c>
      <c r="F203" s="2" t="s">
        <v>24</v>
      </c>
      <c r="G203" s="7" t="str">
        <f aca="false">HYPERLINK("https://mncourtfraud.com/file/MCRO_27-CR-21-13146_Order for Conditional Release_2021-09-21_20251126183258.pdf","MCRO_27-CR-21-13146_Order for Conditional Release_2021-09-21_20251126183258.pdf")</f>
        <v>MCRO_27-CR-21-13146_Order for Conditional Release_2021-09-21_20251126183258.pdf</v>
      </c>
      <c r="I203" s="2" t="s">
        <v>481</v>
      </c>
      <c r="J203" s="2" t="s">
        <v>481</v>
      </c>
      <c r="K203" s="2" t="s">
        <v>482</v>
      </c>
      <c r="L203" s="2" t="s">
        <v>469</v>
      </c>
      <c r="M203" s="8" t="n">
        <v>44460</v>
      </c>
      <c r="N203" s="1" t="s">
        <v>510</v>
      </c>
      <c r="O203" s="1" t="n">
        <v>0</v>
      </c>
      <c r="P203" s="1" t="s">
        <v>511</v>
      </c>
      <c r="Q203" s="1" t="n">
        <v>0</v>
      </c>
      <c r="R203" s="1" t="s">
        <v>952</v>
      </c>
      <c r="S203" s="1" t="n">
        <v>20251126183258</v>
      </c>
      <c r="T203" s="2" t="s">
        <v>513</v>
      </c>
      <c r="U203" s="2" t="s">
        <v>514</v>
      </c>
      <c r="X203" s="2" t="n">
        <v>105848</v>
      </c>
      <c r="Y203" s="1" t="n">
        <v>1.5</v>
      </c>
      <c r="Z203" s="1" t="n">
        <v>1</v>
      </c>
    </row>
    <row r="204" customFormat="false" ht="18.7" hidden="false" customHeight="true" outlineLevel="0" collapsed="false">
      <c r="A204" s="1" t="n">
        <v>203</v>
      </c>
      <c r="B204" s="7" t="str">
        <f aca="false">HYPERLINK("https://mncourtfraud.com/file/27-CR-21-13146.pdf","27-CR-21-13146")</f>
        <v>27-CR-21-13146</v>
      </c>
      <c r="C204" s="1" t="n">
        <v>1</v>
      </c>
      <c r="D204" s="2" t="s">
        <v>12</v>
      </c>
      <c r="E204" s="8" t="n">
        <v>44468</v>
      </c>
      <c r="F204" s="2" t="s">
        <v>24</v>
      </c>
      <c r="G204" s="7" t="str">
        <f aca="false">HYPERLINK("https://mncourtfraud.com/file/MCRO_27-CR-21-13146_Order for Conditional Release_2021-09-29_20251126183304.pdf","MCRO_27-CR-21-13146_Order for Conditional Release_2021-09-29_20251126183304.pdf")</f>
        <v>MCRO_27-CR-21-13146_Order for Conditional Release_2021-09-29_20251126183304.pdf</v>
      </c>
      <c r="I204" s="2" t="s">
        <v>481</v>
      </c>
      <c r="J204" s="2" t="s">
        <v>481</v>
      </c>
      <c r="K204" s="2" t="s">
        <v>482</v>
      </c>
      <c r="L204" s="2" t="s">
        <v>469</v>
      </c>
      <c r="M204" s="8" t="n">
        <v>44468</v>
      </c>
      <c r="N204" s="1" t="s">
        <v>515</v>
      </c>
      <c r="O204" s="1" t="n">
        <v>0</v>
      </c>
      <c r="P204" s="1" t="s">
        <v>516</v>
      </c>
      <c r="Q204" s="1" t="n">
        <v>0</v>
      </c>
      <c r="R204" s="1" t="s">
        <v>953</v>
      </c>
      <c r="S204" s="1" t="n">
        <v>20251126183304</v>
      </c>
      <c r="T204" s="2" t="s">
        <v>513</v>
      </c>
      <c r="U204" s="2" t="s">
        <v>518</v>
      </c>
      <c r="X204" s="2" t="n">
        <v>151811</v>
      </c>
      <c r="Y204" s="1" t="n">
        <v>1.6</v>
      </c>
      <c r="Z204" s="1" t="n">
        <v>1</v>
      </c>
    </row>
    <row r="205" customFormat="false" ht="18.7" hidden="false" customHeight="true" outlineLevel="0" collapsed="false">
      <c r="A205" s="1" t="n">
        <v>204</v>
      </c>
      <c r="B205" s="7" t="str">
        <f aca="false">HYPERLINK("https://mncourtfraud.com/file/27-CR-21-13146.pdf","27-CR-21-13146")</f>
        <v>27-CR-21-13146</v>
      </c>
      <c r="C205" s="1" t="n">
        <v>1</v>
      </c>
      <c r="D205" s="2" t="s">
        <v>12</v>
      </c>
      <c r="E205" s="8" t="n">
        <v>44543</v>
      </c>
      <c r="F205" s="2" t="s">
        <v>15</v>
      </c>
      <c r="G205" s="7" t="str">
        <f aca="false">HYPERLINK("https://mncourtfraud.com/file/MCRO_27-CR-21-13146_Order-Evaluation for Competency to Proceed (Rule 20.01)_2021-12-13_20251126183322.pdf","MCRO_27-CR-21-13146_Order-Evaluation for Competency to Proceed (Rule 20.01)_2021-12-13_20251126183322.pdf")</f>
        <v>MCRO_27-CR-21-13146_Order-Evaluation for Competency to Proceed (Rule 20.01)_2021-12-13_20251126183322.pdf</v>
      </c>
      <c r="H205" s="2" t="s">
        <v>465</v>
      </c>
      <c r="I205" s="2" t="s">
        <v>466</v>
      </c>
      <c r="J205" s="2" t="s">
        <v>519</v>
      </c>
      <c r="K205" s="2" t="s">
        <v>520</v>
      </c>
      <c r="L205" s="2" t="s">
        <v>469</v>
      </c>
      <c r="M205" s="8" t="n">
        <v>44543</v>
      </c>
      <c r="N205" s="1" t="s">
        <v>521</v>
      </c>
      <c r="O205" s="1" t="n">
        <v>0</v>
      </c>
      <c r="P205" s="1" t="s">
        <v>954</v>
      </c>
      <c r="Q205" s="1" t="n">
        <v>0</v>
      </c>
      <c r="R205" s="1" t="s">
        <v>955</v>
      </c>
      <c r="S205" s="1" t="n">
        <v>20251126183322</v>
      </c>
      <c r="T205" s="2" t="s">
        <v>524</v>
      </c>
      <c r="U205" s="2" t="s">
        <v>956</v>
      </c>
      <c r="X205" s="2" t="n">
        <v>233840</v>
      </c>
      <c r="Y205" s="1" t="n">
        <v>1.7</v>
      </c>
      <c r="Z205" s="1" t="n">
        <v>2</v>
      </c>
      <c r="AA205" s="9" t="s">
        <v>475</v>
      </c>
    </row>
    <row r="206" customFormat="false" ht="18.7" hidden="false" customHeight="true" outlineLevel="0" collapsed="false">
      <c r="A206" s="1" t="n">
        <v>205</v>
      </c>
      <c r="B206" s="7" t="str">
        <f aca="false">HYPERLINK("https://mncourtfraud.com/file/27-CR-21-13146.pdf","27-CR-21-13146")</f>
        <v>27-CR-21-13146</v>
      </c>
      <c r="C206" s="1" t="n">
        <v>1</v>
      </c>
      <c r="D206" s="2" t="s">
        <v>12</v>
      </c>
      <c r="E206" s="8" t="n">
        <v>44558</v>
      </c>
      <c r="F206" s="2" t="s">
        <v>15</v>
      </c>
      <c r="G206" s="7" t="str">
        <f aca="false">HYPERLINK("https://mncourtfraud.com/file/MCRO_27-CR-21-13146_Order-Evaluation for Competency to Proceed (Rule 20.01)_2021-12-28_20251126183331.pdf","MCRO_27-CR-21-13146_Order-Evaluation for Competency to Proceed (Rule 20.01)_2021-12-28_20251126183331.pdf")</f>
        <v>MCRO_27-CR-21-13146_Order-Evaluation for Competency to Proceed (Rule 20.01)_2021-12-28_20251126183331.pdf</v>
      </c>
      <c r="J206" s="2" t="s">
        <v>498</v>
      </c>
      <c r="K206" s="2" t="s">
        <v>499</v>
      </c>
      <c r="L206" s="2" t="s">
        <v>469</v>
      </c>
      <c r="M206" s="8" t="n">
        <v>44558</v>
      </c>
      <c r="N206" s="1" t="s">
        <v>957</v>
      </c>
      <c r="O206" s="1" t="n">
        <v>0</v>
      </c>
      <c r="P206" s="1" t="s">
        <v>957</v>
      </c>
      <c r="Q206" s="1" t="n">
        <v>0</v>
      </c>
      <c r="R206" s="1" t="s">
        <v>958</v>
      </c>
      <c r="S206" s="1" t="n">
        <v>20251126183331</v>
      </c>
      <c r="T206" s="2" t="s">
        <v>959</v>
      </c>
      <c r="U206" s="2" t="s">
        <v>959</v>
      </c>
      <c r="X206" s="2" t="n">
        <v>239279</v>
      </c>
      <c r="Y206" s="1" t="n">
        <v>1.7</v>
      </c>
      <c r="Z206" s="1" t="n">
        <v>3</v>
      </c>
      <c r="AA206" s="9" t="s">
        <v>475</v>
      </c>
    </row>
    <row r="207" customFormat="false" ht="18.7" hidden="false" customHeight="true" outlineLevel="0" collapsed="false">
      <c r="A207" s="1" t="n">
        <v>206</v>
      </c>
      <c r="B207" s="7" t="str">
        <f aca="false">HYPERLINK("https://mncourtfraud.com/file/27-CR-21-13146.pdf","27-CR-21-13146")</f>
        <v>27-CR-21-13146</v>
      </c>
      <c r="C207" s="1" t="n">
        <v>1</v>
      </c>
      <c r="D207" s="2" t="s">
        <v>12</v>
      </c>
      <c r="E207" s="8" t="n">
        <v>44593</v>
      </c>
      <c r="F207" s="2" t="s">
        <v>19</v>
      </c>
      <c r="G207" s="7" t="str">
        <f aca="false">HYPERLINK("https://mncourtfraud.com/file/MCRO_27-CR-21-13146_Findings and Order_2022-02-01_20251126183209.pdf","MCRO_27-CR-21-13146_Findings and Order_2022-02-01_20251126183209.pdf")</f>
        <v>MCRO_27-CR-21-13146_Findings and Order_2022-02-01_20251126183209.pdf</v>
      </c>
      <c r="H207" s="2" t="s">
        <v>503</v>
      </c>
      <c r="I207" s="2" t="s">
        <v>503</v>
      </c>
      <c r="J207" s="2" t="s">
        <v>519</v>
      </c>
      <c r="K207" s="2" t="s">
        <v>520</v>
      </c>
      <c r="L207" s="2" t="s">
        <v>469</v>
      </c>
      <c r="M207" s="8" t="n">
        <v>44593</v>
      </c>
      <c r="N207" s="1" t="s">
        <v>529</v>
      </c>
      <c r="O207" s="1" t="n">
        <v>0</v>
      </c>
      <c r="P207" s="1" t="s">
        <v>530</v>
      </c>
      <c r="Q207" s="1" t="n">
        <v>0</v>
      </c>
      <c r="R207" s="1" t="s">
        <v>960</v>
      </c>
      <c r="S207" s="1" t="n">
        <v>20251126183209</v>
      </c>
      <c r="T207" s="2" t="s">
        <v>532</v>
      </c>
      <c r="U207" s="2" t="s">
        <v>533</v>
      </c>
      <c r="W207" s="2" t="s">
        <v>509</v>
      </c>
      <c r="X207" s="2" t="n">
        <v>361788</v>
      </c>
      <c r="Y207" s="1" t="n">
        <v>1.7</v>
      </c>
      <c r="Z207" s="1" t="n">
        <v>7</v>
      </c>
      <c r="AA207" s="9" t="s">
        <v>475</v>
      </c>
    </row>
    <row r="208" customFormat="false" ht="18.7" hidden="false" customHeight="true" outlineLevel="0" collapsed="false">
      <c r="A208" s="1" t="n">
        <v>207</v>
      </c>
      <c r="B208" s="7" t="str">
        <f aca="false">HYPERLINK("https://mncourtfraud.com/file/27-CR-21-13146.pdf","27-CR-21-13146")</f>
        <v>27-CR-21-13146</v>
      </c>
      <c r="C208" s="1" t="n">
        <v>1</v>
      </c>
      <c r="D208" s="2" t="s">
        <v>12</v>
      </c>
      <c r="E208" s="8" t="n">
        <v>44692</v>
      </c>
      <c r="F208" s="2" t="s">
        <v>15</v>
      </c>
      <c r="G208" s="7" t="str">
        <f aca="false">HYPERLINK("https://mncourtfraud.com/file/MCRO_27-CR-21-13146_Order-Evaluation for Competency to Proceed (Rule 20.01)_2022-05-11_20251126183340.pdf","MCRO_27-CR-21-13146_Order-Evaluation for Competency to Proceed (Rule 20.01)_2022-05-11_20251126183340.pdf")</f>
        <v>MCRO_27-CR-21-13146_Order-Evaluation for Competency to Proceed (Rule 20.01)_2022-05-11_20251126183340.pdf</v>
      </c>
      <c r="H208" s="2" t="s">
        <v>534</v>
      </c>
      <c r="I208" s="2" t="s">
        <v>534</v>
      </c>
      <c r="J208" s="2" t="s">
        <v>535</v>
      </c>
      <c r="K208" s="2" t="s">
        <v>536</v>
      </c>
      <c r="L208" s="2" t="s">
        <v>469</v>
      </c>
      <c r="M208" s="8" t="n">
        <v>44692</v>
      </c>
      <c r="N208" s="1" t="s">
        <v>537</v>
      </c>
      <c r="O208" s="1" t="n">
        <v>0</v>
      </c>
      <c r="P208" s="1" t="s">
        <v>961</v>
      </c>
      <c r="Q208" s="1" t="n">
        <v>0</v>
      </c>
      <c r="R208" s="1" t="s">
        <v>962</v>
      </c>
      <c r="S208" s="1" t="n">
        <v>20251126183340</v>
      </c>
      <c r="T208" s="2" t="s">
        <v>540</v>
      </c>
      <c r="U208" s="2" t="s">
        <v>963</v>
      </c>
      <c r="W208" s="2" t="s">
        <v>542</v>
      </c>
      <c r="X208" s="2" t="n">
        <v>239819</v>
      </c>
      <c r="Y208" s="1" t="n">
        <v>1.6</v>
      </c>
      <c r="Z208" s="1" t="n">
        <v>2</v>
      </c>
    </row>
    <row r="209" customFormat="false" ht="18.7" hidden="false" customHeight="true" outlineLevel="0" collapsed="false">
      <c r="A209" s="1" t="n">
        <v>208</v>
      </c>
      <c r="B209" s="7" t="str">
        <f aca="false">HYPERLINK("https://mncourtfraud.com/file/27-CR-21-13146.pdf","27-CR-21-13146")</f>
        <v>27-CR-21-13146</v>
      </c>
      <c r="C209" s="1" t="n">
        <v>1</v>
      </c>
      <c r="D209" s="2" t="s">
        <v>12</v>
      </c>
      <c r="E209" s="8" t="n">
        <v>44895</v>
      </c>
      <c r="F209" s="2" t="s">
        <v>15</v>
      </c>
      <c r="G209" s="7" t="str">
        <f aca="false">HYPERLINK("https://mncourtfraud.com/file/MCRO_27-CR-21-13146_Order-Evaluation for Competency to Proceed (Rule 20.01)_2022-11-30_20251126183348.pdf","MCRO_27-CR-21-13146_Order-Evaluation for Competency to Proceed (Rule 20.01)_2022-11-30_20251126183348.pdf")</f>
        <v>MCRO_27-CR-21-13146_Order-Evaluation for Competency to Proceed (Rule 20.01)_2022-11-30_20251126183348.pdf</v>
      </c>
      <c r="H209" s="2" t="s">
        <v>543</v>
      </c>
      <c r="I209" s="2" t="s">
        <v>544</v>
      </c>
      <c r="J209" s="2" t="s">
        <v>519</v>
      </c>
      <c r="K209" s="2" t="s">
        <v>520</v>
      </c>
      <c r="L209" s="2" t="s">
        <v>469</v>
      </c>
      <c r="M209" s="8" t="n">
        <v>44895</v>
      </c>
      <c r="N209" s="1" t="s">
        <v>545</v>
      </c>
      <c r="O209" s="1" t="n">
        <v>0</v>
      </c>
      <c r="P209" s="1" t="s">
        <v>546</v>
      </c>
      <c r="Q209" s="1" t="n">
        <v>0</v>
      </c>
      <c r="R209" s="1" t="s">
        <v>964</v>
      </c>
      <c r="S209" s="1" t="n">
        <v>20251126183348</v>
      </c>
      <c r="T209" s="2" t="s">
        <v>548</v>
      </c>
      <c r="U209" s="2" t="s">
        <v>549</v>
      </c>
      <c r="X209" s="2" t="n">
        <v>816996</v>
      </c>
      <c r="Y209" s="1" t="n">
        <v>1.7</v>
      </c>
      <c r="Z209" s="1" t="n">
        <v>2</v>
      </c>
      <c r="AA209" s="9" t="s">
        <v>475</v>
      </c>
    </row>
    <row r="210" customFormat="false" ht="18.7" hidden="false" customHeight="true" outlineLevel="0" collapsed="false">
      <c r="A210" s="1" t="n">
        <v>209</v>
      </c>
      <c r="B210" s="7" t="str">
        <f aca="false">HYPERLINK("https://mncourtfraud.com/file/27-CR-21-13146.pdf","27-CR-21-13146")</f>
        <v>27-CR-21-13146</v>
      </c>
      <c r="C210" s="1" t="n">
        <v>1</v>
      </c>
      <c r="D210" s="2" t="s">
        <v>12</v>
      </c>
      <c r="E210" s="8" t="n">
        <v>44999</v>
      </c>
      <c r="F210" s="2" t="s">
        <v>17</v>
      </c>
      <c r="G210" s="7" t="str">
        <f aca="false">HYPERLINK("https://mncourtfraud.com/file/MCRO_27-CR-21-13146_Returned Mail_2023-03-14_20251126183418.pdf","MCRO_27-CR-21-13146_Returned Mail_2023-03-14_20251126183418.pdf")</f>
        <v>MCRO_27-CR-21-13146_Returned Mail_2023-03-14_20251126183418.pdf</v>
      </c>
      <c r="J210" s="2" t="s">
        <v>498</v>
      </c>
      <c r="K210" s="2" t="s">
        <v>499</v>
      </c>
      <c r="L210" s="2" t="s">
        <v>469</v>
      </c>
      <c r="M210" s="8" t="n">
        <v>44999</v>
      </c>
      <c r="N210" s="1" t="s">
        <v>965</v>
      </c>
      <c r="O210" s="1" t="n">
        <v>7</v>
      </c>
      <c r="P210" s="1" t="s">
        <v>965</v>
      </c>
      <c r="Q210" s="1" t="n">
        <v>7</v>
      </c>
      <c r="R210" s="1" t="s">
        <v>966</v>
      </c>
      <c r="S210" s="1" t="n">
        <v>20251126183418</v>
      </c>
      <c r="T210" s="2" t="s">
        <v>967</v>
      </c>
      <c r="U210" s="2" t="s">
        <v>967</v>
      </c>
      <c r="X210" s="2" t="n">
        <v>260021</v>
      </c>
      <c r="Y210" s="1" t="n">
        <v>1.7</v>
      </c>
      <c r="Z210" s="1" t="n">
        <v>1</v>
      </c>
      <c r="AA210" s="9" t="s">
        <v>475</v>
      </c>
    </row>
    <row r="211" customFormat="false" ht="18.7" hidden="false" customHeight="true" outlineLevel="0" collapsed="false">
      <c r="A211" s="1" t="n">
        <v>210</v>
      </c>
      <c r="B211" s="7" t="str">
        <f aca="false">HYPERLINK("https://mncourtfraud.com/file/27-CR-21-13146.pdf","27-CR-21-13146")</f>
        <v>27-CR-21-13146</v>
      </c>
      <c r="C211" s="1" t="n">
        <v>1</v>
      </c>
      <c r="D211" s="2" t="s">
        <v>12</v>
      </c>
      <c r="E211" s="8" t="n">
        <v>45048</v>
      </c>
      <c r="F211" s="2" t="s">
        <v>80</v>
      </c>
      <c r="G211" s="7" t="str">
        <f aca="false">HYPERLINK("https://mncourtfraud.com/file/MCRO_27-CR-21-13146_Finding of Incompetency and Order_2023-05-02_20251126183156.pdf","MCRO_27-CR-21-13146_Finding of Incompetency and Order_2023-05-02_20251126183156.pdf")</f>
        <v>MCRO_27-CR-21-13146_Finding of Incompetency and Order_2023-05-02_20251126183156.pdf</v>
      </c>
      <c r="H211" s="2" t="s">
        <v>644</v>
      </c>
      <c r="I211" s="2" t="s">
        <v>644</v>
      </c>
      <c r="J211" s="2" t="s">
        <v>519</v>
      </c>
      <c r="K211" s="2" t="s">
        <v>520</v>
      </c>
      <c r="L211" s="2" t="s">
        <v>469</v>
      </c>
      <c r="M211" s="8" t="n">
        <v>45048</v>
      </c>
      <c r="N211" s="1" t="s">
        <v>645</v>
      </c>
      <c r="O211" s="1" t="n">
        <v>0</v>
      </c>
      <c r="P211" s="1" t="s">
        <v>646</v>
      </c>
      <c r="Q211" s="1" t="n">
        <v>0</v>
      </c>
      <c r="R211" s="1" t="s">
        <v>968</v>
      </c>
      <c r="S211" s="1" t="n">
        <v>20251126183156</v>
      </c>
      <c r="T211" s="2" t="s">
        <v>648</v>
      </c>
      <c r="U211" s="2" t="s">
        <v>649</v>
      </c>
      <c r="W211" s="2" t="s">
        <v>650</v>
      </c>
      <c r="X211" s="2" t="n">
        <v>976544</v>
      </c>
      <c r="Y211" s="1" t="n">
        <v>1.7</v>
      </c>
      <c r="Z211" s="1" t="n">
        <v>6</v>
      </c>
      <c r="AA211" s="9" t="s">
        <v>475</v>
      </c>
    </row>
    <row r="212" customFormat="false" ht="18.7" hidden="false" customHeight="true" outlineLevel="0" collapsed="false">
      <c r="A212" s="1" t="n">
        <v>211</v>
      </c>
      <c r="B212" s="7" t="str">
        <f aca="false">HYPERLINK("https://mncourtfraud.com/file/27-CR-21-13146.pdf","27-CR-21-13146")</f>
        <v>27-CR-21-13146</v>
      </c>
      <c r="C212" s="1" t="n">
        <v>1</v>
      </c>
      <c r="D212" s="2" t="s">
        <v>12</v>
      </c>
      <c r="E212" s="8" t="n">
        <v>45093</v>
      </c>
      <c r="F212" s="2" t="s">
        <v>82</v>
      </c>
      <c r="G212" s="7" t="str">
        <f aca="false">HYPERLINK("https://mncourtfraud.com/file/MCRO_27-CR-21-13146_Notice of Case Reassignment_2023-06-16_20251126183231.pdf","MCRO_27-CR-21-13146_Notice of Case Reassignment_2023-06-16_20251126183231.pdf")</f>
        <v>MCRO_27-CR-21-13146_Notice of Case Reassignment_2023-06-16_20251126183231.pdf</v>
      </c>
      <c r="H212" s="2" t="s">
        <v>651</v>
      </c>
      <c r="I212" s="2" t="s">
        <v>651</v>
      </c>
      <c r="J212" s="2" t="s">
        <v>535</v>
      </c>
      <c r="K212" s="2" t="s">
        <v>652</v>
      </c>
      <c r="L212" s="2" t="s">
        <v>469</v>
      </c>
      <c r="M212" s="8" t="n">
        <v>45093</v>
      </c>
      <c r="N212" s="1" t="s">
        <v>653</v>
      </c>
      <c r="O212" s="1" t="n">
        <v>5</v>
      </c>
      <c r="P212" s="1" t="s">
        <v>653</v>
      </c>
      <c r="Q212" s="1" t="n">
        <v>5</v>
      </c>
      <c r="R212" s="1" t="s">
        <v>969</v>
      </c>
      <c r="S212" s="1" t="n">
        <v>20251126183231</v>
      </c>
      <c r="T212" s="2" t="s">
        <v>970</v>
      </c>
      <c r="U212" s="2" t="s">
        <v>971</v>
      </c>
      <c r="W212" s="2" t="s">
        <v>657</v>
      </c>
      <c r="X212" s="2" t="n">
        <v>113631</v>
      </c>
      <c r="Y212" s="1" t="n">
        <v>1.6</v>
      </c>
      <c r="Z212" s="1" t="n">
        <v>1</v>
      </c>
    </row>
    <row r="213" customFormat="false" ht="18.7" hidden="false" customHeight="true" outlineLevel="0" collapsed="false">
      <c r="A213" s="1" t="n">
        <v>212</v>
      </c>
      <c r="B213" s="7" t="str">
        <f aca="false">HYPERLINK("https://mncourtfraud.com/file/27-CR-21-13146.pdf","27-CR-21-13146")</f>
        <v>27-CR-21-13146</v>
      </c>
      <c r="C213" s="1" t="n">
        <v>1</v>
      </c>
      <c r="D213" s="2" t="s">
        <v>12</v>
      </c>
      <c r="E213" s="8" t="n">
        <v>45160</v>
      </c>
      <c r="F213" s="2" t="s">
        <v>15</v>
      </c>
      <c r="G213" s="7" t="str">
        <f aca="false">HYPERLINK("https://mncourtfraud.com/file/MCRO_27-CR-21-13146_Order-Evaluation for Competency to Proceed (Rule 20.01)_2023-08-22_20251126183356.pdf","MCRO_27-CR-21-13146_Order-Evaluation for Competency to Proceed (Rule 20.01)_2023-08-22_20251126183356.pdf")</f>
        <v>MCRO_27-CR-21-13146_Order-Evaluation for Competency to Proceed (Rule 20.01)_2023-08-22_20251126183356.pdf</v>
      </c>
      <c r="H213" s="2" t="s">
        <v>658</v>
      </c>
      <c r="I213" s="2" t="s">
        <v>659</v>
      </c>
      <c r="J213" s="2" t="s">
        <v>519</v>
      </c>
      <c r="K213" s="2" t="s">
        <v>520</v>
      </c>
      <c r="L213" s="2" t="s">
        <v>469</v>
      </c>
      <c r="M213" s="8" t="n">
        <v>45160</v>
      </c>
      <c r="N213" s="1" t="s">
        <v>660</v>
      </c>
      <c r="O213" s="1" t="n">
        <v>0</v>
      </c>
      <c r="P213" s="1" t="s">
        <v>661</v>
      </c>
      <c r="Q213" s="1" t="n">
        <v>0</v>
      </c>
      <c r="R213" s="1" t="s">
        <v>972</v>
      </c>
      <c r="S213" s="1" t="n">
        <v>20251126183356</v>
      </c>
      <c r="T213" s="2" t="s">
        <v>663</v>
      </c>
      <c r="U213" s="2" t="s">
        <v>664</v>
      </c>
      <c r="X213" s="2" t="n">
        <v>876405</v>
      </c>
      <c r="Y213" s="1" t="n">
        <v>1.7</v>
      </c>
      <c r="Z213" s="1" t="n">
        <v>2</v>
      </c>
      <c r="AA213" s="9" t="s">
        <v>475</v>
      </c>
    </row>
    <row r="214" customFormat="false" ht="18.7" hidden="false" customHeight="true" outlineLevel="0" collapsed="false">
      <c r="A214" s="1" t="n">
        <v>213</v>
      </c>
      <c r="B214" s="7" t="str">
        <f aca="false">HYPERLINK("https://mncourtfraud.com/file/27-CR-21-13146.pdf","27-CR-21-13146")</f>
        <v>27-CR-21-13146</v>
      </c>
      <c r="C214" s="1" t="n">
        <v>1</v>
      </c>
      <c r="D214" s="2" t="s">
        <v>12</v>
      </c>
      <c r="E214" s="8" t="n">
        <v>45412</v>
      </c>
      <c r="F214" s="2" t="s">
        <v>24</v>
      </c>
      <c r="G214" s="7" t="str">
        <f aca="false">HYPERLINK("https://mncourtfraud.com/file/MCRO_27-CR-21-13146_Order for Conditional Release_2024-04-30_20251126183251.pdf","MCRO_27-CR-21-13146_Order for Conditional Release_2024-04-30_20251126183251.pdf")</f>
        <v>MCRO_27-CR-21-13146_Order for Conditional Release_2024-04-30_20251126183251.pdf</v>
      </c>
      <c r="I214" s="2" t="s">
        <v>481</v>
      </c>
      <c r="J214" s="2" t="s">
        <v>481</v>
      </c>
      <c r="K214" s="2" t="s">
        <v>482</v>
      </c>
      <c r="L214" s="2" t="s">
        <v>469</v>
      </c>
      <c r="M214" s="8" t="n">
        <v>45412</v>
      </c>
      <c r="N214" s="1" t="s">
        <v>665</v>
      </c>
      <c r="O214" s="1" t="n">
        <v>0</v>
      </c>
      <c r="P214" s="1" t="s">
        <v>665</v>
      </c>
      <c r="Q214" s="1" t="n">
        <v>0</v>
      </c>
      <c r="R214" s="1" t="s">
        <v>973</v>
      </c>
      <c r="S214" s="1" t="n">
        <v>20251126183251</v>
      </c>
      <c r="T214" s="2" t="s">
        <v>667</v>
      </c>
      <c r="U214" s="2" t="s">
        <v>668</v>
      </c>
      <c r="X214" s="2" t="n">
        <v>150531</v>
      </c>
      <c r="Y214" s="1" t="n">
        <v>1.5</v>
      </c>
      <c r="Z214" s="1" t="n">
        <v>2</v>
      </c>
    </row>
    <row r="215" customFormat="false" ht="18.7" hidden="false" customHeight="true" outlineLevel="0" collapsed="false">
      <c r="A215" s="1" t="n">
        <v>214</v>
      </c>
      <c r="B215" s="7" t="str">
        <f aca="false">HYPERLINK("https://mncourtfraud.com/file/27-CR-21-13146.pdf","27-CR-21-13146")</f>
        <v>27-CR-21-13146</v>
      </c>
      <c r="C215" s="1" t="n">
        <v>1</v>
      </c>
      <c r="D215" s="2" t="s">
        <v>12</v>
      </c>
      <c r="E215" s="8" t="n">
        <v>45412</v>
      </c>
      <c r="F215" s="2" t="s">
        <v>15</v>
      </c>
      <c r="G215" s="7" t="str">
        <f aca="false">HYPERLINK("https://mncourtfraud.com/file/MCRO_27-CR-21-13146_Order-Evaluation for Competency to Proceed (Rule 20.01)_2024-04-30_20251126183404.pdf","MCRO_27-CR-21-13146_Order-Evaluation for Competency to Proceed (Rule 20.01)_2024-04-30_20251126183404.pdf")</f>
        <v>MCRO_27-CR-21-13146_Order-Evaluation for Competency to Proceed (Rule 20.01)_2024-04-30_20251126183404.pdf</v>
      </c>
      <c r="I215" s="2" t="s">
        <v>481</v>
      </c>
      <c r="J215" s="2" t="s">
        <v>481</v>
      </c>
      <c r="K215" s="2" t="s">
        <v>482</v>
      </c>
      <c r="L215" s="2" t="s">
        <v>469</v>
      </c>
      <c r="M215" s="8" t="n">
        <v>45412</v>
      </c>
      <c r="N215" s="1" t="s">
        <v>665</v>
      </c>
      <c r="O215" s="1" t="n">
        <v>0</v>
      </c>
      <c r="P215" s="1" t="s">
        <v>665</v>
      </c>
      <c r="Q215" s="1" t="n">
        <v>0</v>
      </c>
      <c r="R215" s="1" t="s">
        <v>974</v>
      </c>
      <c r="S215" s="1" t="n">
        <v>20251126183404</v>
      </c>
      <c r="T215" s="2" t="s">
        <v>670</v>
      </c>
      <c r="U215" s="2" t="s">
        <v>671</v>
      </c>
      <c r="X215" s="2" t="n">
        <v>219520</v>
      </c>
      <c r="Y215" s="1" t="n">
        <v>1.5</v>
      </c>
      <c r="Z215" s="1" t="n">
        <v>3</v>
      </c>
    </row>
    <row r="216" customFormat="false" ht="18.7" hidden="false" customHeight="true" outlineLevel="0" collapsed="false">
      <c r="A216" s="1" t="n">
        <v>215</v>
      </c>
      <c r="B216" s="7" t="str">
        <f aca="false">HYPERLINK("https://mncourtfraud.com/file/27-CR-21-13147.pdf","27-CR-21-13147")</f>
        <v>27-CR-21-13147</v>
      </c>
      <c r="C216" s="1" t="n">
        <v>1</v>
      </c>
      <c r="D216" s="2" t="s">
        <v>12</v>
      </c>
      <c r="E216" s="8" t="n">
        <v>44396</v>
      </c>
      <c r="F216" s="2" t="s">
        <v>15</v>
      </c>
      <c r="G216" s="7" t="str">
        <f aca="false">HYPERLINK("https://mncourtfraud.com/file/MCRO_27-CR-21-13147_Order-Evaluation for Competency to Proceed (Rule 20.01)_2021-07-19_20251126183607.pdf","MCRO_27-CR-21-13147_Order-Evaluation for Competency to Proceed (Rule 20.01)_2021-07-19_20251126183607.pdf")</f>
        <v>MCRO_27-CR-21-13147_Order-Evaluation for Competency to Proceed (Rule 20.01)_2021-07-19_20251126183607.pdf</v>
      </c>
      <c r="J216" s="2" t="s">
        <v>498</v>
      </c>
      <c r="K216" s="2" t="s">
        <v>499</v>
      </c>
      <c r="L216" s="2" t="s">
        <v>469</v>
      </c>
      <c r="M216" s="8" t="n">
        <v>44396</v>
      </c>
      <c r="N216" s="1" t="s">
        <v>975</v>
      </c>
      <c r="O216" s="1" t="n">
        <v>0</v>
      </c>
      <c r="P216" s="1" t="s">
        <v>975</v>
      </c>
      <c r="Q216" s="1" t="n">
        <v>0</v>
      </c>
      <c r="R216" s="1" t="s">
        <v>976</v>
      </c>
      <c r="S216" s="1" t="n">
        <v>20251126183607</v>
      </c>
      <c r="T216" s="2" t="s">
        <v>977</v>
      </c>
      <c r="U216" s="2" t="s">
        <v>977</v>
      </c>
      <c r="X216" s="2" t="n">
        <v>196867</v>
      </c>
      <c r="Y216" s="1" t="n">
        <v>1.7</v>
      </c>
      <c r="Z216" s="1" t="n">
        <v>2</v>
      </c>
      <c r="AA216" s="9" t="s">
        <v>475</v>
      </c>
    </row>
    <row r="217" customFormat="false" ht="18.7" hidden="false" customHeight="true" outlineLevel="0" collapsed="false">
      <c r="A217" s="1" t="n">
        <v>216</v>
      </c>
      <c r="B217" s="7" t="str">
        <f aca="false">HYPERLINK("https://mncourtfraud.com/file/27-CR-21-13147.pdf","27-CR-21-13147")</f>
        <v>27-CR-21-13147</v>
      </c>
      <c r="C217" s="1" t="n">
        <v>1</v>
      </c>
      <c r="D217" s="2" t="s">
        <v>12</v>
      </c>
      <c r="E217" s="8" t="n">
        <v>44405</v>
      </c>
      <c r="F217" s="2" t="s">
        <v>145</v>
      </c>
      <c r="G217" s="7" t="str">
        <f aca="false">HYPERLINK("https://mncourtfraud.com/file/MCRO_27-CR-21-13147_Demand or Request for Discovery_2021-07-28_20251126183447.pdf","MCRO_27-CR-21-13147_Demand or Request for Discovery_2021-07-28_20251126183447.pdf")</f>
        <v>MCRO_27-CR-21-13147_Demand or Request for Discovery_2021-07-28_20251126183447.pdf</v>
      </c>
      <c r="H217" s="2" t="s">
        <v>796</v>
      </c>
      <c r="I217" s="2" t="s">
        <v>796</v>
      </c>
      <c r="J217" s="2" t="s">
        <v>797</v>
      </c>
      <c r="K217" s="2" t="s">
        <v>798</v>
      </c>
      <c r="L217" s="2" t="s">
        <v>469</v>
      </c>
      <c r="M217" s="8" t="n">
        <v>44405</v>
      </c>
      <c r="N217" s="1" t="s">
        <v>978</v>
      </c>
      <c r="O217" s="1" t="n">
        <v>0</v>
      </c>
      <c r="P217" s="1" t="s">
        <v>979</v>
      </c>
      <c r="Q217" s="1" t="n">
        <v>0</v>
      </c>
      <c r="R217" s="1" t="s">
        <v>980</v>
      </c>
      <c r="S217" s="1" t="n">
        <v>20251126183447</v>
      </c>
      <c r="T217" s="2" t="s">
        <v>981</v>
      </c>
      <c r="U217" s="2" t="s">
        <v>982</v>
      </c>
      <c r="V217" s="2" t="s">
        <v>804</v>
      </c>
      <c r="W217" s="2" t="s">
        <v>805</v>
      </c>
      <c r="X217" s="2" t="n">
        <v>315911</v>
      </c>
      <c r="Y217" s="1" t="n">
        <v>1.6</v>
      </c>
      <c r="Z217" s="1" t="n">
        <v>6</v>
      </c>
      <c r="AA217" s="9" t="s">
        <v>475</v>
      </c>
    </row>
    <row r="218" customFormat="false" ht="18.7" hidden="false" customHeight="true" outlineLevel="0" collapsed="false">
      <c r="A218" s="1" t="n">
        <v>217</v>
      </c>
      <c r="B218" s="7" t="str">
        <f aca="false">HYPERLINK("https://mncourtfraud.com/file/27-CR-21-13147.pdf","27-CR-21-13147")</f>
        <v>27-CR-21-13147</v>
      </c>
      <c r="C218" s="1" t="n">
        <v>1</v>
      </c>
      <c r="D218" s="2" t="s">
        <v>12</v>
      </c>
      <c r="E218" s="8" t="n">
        <v>44439</v>
      </c>
      <c r="F218" s="2" t="s">
        <v>19</v>
      </c>
      <c r="G218" s="7" t="str">
        <f aca="false">HYPERLINK("https://mncourtfraud.com/file/MCRO_27-CR-21-13147_Findings and Order_2021-08-31_20251126183518.pdf","MCRO_27-CR-21-13147_Findings and Order_2021-08-31_20251126183518.pdf")</f>
        <v>MCRO_27-CR-21-13147_Findings and Order_2021-08-31_20251126183518.pdf</v>
      </c>
      <c r="H218" s="2" t="s">
        <v>503</v>
      </c>
      <c r="I218" s="2" t="s">
        <v>503</v>
      </c>
      <c r="J218" s="2" t="s">
        <v>467</v>
      </c>
      <c r="K218" s="2" t="s">
        <v>468</v>
      </c>
      <c r="L218" s="2" t="s">
        <v>469</v>
      </c>
      <c r="M218" s="8" t="n">
        <v>44439</v>
      </c>
      <c r="N218" s="1" t="s">
        <v>504</v>
      </c>
      <c r="O218" s="1" t="n">
        <v>0</v>
      </c>
      <c r="P218" s="1" t="s">
        <v>505</v>
      </c>
      <c r="Q218" s="1" t="n">
        <v>0</v>
      </c>
      <c r="R218" s="1" t="s">
        <v>983</v>
      </c>
      <c r="S218" s="1" t="n">
        <v>20251126183518</v>
      </c>
      <c r="T218" s="2" t="s">
        <v>507</v>
      </c>
      <c r="U218" s="2" t="s">
        <v>508</v>
      </c>
      <c r="W218" s="2" t="s">
        <v>509</v>
      </c>
      <c r="X218" s="2" t="n">
        <v>375490</v>
      </c>
      <c r="Y218" s="1" t="n">
        <v>1.7</v>
      </c>
      <c r="Z218" s="1" t="n">
        <v>7</v>
      </c>
      <c r="AA218" s="9" t="s">
        <v>475</v>
      </c>
    </row>
    <row r="219" customFormat="false" ht="18.7" hidden="false" customHeight="true" outlineLevel="0" collapsed="false">
      <c r="A219" s="1" t="n">
        <v>218</v>
      </c>
      <c r="B219" s="7" t="str">
        <f aca="false">HYPERLINK("https://mncourtfraud.com/file/27-CR-21-13147.pdf","27-CR-21-13147")</f>
        <v>27-CR-21-13147</v>
      </c>
      <c r="C219" s="1" t="n">
        <v>1</v>
      </c>
      <c r="D219" s="2" t="s">
        <v>12</v>
      </c>
      <c r="E219" s="8" t="n">
        <v>44460</v>
      </c>
      <c r="F219" s="2" t="s">
        <v>24</v>
      </c>
      <c r="G219" s="7" t="str">
        <f aca="false">HYPERLINK("https://mncourtfraud.com/file/MCRO_27-CR-21-13147_Order for Conditional Release_2021-09-21_20251126183551.pdf","MCRO_27-CR-21-13147_Order for Conditional Release_2021-09-21_20251126183551.pdf")</f>
        <v>MCRO_27-CR-21-13147_Order for Conditional Release_2021-09-21_20251126183551.pdf</v>
      </c>
      <c r="I219" s="2" t="s">
        <v>481</v>
      </c>
      <c r="J219" s="2" t="s">
        <v>481</v>
      </c>
      <c r="K219" s="2" t="s">
        <v>482</v>
      </c>
      <c r="L219" s="2" t="s">
        <v>469</v>
      </c>
      <c r="M219" s="8" t="n">
        <v>44460</v>
      </c>
      <c r="N219" s="1" t="s">
        <v>510</v>
      </c>
      <c r="O219" s="1" t="n">
        <v>0</v>
      </c>
      <c r="P219" s="1" t="s">
        <v>511</v>
      </c>
      <c r="Q219" s="1" t="n">
        <v>0</v>
      </c>
      <c r="R219" s="1" t="s">
        <v>984</v>
      </c>
      <c r="S219" s="1" t="n">
        <v>20251126183551</v>
      </c>
      <c r="T219" s="2" t="s">
        <v>513</v>
      </c>
      <c r="U219" s="2" t="s">
        <v>514</v>
      </c>
      <c r="X219" s="2" t="n">
        <v>105849</v>
      </c>
      <c r="Y219" s="1" t="n">
        <v>1.5</v>
      </c>
      <c r="Z219" s="1" t="n">
        <v>1</v>
      </c>
    </row>
    <row r="220" customFormat="false" ht="18.7" hidden="false" customHeight="true" outlineLevel="0" collapsed="false">
      <c r="A220" s="1" t="n">
        <v>219</v>
      </c>
      <c r="B220" s="7" t="str">
        <f aca="false">HYPERLINK("https://mncourtfraud.com/file/27-CR-21-13147.pdf","27-CR-21-13147")</f>
        <v>27-CR-21-13147</v>
      </c>
      <c r="C220" s="1" t="n">
        <v>1</v>
      </c>
      <c r="D220" s="2" t="s">
        <v>12</v>
      </c>
      <c r="E220" s="8" t="n">
        <v>44468</v>
      </c>
      <c r="F220" s="2" t="s">
        <v>24</v>
      </c>
      <c r="G220" s="7" t="str">
        <f aca="false">HYPERLINK("https://mncourtfraud.com/file/MCRO_27-CR-21-13147_Order for Conditional Release_2021-09-29_20251126183556.pdf","MCRO_27-CR-21-13147_Order for Conditional Release_2021-09-29_20251126183556.pdf")</f>
        <v>MCRO_27-CR-21-13147_Order for Conditional Release_2021-09-29_20251126183556.pdf</v>
      </c>
      <c r="I220" s="2" t="s">
        <v>481</v>
      </c>
      <c r="J220" s="2" t="s">
        <v>481</v>
      </c>
      <c r="K220" s="2" t="s">
        <v>482</v>
      </c>
      <c r="L220" s="2" t="s">
        <v>469</v>
      </c>
      <c r="M220" s="8" t="n">
        <v>44468</v>
      </c>
      <c r="N220" s="1" t="s">
        <v>515</v>
      </c>
      <c r="O220" s="1" t="n">
        <v>0</v>
      </c>
      <c r="P220" s="1" t="s">
        <v>516</v>
      </c>
      <c r="Q220" s="1" t="n">
        <v>0</v>
      </c>
      <c r="R220" s="1" t="s">
        <v>985</v>
      </c>
      <c r="S220" s="1" t="n">
        <v>20251126183556</v>
      </c>
      <c r="T220" s="2" t="s">
        <v>513</v>
      </c>
      <c r="U220" s="2" t="s">
        <v>518</v>
      </c>
      <c r="X220" s="2" t="n">
        <v>151813</v>
      </c>
      <c r="Y220" s="1" t="n">
        <v>1.6</v>
      </c>
      <c r="Z220" s="1" t="n">
        <v>1</v>
      </c>
    </row>
    <row r="221" customFormat="false" ht="18.7" hidden="false" customHeight="true" outlineLevel="0" collapsed="false">
      <c r="A221" s="1" t="n">
        <v>220</v>
      </c>
      <c r="B221" s="7" t="str">
        <f aca="false">HYPERLINK("https://mncourtfraud.com/file/27-CR-21-13147.pdf","27-CR-21-13147")</f>
        <v>27-CR-21-13147</v>
      </c>
      <c r="C221" s="1" t="n">
        <v>1</v>
      </c>
      <c r="D221" s="2" t="s">
        <v>12</v>
      </c>
      <c r="E221" s="8" t="n">
        <v>44543</v>
      </c>
      <c r="F221" s="2" t="s">
        <v>15</v>
      </c>
      <c r="G221" s="7" t="str">
        <f aca="false">HYPERLINK("https://mncourtfraud.com/file/MCRO_27-CR-21-13147_Order-Evaluation for Competency to Proceed (Rule 20.01)_2021-12-13_20251126183615.pdf","MCRO_27-CR-21-13147_Order-Evaluation for Competency to Proceed (Rule 20.01)_2021-12-13_20251126183615.pdf")</f>
        <v>MCRO_27-CR-21-13147_Order-Evaluation for Competency to Proceed (Rule 20.01)_2021-12-13_20251126183615.pdf</v>
      </c>
      <c r="H221" s="2" t="s">
        <v>465</v>
      </c>
      <c r="I221" s="2" t="s">
        <v>466</v>
      </c>
      <c r="J221" s="2" t="s">
        <v>519</v>
      </c>
      <c r="K221" s="2" t="s">
        <v>520</v>
      </c>
      <c r="L221" s="2" t="s">
        <v>469</v>
      </c>
      <c r="M221" s="8" t="n">
        <v>44543</v>
      </c>
      <c r="N221" s="1" t="s">
        <v>521</v>
      </c>
      <c r="O221" s="1" t="n">
        <v>0</v>
      </c>
      <c r="P221" s="1" t="s">
        <v>986</v>
      </c>
      <c r="Q221" s="1" t="n">
        <v>0</v>
      </c>
      <c r="R221" s="1" t="s">
        <v>987</v>
      </c>
      <c r="S221" s="1" t="n">
        <v>20251126183615</v>
      </c>
      <c r="T221" s="2" t="s">
        <v>524</v>
      </c>
      <c r="U221" s="2" t="s">
        <v>988</v>
      </c>
      <c r="X221" s="2" t="n">
        <v>233838</v>
      </c>
      <c r="Y221" s="1" t="n">
        <v>1.7</v>
      </c>
      <c r="Z221" s="1" t="n">
        <v>2</v>
      </c>
      <c r="AA221" s="9" t="s">
        <v>475</v>
      </c>
    </row>
    <row r="222" customFormat="false" ht="18.7" hidden="false" customHeight="true" outlineLevel="0" collapsed="false">
      <c r="A222" s="1" t="n">
        <v>221</v>
      </c>
      <c r="B222" s="7" t="str">
        <f aca="false">HYPERLINK("https://mncourtfraud.com/file/27-CR-21-13147.pdf","27-CR-21-13147")</f>
        <v>27-CR-21-13147</v>
      </c>
      <c r="C222" s="1" t="n">
        <v>1</v>
      </c>
      <c r="D222" s="2" t="s">
        <v>12</v>
      </c>
      <c r="E222" s="8" t="n">
        <v>44558</v>
      </c>
      <c r="F222" s="2" t="s">
        <v>15</v>
      </c>
      <c r="G222" s="7" t="str">
        <f aca="false">HYPERLINK("https://mncourtfraud.com/file/MCRO_27-CR-21-13147_Order-Evaluation for Competency to Proceed (Rule 20.01)_2021-12-28_20251126183624.pdf","MCRO_27-CR-21-13147_Order-Evaluation for Competency to Proceed (Rule 20.01)_2021-12-28_20251126183624.pdf")</f>
        <v>MCRO_27-CR-21-13147_Order-Evaluation for Competency to Proceed (Rule 20.01)_2021-12-28_20251126183624.pdf</v>
      </c>
      <c r="J222" s="2" t="s">
        <v>498</v>
      </c>
      <c r="K222" s="2" t="s">
        <v>499</v>
      </c>
      <c r="L222" s="2" t="s">
        <v>469</v>
      </c>
      <c r="M222" s="8" t="n">
        <v>44558</v>
      </c>
      <c r="N222" s="1" t="s">
        <v>989</v>
      </c>
      <c r="O222" s="1" t="n">
        <v>0</v>
      </c>
      <c r="P222" s="1" t="s">
        <v>989</v>
      </c>
      <c r="Q222" s="1" t="n">
        <v>0</v>
      </c>
      <c r="R222" s="1" t="s">
        <v>990</v>
      </c>
      <c r="S222" s="1" t="n">
        <v>20251126183624</v>
      </c>
      <c r="T222" s="2" t="s">
        <v>991</v>
      </c>
      <c r="U222" s="2" t="s">
        <v>991</v>
      </c>
      <c r="X222" s="2" t="n">
        <v>239329</v>
      </c>
      <c r="Y222" s="1" t="n">
        <v>1.7</v>
      </c>
      <c r="Z222" s="1" t="n">
        <v>3</v>
      </c>
      <c r="AA222" s="9" t="s">
        <v>475</v>
      </c>
    </row>
    <row r="223" customFormat="false" ht="18.7" hidden="false" customHeight="true" outlineLevel="0" collapsed="false">
      <c r="A223" s="1" t="n">
        <v>222</v>
      </c>
      <c r="B223" s="7" t="str">
        <f aca="false">HYPERLINK("https://mncourtfraud.com/file/27-CR-21-13147.pdf","27-CR-21-13147")</f>
        <v>27-CR-21-13147</v>
      </c>
      <c r="C223" s="1" t="n">
        <v>1</v>
      </c>
      <c r="D223" s="2" t="s">
        <v>12</v>
      </c>
      <c r="E223" s="8" t="n">
        <v>44593</v>
      </c>
      <c r="F223" s="2" t="s">
        <v>19</v>
      </c>
      <c r="G223" s="7" t="str">
        <f aca="false">HYPERLINK("https://mncourtfraud.com/file/MCRO_27-CR-21-13147_Findings and Order_2022-02-01_20251126183510.pdf","MCRO_27-CR-21-13147_Findings and Order_2022-02-01_20251126183510.pdf")</f>
        <v>MCRO_27-CR-21-13147_Findings and Order_2022-02-01_20251126183510.pdf</v>
      </c>
      <c r="H223" s="2" t="s">
        <v>503</v>
      </c>
      <c r="I223" s="2" t="s">
        <v>503</v>
      </c>
      <c r="J223" s="2" t="s">
        <v>519</v>
      </c>
      <c r="K223" s="2" t="s">
        <v>520</v>
      </c>
      <c r="L223" s="2" t="s">
        <v>469</v>
      </c>
      <c r="M223" s="8" t="n">
        <v>44593</v>
      </c>
      <c r="N223" s="1" t="s">
        <v>529</v>
      </c>
      <c r="O223" s="1" t="n">
        <v>0</v>
      </c>
      <c r="P223" s="1" t="s">
        <v>530</v>
      </c>
      <c r="Q223" s="1" t="n">
        <v>0</v>
      </c>
      <c r="R223" s="1" t="s">
        <v>992</v>
      </c>
      <c r="S223" s="1" t="n">
        <v>20251126183510</v>
      </c>
      <c r="T223" s="2" t="s">
        <v>532</v>
      </c>
      <c r="U223" s="2" t="s">
        <v>533</v>
      </c>
      <c r="W223" s="2" t="s">
        <v>509</v>
      </c>
      <c r="X223" s="2" t="n">
        <v>361788</v>
      </c>
      <c r="Y223" s="1" t="n">
        <v>1.7</v>
      </c>
      <c r="Z223" s="1" t="n">
        <v>7</v>
      </c>
      <c r="AA223" s="9" t="s">
        <v>475</v>
      </c>
    </row>
    <row r="224" customFormat="false" ht="18.7" hidden="false" customHeight="true" outlineLevel="0" collapsed="false">
      <c r="A224" s="1" t="n">
        <v>223</v>
      </c>
      <c r="B224" s="7" t="str">
        <f aca="false">HYPERLINK("https://mncourtfraud.com/file/27-CR-21-13147.pdf","27-CR-21-13147")</f>
        <v>27-CR-21-13147</v>
      </c>
      <c r="C224" s="1" t="n">
        <v>1</v>
      </c>
      <c r="D224" s="2" t="s">
        <v>12</v>
      </c>
      <c r="E224" s="8" t="n">
        <v>44692</v>
      </c>
      <c r="F224" s="2" t="s">
        <v>15</v>
      </c>
      <c r="G224" s="7" t="str">
        <f aca="false">HYPERLINK("https://mncourtfraud.com/file/MCRO_27-CR-21-13147_Order-Evaluation for Competency to Proceed (Rule 20.01)_2022-05-11_20251126183632.pdf","MCRO_27-CR-21-13147_Order-Evaluation for Competency to Proceed (Rule 20.01)_2022-05-11_20251126183632.pdf")</f>
        <v>MCRO_27-CR-21-13147_Order-Evaluation for Competency to Proceed (Rule 20.01)_2022-05-11_20251126183632.pdf</v>
      </c>
      <c r="H224" s="2" t="s">
        <v>534</v>
      </c>
      <c r="I224" s="2" t="s">
        <v>534</v>
      </c>
      <c r="J224" s="2" t="s">
        <v>535</v>
      </c>
      <c r="K224" s="2" t="s">
        <v>536</v>
      </c>
      <c r="L224" s="2" t="s">
        <v>469</v>
      </c>
      <c r="M224" s="8" t="n">
        <v>44692</v>
      </c>
      <c r="N224" s="1" t="s">
        <v>537</v>
      </c>
      <c r="O224" s="1" t="n">
        <v>0</v>
      </c>
      <c r="P224" s="1" t="s">
        <v>993</v>
      </c>
      <c r="Q224" s="1" t="n">
        <v>0</v>
      </c>
      <c r="R224" s="1" t="s">
        <v>994</v>
      </c>
      <c r="S224" s="1" t="n">
        <v>20251126183632</v>
      </c>
      <c r="T224" s="2" t="s">
        <v>540</v>
      </c>
      <c r="U224" s="2" t="s">
        <v>995</v>
      </c>
      <c r="W224" s="2" t="s">
        <v>542</v>
      </c>
      <c r="X224" s="2" t="n">
        <v>239819</v>
      </c>
      <c r="Y224" s="1" t="n">
        <v>1.6</v>
      </c>
      <c r="Z224" s="1" t="n">
        <v>2</v>
      </c>
    </row>
    <row r="225" customFormat="false" ht="18.7" hidden="false" customHeight="true" outlineLevel="0" collapsed="false">
      <c r="A225" s="1" t="n">
        <v>224</v>
      </c>
      <c r="B225" s="7" t="str">
        <f aca="false">HYPERLINK("https://mncourtfraud.com/file/27-CR-21-13147.pdf","27-CR-21-13147")</f>
        <v>27-CR-21-13147</v>
      </c>
      <c r="C225" s="1" t="n">
        <v>1</v>
      </c>
      <c r="D225" s="2" t="s">
        <v>12</v>
      </c>
      <c r="E225" s="8" t="n">
        <v>44895</v>
      </c>
      <c r="F225" s="2" t="s">
        <v>15</v>
      </c>
      <c r="G225" s="7" t="str">
        <f aca="false">HYPERLINK("https://mncourtfraud.com/file/MCRO_27-CR-21-13147_Order-Evaluation for Competency to Proceed (Rule 20.01)_2022-11-30_20251126183640.pdf","MCRO_27-CR-21-13147_Order-Evaluation for Competency to Proceed (Rule 20.01)_2022-11-30_20251126183640.pdf")</f>
        <v>MCRO_27-CR-21-13147_Order-Evaluation for Competency to Proceed (Rule 20.01)_2022-11-30_20251126183640.pdf</v>
      </c>
      <c r="H225" s="2" t="s">
        <v>543</v>
      </c>
      <c r="I225" s="2" t="s">
        <v>544</v>
      </c>
      <c r="J225" s="2" t="s">
        <v>519</v>
      </c>
      <c r="K225" s="2" t="s">
        <v>520</v>
      </c>
      <c r="L225" s="2" t="s">
        <v>469</v>
      </c>
      <c r="M225" s="8" t="n">
        <v>44895</v>
      </c>
      <c r="N225" s="1" t="s">
        <v>545</v>
      </c>
      <c r="O225" s="1" t="n">
        <v>0</v>
      </c>
      <c r="P225" s="1" t="s">
        <v>546</v>
      </c>
      <c r="Q225" s="1" t="n">
        <v>0</v>
      </c>
      <c r="R225" s="1" t="s">
        <v>996</v>
      </c>
      <c r="S225" s="1" t="n">
        <v>20251126183640</v>
      </c>
      <c r="T225" s="2" t="s">
        <v>548</v>
      </c>
      <c r="U225" s="2" t="s">
        <v>549</v>
      </c>
      <c r="X225" s="2" t="n">
        <v>816996</v>
      </c>
      <c r="Y225" s="1" t="n">
        <v>1.7</v>
      </c>
      <c r="Z225" s="1" t="n">
        <v>2</v>
      </c>
      <c r="AA225" s="9" t="s">
        <v>475</v>
      </c>
    </row>
    <row r="226" customFormat="false" ht="18.7" hidden="false" customHeight="true" outlineLevel="0" collapsed="false">
      <c r="A226" s="1" t="n">
        <v>225</v>
      </c>
      <c r="B226" s="7" t="str">
        <f aca="false">HYPERLINK("https://mncourtfraud.com/file/27-CR-21-13147.pdf","27-CR-21-13147")</f>
        <v>27-CR-21-13147</v>
      </c>
      <c r="C226" s="1" t="n">
        <v>1</v>
      </c>
      <c r="D226" s="2" t="s">
        <v>12</v>
      </c>
      <c r="E226" s="8" t="n">
        <v>44999</v>
      </c>
      <c r="F226" s="2" t="s">
        <v>17</v>
      </c>
      <c r="G226" s="7" t="str">
        <f aca="false">HYPERLINK("https://mncourtfraud.com/file/MCRO_27-CR-21-13147_Returned Mail_2023-03-14_20251126183709.pdf","MCRO_27-CR-21-13147_Returned Mail_2023-03-14_20251126183709.pdf")</f>
        <v>MCRO_27-CR-21-13147_Returned Mail_2023-03-14_20251126183709.pdf</v>
      </c>
      <c r="J226" s="2" t="s">
        <v>498</v>
      </c>
      <c r="K226" s="2" t="s">
        <v>499</v>
      </c>
      <c r="L226" s="2" t="s">
        <v>469</v>
      </c>
      <c r="M226" s="8" t="n">
        <v>44999</v>
      </c>
      <c r="N226" s="1" t="s">
        <v>997</v>
      </c>
      <c r="O226" s="1" t="n">
        <v>7</v>
      </c>
      <c r="P226" s="1" t="s">
        <v>997</v>
      </c>
      <c r="Q226" s="1" t="n">
        <v>7</v>
      </c>
      <c r="R226" s="1" t="s">
        <v>998</v>
      </c>
      <c r="S226" s="1" t="n">
        <v>20251126183709</v>
      </c>
      <c r="T226" s="2" t="s">
        <v>999</v>
      </c>
      <c r="U226" s="2" t="s">
        <v>999</v>
      </c>
      <c r="X226" s="2" t="n">
        <v>268361</v>
      </c>
      <c r="Y226" s="1" t="n">
        <v>1.7</v>
      </c>
      <c r="Z226" s="1" t="n">
        <v>1</v>
      </c>
      <c r="AA226" s="9" t="s">
        <v>475</v>
      </c>
    </row>
    <row r="227" customFormat="false" ht="18.7" hidden="false" customHeight="true" outlineLevel="0" collapsed="false">
      <c r="A227" s="1" t="n">
        <v>226</v>
      </c>
      <c r="B227" s="7" t="str">
        <f aca="false">HYPERLINK("https://mncourtfraud.com/file/27-CR-21-13147.pdf","27-CR-21-13147")</f>
        <v>27-CR-21-13147</v>
      </c>
      <c r="C227" s="1" t="n">
        <v>1</v>
      </c>
      <c r="D227" s="2" t="s">
        <v>12</v>
      </c>
      <c r="E227" s="8" t="n">
        <v>45048</v>
      </c>
      <c r="F227" s="2" t="s">
        <v>80</v>
      </c>
      <c r="G227" s="7" t="str">
        <f aca="false">HYPERLINK("https://mncourtfraud.com/file/MCRO_27-CR-21-13147_Finding of Incompetency and Order_2023-05-02_20251126183457.pdf","MCRO_27-CR-21-13147_Finding of Incompetency and Order_2023-05-02_20251126183457.pdf")</f>
        <v>MCRO_27-CR-21-13147_Finding of Incompetency and Order_2023-05-02_20251126183457.pdf</v>
      </c>
      <c r="H227" s="2" t="s">
        <v>644</v>
      </c>
      <c r="I227" s="2" t="s">
        <v>644</v>
      </c>
      <c r="J227" s="2" t="s">
        <v>519</v>
      </c>
      <c r="K227" s="2" t="s">
        <v>520</v>
      </c>
      <c r="L227" s="2" t="s">
        <v>469</v>
      </c>
      <c r="M227" s="8" t="n">
        <v>45048</v>
      </c>
      <c r="N227" s="1" t="s">
        <v>645</v>
      </c>
      <c r="O227" s="1" t="n">
        <v>0</v>
      </c>
      <c r="P227" s="1" t="s">
        <v>646</v>
      </c>
      <c r="Q227" s="1" t="n">
        <v>0</v>
      </c>
      <c r="R227" s="1" t="s">
        <v>1000</v>
      </c>
      <c r="S227" s="1" t="n">
        <v>20251126183457</v>
      </c>
      <c r="T227" s="2" t="s">
        <v>648</v>
      </c>
      <c r="U227" s="2" t="s">
        <v>649</v>
      </c>
      <c r="W227" s="2" t="s">
        <v>650</v>
      </c>
      <c r="X227" s="2" t="n">
        <v>976544</v>
      </c>
      <c r="Y227" s="1" t="n">
        <v>1.7</v>
      </c>
      <c r="Z227" s="1" t="n">
        <v>6</v>
      </c>
      <c r="AA227" s="9" t="s">
        <v>475</v>
      </c>
    </row>
    <row r="228" customFormat="false" ht="18.7" hidden="false" customHeight="true" outlineLevel="0" collapsed="false">
      <c r="A228" s="1" t="n">
        <v>227</v>
      </c>
      <c r="B228" s="7" t="str">
        <f aca="false">HYPERLINK("https://mncourtfraud.com/file/27-CR-21-13147.pdf","27-CR-21-13147")</f>
        <v>27-CR-21-13147</v>
      </c>
      <c r="C228" s="1" t="n">
        <v>1</v>
      </c>
      <c r="D228" s="2" t="s">
        <v>12</v>
      </c>
      <c r="E228" s="8" t="n">
        <v>45093</v>
      </c>
      <c r="F228" s="2" t="s">
        <v>82</v>
      </c>
      <c r="G228" s="7" t="str">
        <f aca="false">HYPERLINK("https://mncourtfraud.com/file/MCRO_27-CR-21-13147_Notice of Case Reassignment_2023-06-16_20251126183529.pdf","MCRO_27-CR-21-13147_Notice of Case Reassignment_2023-06-16_20251126183529.pdf")</f>
        <v>MCRO_27-CR-21-13147_Notice of Case Reassignment_2023-06-16_20251126183529.pdf</v>
      </c>
      <c r="H228" s="2" t="s">
        <v>651</v>
      </c>
      <c r="I228" s="2" t="s">
        <v>651</v>
      </c>
      <c r="J228" s="2" t="s">
        <v>535</v>
      </c>
      <c r="K228" s="2" t="s">
        <v>652</v>
      </c>
      <c r="L228" s="2" t="s">
        <v>469</v>
      </c>
      <c r="M228" s="8" t="n">
        <v>45093</v>
      </c>
      <c r="N228" s="1" t="s">
        <v>653</v>
      </c>
      <c r="O228" s="1" t="n">
        <v>5</v>
      </c>
      <c r="P228" s="1" t="s">
        <v>1001</v>
      </c>
      <c r="Q228" s="1" t="n">
        <v>5</v>
      </c>
      <c r="R228" s="1" t="s">
        <v>1002</v>
      </c>
      <c r="S228" s="1" t="n">
        <v>20251126183529</v>
      </c>
      <c r="T228" s="2" t="s">
        <v>1003</v>
      </c>
      <c r="U228" s="2" t="s">
        <v>1004</v>
      </c>
      <c r="W228" s="2" t="s">
        <v>657</v>
      </c>
      <c r="X228" s="2" t="n">
        <v>113628</v>
      </c>
      <c r="Y228" s="1" t="n">
        <v>1.6</v>
      </c>
      <c r="Z228" s="1" t="n">
        <v>1</v>
      </c>
    </row>
    <row r="229" customFormat="false" ht="18.7" hidden="false" customHeight="true" outlineLevel="0" collapsed="false">
      <c r="A229" s="1" t="n">
        <v>228</v>
      </c>
      <c r="B229" s="7" t="str">
        <f aca="false">HYPERLINK("https://mncourtfraud.com/file/27-CR-21-13147.pdf","27-CR-21-13147")</f>
        <v>27-CR-21-13147</v>
      </c>
      <c r="C229" s="1" t="n">
        <v>1</v>
      </c>
      <c r="D229" s="2" t="s">
        <v>12</v>
      </c>
      <c r="E229" s="8" t="n">
        <v>45160</v>
      </c>
      <c r="F229" s="2" t="s">
        <v>15</v>
      </c>
      <c r="G229" s="7" t="str">
        <f aca="false">HYPERLINK("https://mncourtfraud.com/file/MCRO_27-CR-21-13147_Order-Evaluation for Competency to Proceed (Rule 20.01)_2023-08-22_20251126183648.pdf","MCRO_27-CR-21-13147_Order-Evaluation for Competency to Proceed (Rule 20.01)_2023-08-22_20251126183648.pdf")</f>
        <v>MCRO_27-CR-21-13147_Order-Evaluation for Competency to Proceed (Rule 20.01)_2023-08-22_20251126183648.pdf</v>
      </c>
      <c r="H229" s="2" t="s">
        <v>658</v>
      </c>
      <c r="I229" s="2" t="s">
        <v>659</v>
      </c>
      <c r="J229" s="2" t="s">
        <v>519</v>
      </c>
      <c r="K229" s="2" t="s">
        <v>520</v>
      </c>
      <c r="L229" s="2" t="s">
        <v>469</v>
      </c>
      <c r="M229" s="8" t="n">
        <v>45160</v>
      </c>
      <c r="N229" s="1" t="s">
        <v>660</v>
      </c>
      <c r="O229" s="1" t="n">
        <v>0</v>
      </c>
      <c r="P229" s="1" t="s">
        <v>661</v>
      </c>
      <c r="Q229" s="1" t="n">
        <v>0</v>
      </c>
      <c r="R229" s="1" t="s">
        <v>1005</v>
      </c>
      <c r="S229" s="1" t="n">
        <v>20251126183648</v>
      </c>
      <c r="T229" s="2" t="s">
        <v>663</v>
      </c>
      <c r="U229" s="2" t="s">
        <v>664</v>
      </c>
      <c r="X229" s="2" t="n">
        <v>876402</v>
      </c>
      <c r="Y229" s="1" t="n">
        <v>1.7</v>
      </c>
      <c r="Z229" s="1" t="n">
        <v>2</v>
      </c>
      <c r="AA229" s="9" t="s">
        <v>475</v>
      </c>
    </row>
    <row r="230" customFormat="false" ht="18.7" hidden="false" customHeight="true" outlineLevel="0" collapsed="false">
      <c r="A230" s="1" t="n">
        <v>229</v>
      </c>
      <c r="B230" s="7" t="str">
        <f aca="false">HYPERLINK("https://mncourtfraud.com/file/27-CR-21-13147.pdf","27-CR-21-13147")</f>
        <v>27-CR-21-13147</v>
      </c>
      <c r="C230" s="1" t="n">
        <v>1</v>
      </c>
      <c r="D230" s="2" t="s">
        <v>12</v>
      </c>
      <c r="E230" s="8" t="n">
        <v>45412</v>
      </c>
      <c r="F230" s="2" t="s">
        <v>24</v>
      </c>
      <c r="G230" s="7" t="str">
        <f aca="false">HYPERLINK("https://mncourtfraud.com/file/MCRO_27-CR-21-13147_Order for Conditional Release_2024-04-30_20251126183543.pdf","MCRO_27-CR-21-13147_Order for Conditional Release_2024-04-30_20251126183543.pdf")</f>
        <v>MCRO_27-CR-21-13147_Order for Conditional Release_2024-04-30_20251126183543.pdf</v>
      </c>
      <c r="I230" s="2" t="s">
        <v>481</v>
      </c>
      <c r="J230" s="2" t="s">
        <v>481</v>
      </c>
      <c r="K230" s="2" t="s">
        <v>482</v>
      </c>
      <c r="L230" s="2" t="s">
        <v>469</v>
      </c>
      <c r="M230" s="8" t="n">
        <v>45412</v>
      </c>
      <c r="N230" s="1" t="s">
        <v>665</v>
      </c>
      <c r="O230" s="1" t="n">
        <v>0</v>
      </c>
      <c r="P230" s="1" t="s">
        <v>665</v>
      </c>
      <c r="Q230" s="1" t="n">
        <v>0</v>
      </c>
      <c r="R230" s="1" t="s">
        <v>1006</v>
      </c>
      <c r="S230" s="1" t="n">
        <v>20251126183543</v>
      </c>
      <c r="T230" s="2" t="s">
        <v>667</v>
      </c>
      <c r="U230" s="2" t="s">
        <v>668</v>
      </c>
      <c r="X230" s="2" t="n">
        <v>150538</v>
      </c>
      <c r="Y230" s="1" t="n">
        <v>1.5</v>
      </c>
      <c r="Z230" s="1" t="n">
        <v>2</v>
      </c>
    </row>
    <row r="231" customFormat="false" ht="18.7" hidden="false" customHeight="true" outlineLevel="0" collapsed="false">
      <c r="A231" s="1" t="n">
        <v>230</v>
      </c>
      <c r="B231" s="7" t="str">
        <f aca="false">HYPERLINK("https://mncourtfraud.com/file/27-CR-21-13147.pdf","27-CR-21-13147")</f>
        <v>27-CR-21-13147</v>
      </c>
      <c r="C231" s="1" t="n">
        <v>1</v>
      </c>
      <c r="D231" s="2" t="s">
        <v>12</v>
      </c>
      <c r="E231" s="8" t="n">
        <v>45412</v>
      </c>
      <c r="F231" s="2" t="s">
        <v>15</v>
      </c>
      <c r="G231" s="7" t="str">
        <f aca="false">HYPERLINK("https://mncourtfraud.com/file/MCRO_27-CR-21-13147_Order-Evaluation for Competency to Proceed (Rule 20.01)_2024-04-30_20251126183656.pdf","MCRO_27-CR-21-13147_Order-Evaluation for Competency to Proceed (Rule 20.01)_2024-04-30_20251126183656.pdf")</f>
        <v>MCRO_27-CR-21-13147_Order-Evaluation for Competency to Proceed (Rule 20.01)_2024-04-30_20251126183656.pdf</v>
      </c>
      <c r="I231" s="2" t="s">
        <v>481</v>
      </c>
      <c r="J231" s="2" t="s">
        <v>481</v>
      </c>
      <c r="K231" s="2" t="s">
        <v>482</v>
      </c>
      <c r="L231" s="2" t="s">
        <v>469</v>
      </c>
      <c r="M231" s="8" t="n">
        <v>45412</v>
      </c>
      <c r="N231" s="1" t="s">
        <v>665</v>
      </c>
      <c r="O231" s="1" t="n">
        <v>0</v>
      </c>
      <c r="P231" s="1" t="s">
        <v>665</v>
      </c>
      <c r="Q231" s="1" t="n">
        <v>0</v>
      </c>
      <c r="R231" s="1" t="s">
        <v>1007</v>
      </c>
      <c r="S231" s="1" t="n">
        <v>20251126183656</v>
      </c>
      <c r="T231" s="2" t="s">
        <v>670</v>
      </c>
      <c r="U231" s="2" t="s">
        <v>671</v>
      </c>
      <c r="X231" s="2" t="n">
        <v>219520</v>
      </c>
      <c r="Y231" s="1" t="n">
        <v>1.5</v>
      </c>
      <c r="Z231" s="1" t="n">
        <v>3</v>
      </c>
    </row>
    <row r="232" customFormat="false" ht="18.7" hidden="false" customHeight="true" outlineLevel="0" collapsed="false">
      <c r="A232" s="1" t="n">
        <v>231</v>
      </c>
      <c r="B232" s="7" t="str">
        <f aca="false">HYPERLINK("https://mncourtfraud.com/file/27-CR-21-13150.pdf","27-CR-21-13150")</f>
        <v>27-CR-21-13150</v>
      </c>
      <c r="C232" s="1" t="n">
        <v>1</v>
      </c>
      <c r="D232" s="2" t="s">
        <v>12</v>
      </c>
      <c r="E232" s="8" t="n">
        <v>44396</v>
      </c>
      <c r="F232" s="2" t="s">
        <v>15</v>
      </c>
      <c r="G232" s="7" t="str">
        <f aca="false">HYPERLINK("https://mncourtfraud.com/file/MCRO_27-CR-21-13150_Order-Evaluation for Competency to Proceed (Rule 20.01)_2021-07-19_20251126183857.pdf","MCRO_27-CR-21-13150_Order-Evaluation for Competency to Proceed (Rule 20.01)_2021-07-19_20251126183857.pdf")</f>
        <v>MCRO_27-CR-21-13150_Order-Evaluation for Competency to Proceed (Rule 20.01)_2021-07-19_20251126183857.pdf</v>
      </c>
      <c r="J232" s="2" t="s">
        <v>498</v>
      </c>
      <c r="K232" s="2" t="s">
        <v>499</v>
      </c>
      <c r="L232" s="2" t="s">
        <v>469</v>
      </c>
      <c r="M232" s="8" t="n">
        <v>44396</v>
      </c>
      <c r="N232" s="1" t="s">
        <v>1008</v>
      </c>
      <c r="O232" s="1" t="n">
        <v>0</v>
      </c>
      <c r="P232" s="1" t="s">
        <v>1008</v>
      </c>
      <c r="Q232" s="1" t="n">
        <v>0</v>
      </c>
      <c r="R232" s="1" t="s">
        <v>1009</v>
      </c>
      <c r="S232" s="1" t="n">
        <v>20251126183857</v>
      </c>
      <c r="T232" s="2" t="s">
        <v>1010</v>
      </c>
      <c r="U232" s="2" t="s">
        <v>1010</v>
      </c>
      <c r="X232" s="2" t="n">
        <v>195938</v>
      </c>
      <c r="Y232" s="1" t="n">
        <v>1.7</v>
      </c>
      <c r="Z232" s="1" t="n">
        <v>2</v>
      </c>
      <c r="AA232" s="9" t="s">
        <v>475</v>
      </c>
    </row>
    <row r="233" customFormat="false" ht="18.7" hidden="false" customHeight="true" outlineLevel="0" collapsed="false">
      <c r="A233" s="1" t="n">
        <v>232</v>
      </c>
      <c r="B233" s="7" t="str">
        <f aca="false">HYPERLINK("https://mncourtfraud.com/file/27-CR-21-13150.pdf","27-CR-21-13150")</f>
        <v>27-CR-21-13150</v>
      </c>
      <c r="C233" s="1" t="n">
        <v>1</v>
      </c>
      <c r="D233" s="2" t="s">
        <v>12</v>
      </c>
      <c r="E233" s="8" t="n">
        <v>44405</v>
      </c>
      <c r="F233" s="2" t="s">
        <v>145</v>
      </c>
      <c r="G233" s="7" t="str">
        <f aca="false">HYPERLINK("https://mncourtfraud.com/file/MCRO_27-CR-21-13150_Demand or Request for Discovery_2021-07-28_20251126183738.pdf","MCRO_27-CR-21-13150_Demand or Request for Discovery_2021-07-28_20251126183738.pdf")</f>
        <v>MCRO_27-CR-21-13150_Demand or Request for Discovery_2021-07-28_20251126183738.pdf</v>
      </c>
      <c r="H233" s="2" t="s">
        <v>796</v>
      </c>
      <c r="I233" s="2" t="s">
        <v>796</v>
      </c>
      <c r="J233" s="2" t="s">
        <v>797</v>
      </c>
      <c r="K233" s="2" t="s">
        <v>798</v>
      </c>
      <c r="L233" s="2" t="s">
        <v>469</v>
      </c>
      <c r="M233" s="8" t="n">
        <v>44405</v>
      </c>
      <c r="N233" s="1" t="s">
        <v>1011</v>
      </c>
      <c r="O233" s="1" t="n">
        <v>0</v>
      </c>
      <c r="P233" s="1" t="s">
        <v>1012</v>
      </c>
      <c r="Q233" s="1" t="n">
        <v>0</v>
      </c>
      <c r="R233" s="1" t="s">
        <v>1013</v>
      </c>
      <c r="S233" s="1" t="n">
        <v>20251126183738</v>
      </c>
      <c r="T233" s="2" t="s">
        <v>1014</v>
      </c>
      <c r="U233" s="2" t="s">
        <v>1015</v>
      </c>
      <c r="V233" s="2" t="s">
        <v>804</v>
      </c>
      <c r="W233" s="2" t="s">
        <v>805</v>
      </c>
      <c r="X233" s="2" t="n">
        <v>316437</v>
      </c>
      <c r="Y233" s="1" t="n">
        <v>1.6</v>
      </c>
      <c r="Z233" s="1" t="n">
        <v>6</v>
      </c>
      <c r="AA233" s="9" t="s">
        <v>475</v>
      </c>
    </row>
    <row r="234" customFormat="false" ht="18.7" hidden="false" customHeight="true" outlineLevel="0" collapsed="false">
      <c r="A234" s="1" t="n">
        <v>233</v>
      </c>
      <c r="B234" s="7" t="str">
        <f aca="false">HYPERLINK("https://mncourtfraud.com/file/27-CR-21-13150.pdf","27-CR-21-13150")</f>
        <v>27-CR-21-13150</v>
      </c>
      <c r="C234" s="1" t="n">
        <v>1</v>
      </c>
      <c r="D234" s="2" t="s">
        <v>12</v>
      </c>
      <c r="E234" s="8" t="n">
        <v>44439</v>
      </c>
      <c r="F234" s="2" t="s">
        <v>19</v>
      </c>
      <c r="G234" s="7" t="str">
        <f aca="false">HYPERLINK("https://mncourtfraud.com/file/MCRO_27-CR-21-13150_Findings and Order_2021-08-31_20251126183809.pdf","MCRO_27-CR-21-13150_Findings and Order_2021-08-31_20251126183809.pdf")</f>
        <v>MCRO_27-CR-21-13150_Findings and Order_2021-08-31_20251126183809.pdf</v>
      </c>
      <c r="H234" s="2" t="s">
        <v>503</v>
      </c>
      <c r="I234" s="2" t="s">
        <v>503</v>
      </c>
      <c r="J234" s="2" t="s">
        <v>467</v>
      </c>
      <c r="K234" s="2" t="s">
        <v>468</v>
      </c>
      <c r="L234" s="2" t="s">
        <v>469</v>
      </c>
      <c r="M234" s="8" t="n">
        <v>44439</v>
      </c>
      <c r="N234" s="1" t="s">
        <v>504</v>
      </c>
      <c r="O234" s="1" t="n">
        <v>0</v>
      </c>
      <c r="P234" s="1" t="s">
        <v>505</v>
      </c>
      <c r="Q234" s="1" t="n">
        <v>0</v>
      </c>
      <c r="R234" s="1" t="s">
        <v>1016</v>
      </c>
      <c r="S234" s="1" t="n">
        <v>20251126183809</v>
      </c>
      <c r="T234" s="2" t="s">
        <v>507</v>
      </c>
      <c r="U234" s="2" t="s">
        <v>508</v>
      </c>
      <c r="W234" s="2" t="s">
        <v>509</v>
      </c>
      <c r="X234" s="2" t="n">
        <v>375488</v>
      </c>
      <c r="Y234" s="1" t="n">
        <v>1.7</v>
      </c>
      <c r="Z234" s="1" t="n">
        <v>7</v>
      </c>
      <c r="AA234" s="9" t="s">
        <v>475</v>
      </c>
    </row>
    <row r="235" customFormat="false" ht="18.7" hidden="false" customHeight="true" outlineLevel="0" collapsed="false">
      <c r="A235" s="1" t="n">
        <v>234</v>
      </c>
      <c r="B235" s="7" t="str">
        <f aca="false">HYPERLINK("https://mncourtfraud.com/file/27-CR-21-13150.pdf","27-CR-21-13150")</f>
        <v>27-CR-21-13150</v>
      </c>
      <c r="C235" s="1" t="n">
        <v>1</v>
      </c>
      <c r="D235" s="2" t="s">
        <v>12</v>
      </c>
      <c r="E235" s="8" t="n">
        <v>44460</v>
      </c>
      <c r="F235" s="2" t="s">
        <v>24</v>
      </c>
      <c r="G235" s="7" t="str">
        <f aca="false">HYPERLINK("https://mncourtfraud.com/file/MCRO_27-CR-21-13150_Order for Conditional Release_2021-09-21_20251126183841.pdf","MCRO_27-CR-21-13150_Order for Conditional Release_2021-09-21_20251126183841.pdf")</f>
        <v>MCRO_27-CR-21-13150_Order for Conditional Release_2021-09-21_20251126183841.pdf</v>
      </c>
      <c r="I235" s="2" t="s">
        <v>481</v>
      </c>
      <c r="J235" s="2" t="s">
        <v>481</v>
      </c>
      <c r="K235" s="2" t="s">
        <v>482</v>
      </c>
      <c r="L235" s="2" t="s">
        <v>469</v>
      </c>
      <c r="M235" s="8" t="n">
        <v>44460</v>
      </c>
      <c r="N235" s="1" t="s">
        <v>510</v>
      </c>
      <c r="O235" s="1" t="n">
        <v>0</v>
      </c>
      <c r="P235" s="1" t="s">
        <v>511</v>
      </c>
      <c r="Q235" s="1" t="n">
        <v>0</v>
      </c>
      <c r="R235" s="1" t="s">
        <v>1017</v>
      </c>
      <c r="S235" s="1" t="n">
        <v>20251126183841</v>
      </c>
      <c r="T235" s="2" t="s">
        <v>513</v>
      </c>
      <c r="U235" s="2" t="s">
        <v>514</v>
      </c>
      <c r="X235" s="2" t="n">
        <v>105848</v>
      </c>
      <c r="Y235" s="1" t="n">
        <v>1.5</v>
      </c>
      <c r="Z235" s="1" t="n">
        <v>1</v>
      </c>
    </row>
    <row r="236" customFormat="false" ht="18.7" hidden="false" customHeight="true" outlineLevel="0" collapsed="false">
      <c r="A236" s="1" t="n">
        <v>235</v>
      </c>
      <c r="B236" s="7" t="str">
        <f aca="false">HYPERLINK("https://mncourtfraud.com/file/27-CR-21-13150.pdf","27-CR-21-13150")</f>
        <v>27-CR-21-13150</v>
      </c>
      <c r="C236" s="1" t="n">
        <v>1</v>
      </c>
      <c r="D236" s="2" t="s">
        <v>12</v>
      </c>
      <c r="E236" s="8" t="n">
        <v>44468</v>
      </c>
      <c r="F236" s="2" t="s">
        <v>24</v>
      </c>
      <c r="G236" s="7" t="str">
        <f aca="false">HYPERLINK("https://mncourtfraud.com/file/MCRO_27-CR-21-13150_Order for Conditional Release_2021-09-29_20251126183846.pdf","MCRO_27-CR-21-13150_Order for Conditional Release_2021-09-29_20251126183846.pdf")</f>
        <v>MCRO_27-CR-21-13150_Order for Conditional Release_2021-09-29_20251126183846.pdf</v>
      </c>
      <c r="I236" s="2" t="s">
        <v>481</v>
      </c>
      <c r="J236" s="2" t="s">
        <v>481</v>
      </c>
      <c r="K236" s="2" t="s">
        <v>482</v>
      </c>
      <c r="L236" s="2" t="s">
        <v>469</v>
      </c>
      <c r="M236" s="8" t="n">
        <v>44468</v>
      </c>
      <c r="N236" s="1" t="s">
        <v>515</v>
      </c>
      <c r="O236" s="1" t="n">
        <v>0</v>
      </c>
      <c r="P236" s="1" t="s">
        <v>516</v>
      </c>
      <c r="Q236" s="1" t="n">
        <v>0</v>
      </c>
      <c r="R236" s="1" t="s">
        <v>1018</v>
      </c>
      <c r="S236" s="1" t="n">
        <v>20251126183846</v>
      </c>
      <c r="T236" s="2" t="s">
        <v>513</v>
      </c>
      <c r="U236" s="2" t="s">
        <v>518</v>
      </c>
      <c r="X236" s="2" t="n">
        <v>151812</v>
      </c>
      <c r="Y236" s="1" t="n">
        <v>1.6</v>
      </c>
      <c r="Z236" s="1" t="n">
        <v>1</v>
      </c>
    </row>
    <row r="237" customFormat="false" ht="18.7" hidden="false" customHeight="true" outlineLevel="0" collapsed="false">
      <c r="A237" s="1" t="n">
        <v>236</v>
      </c>
      <c r="B237" s="7" t="str">
        <f aca="false">HYPERLINK("https://mncourtfraud.com/file/27-CR-21-13150.pdf","27-CR-21-13150")</f>
        <v>27-CR-21-13150</v>
      </c>
      <c r="C237" s="1" t="n">
        <v>1</v>
      </c>
      <c r="D237" s="2" t="s">
        <v>12</v>
      </c>
      <c r="E237" s="8" t="n">
        <v>44543</v>
      </c>
      <c r="F237" s="2" t="s">
        <v>15</v>
      </c>
      <c r="G237" s="7" t="str">
        <f aca="false">HYPERLINK("https://mncourtfraud.com/file/MCRO_27-CR-21-13150_Order-Evaluation for Competency to Proceed (Rule 20.01)_2021-12-13_20251126183906.pdf","MCRO_27-CR-21-13150_Order-Evaluation for Competency to Proceed (Rule 20.01)_2021-12-13_20251126183906.pdf")</f>
        <v>MCRO_27-CR-21-13150_Order-Evaluation for Competency to Proceed (Rule 20.01)_2021-12-13_20251126183906.pdf</v>
      </c>
      <c r="H237" s="2" t="s">
        <v>465</v>
      </c>
      <c r="I237" s="2" t="s">
        <v>466</v>
      </c>
      <c r="J237" s="2" t="s">
        <v>519</v>
      </c>
      <c r="K237" s="2" t="s">
        <v>520</v>
      </c>
      <c r="L237" s="2" t="s">
        <v>469</v>
      </c>
      <c r="M237" s="8" t="n">
        <v>44543</v>
      </c>
      <c r="N237" s="1" t="s">
        <v>521</v>
      </c>
      <c r="O237" s="1" t="n">
        <v>0</v>
      </c>
      <c r="P237" s="1" t="s">
        <v>1019</v>
      </c>
      <c r="Q237" s="1" t="n">
        <v>0</v>
      </c>
      <c r="R237" s="1" t="s">
        <v>1020</v>
      </c>
      <c r="S237" s="1" t="n">
        <v>20251126183906</v>
      </c>
      <c r="T237" s="2" t="s">
        <v>524</v>
      </c>
      <c r="U237" s="2" t="s">
        <v>1021</v>
      </c>
      <c r="X237" s="2" t="n">
        <v>233842</v>
      </c>
      <c r="Y237" s="1" t="n">
        <v>1.7</v>
      </c>
      <c r="Z237" s="1" t="n">
        <v>2</v>
      </c>
      <c r="AA237" s="9" t="s">
        <v>475</v>
      </c>
    </row>
    <row r="238" customFormat="false" ht="18.7" hidden="false" customHeight="true" outlineLevel="0" collapsed="false">
      <c r="A238" s="1" t="n">
        <v>237</v>
      </c>
      <c r="B238" s="7" t="str">
        <f aca="false">HYPERLINK("https://mncourtfraud.com/file/27-CR-21-13150.pdf","27-CR-21-13150")</f>
        <v>27-CR-21-13150</v>
      </c>
      <c r="C238" s="1" t="n">
        <v>1</v>
      </c>
      <c r="D238" s="2" t="s">
        <v>12</v>
      </c>
      <c r="E238" s="8" t="n">
        <v>44558</v>
      </c>
      <c r="F238" s="2" t="s">
        <v>15</v>
      </c>
      <c r="G238" s="7" t="str">
        <f aca="false">HYPERLINK("https://mncourtfraud.com/file/MCRO_27-CR-21-13150_Order-Evaluation for Competency to Proceed (Rule 20.01)_2021-12-28_20251126183913.pdf","MCRO_27-CR-21-13150_Order-Evaluation for Competency to Proceed (Rule 20.01)_2021-12-28_20251126183913.pdf")</f>
        <v>MCRO_27-CR-21-13150_Order-Evaluation for Competency to Proceed (Rule 20.01)_2021-12-28_20251126183913.pdf</v>
      </c>
      <c r="J238" s="2" t="s">
        <v>498</v>
      </c>
      <c r="K238" s="2" t="s">
        <v>499</v>
      </c>
      <c r="L238" s="2" t="s">
        <v>469</v>
      </c>
      <c r="M238" s="8" t="n">
        <v>44558</v>
      </c>
      <c r="N238" s="1" t="s">
        <v>1022</v>
      </c>
      <c r="O238" s="1" t="n">
        <v>0</v>
      </c>
      <c r="P238" s="1" t="s">
        <v>1022</v>
      </c>
      <c r="Q238" s="1" t="n">
        <v>0</v>
      </c>
      <c r="R238" s="1" t="s">
        <v>1023</v>
      </c>
      <c r="S238" s="1" t="n">
        <v>20251126183913</v>
      </c>
      <c r="T238" s="2" t="s">
        <v>1024</v>
      </c>
      <c r="U238" s="2" t="s">
        <v>1024</v>
      </c>
      <c r="X238" s="2" t="n">
        <v>242758</v>
      </c>
      <c r="Y238" s="1" t="n">
        <v>1.7</v>
      </c>
      <c r="Z238" s="1" t="n">
        <v>3</v>
      </c>
      <c r="AA238" s="9" t="s">
        <v>475</v>
      </c>
    </row>
    <row r="239" customFormat="false" ht="18.7" hidden="false" customHeight="true" outlineLevel="0" collapsed="false">
      <c r="A239" s="1" t="n">
        <v>238</v>
      </c>
      <c r="B239" s="7" t="str">
        <f aca="false">HYPERLINK("https://mncourtfraud.com/file/27-CR-21-13150.pdf","27-CR-21-13150")</f>
        <v>27-CR-21-13150</v>
      </c>
      <c r="C239" s="1" t="n">
        <v>1</v>
      </c>
      <c r="D239" s="2" t="s">
        <v>12</v>
      </c>
      <c r="E239" s="8" t="n">
        <v>44593</v>
      </c>
      <c r="F239" s="2" t="s">
        <v>19</v>
      </c>
      <c r="G239" s="7" t="str">
        <f aca="false">HYPERLINK("https://mncourtfraud.com/file/MCRO_27-CR-21-13150_Findings and Order_2022-02-01_20251126183801.pdf","MCRO_27-CR-21-13150_Findings and Order_2022-02-01_20251126183801.pdf")</f>
        <v>MCRO_27-CR-21-13150_Findings and Order_2022-02-01_20251126183801.pdf</v>
      </c>
      <c r="H239" s="2" t="s">
        <v>503</v>
      </c>
      <c r="I239" s="2" t="s">
        <v>503</v>
      </c>
      <c r="J239" s="2" t="s">
        <v>519</v>
      </c>
      <c r="K239" s="2" t="s">
        <v>520</v>
      </c>
      <c r="L239" s="2" t="s">
        <v>469</v>
      </c>
      <c r="M239" s="8" t="n">
        <v>44593</v>
      </c>
      <c r="N239" s="1" t="s">
        <v>529</v>
      </c>
      <c r="O239" s="1" t="n">
        <v>0</v>
      </c>
      <c r="P239" s="1" t="s">
        <v>530</v>
      </c>
      <c r="Q239" s="1" t="n">
        <v>0</v>
      </c>
      <c r="R239" s="1" t="s">
        <v>1025</v>
      </c>
      <c r="S239" s="1" t="n">
        <v>20251126183801</v>
      </c>
      <c r="T239" s="2" t="s">
        <v>532</v>
      </c>
      <c r="U239" s="2" t="s">
        <v>533</v>
      </c>
      <c r="W239" s="2" t="s">
        <v>509</v>
      </c>
      <c r="X239" s="2" t="n">
        <v>361786</v>
      </c>
      <c r="Y239" s="1" t="n">
        <v>1.7</v>
      </c>
      <c r="Z239" s="1" t="n">
        <v>7</v>
      </c>
      <c r="AA239" s="9" t="s">
        <v>475</v>
      </c>
    </row>
    <row r="240" customFormat="false" ht="18.7" hidden="false" customHeight="true" outlineLevel="0" collapsed="false">
      <c r="A240" s="1" t="n">
        <v>239</v>
      </c>
      <c r="B240" s="7" t="str">
        <f aca="false">HYPERLINK("https://mncourtfraud.com/file/27-CR-21-13150.pdf","27-CR-21-13150")</f>
        <v>27-CR-21-13150</v>
      </c>
      <c r="C240" s="1" t="n">
        <v>1</v>
      </c>
      <c r="D240" s="2" t="s">
        <v>12</v>
      </c>
      <c r="E240" s="8" t="n">
        <v>44692</v>
      </c>
      <c r="F240" s="2" t="s">
        <v>15</v>
      </c>
      <c r="G240" s="7" t="str">
        <f aca="false">HYPERLINK("https://mncourtfraud.com/file/MCRO_27-CR-21-13150_Order-Evaluation for Competency to Proceed (Rule 20.01)_2022-05-11_20251126183920.pdf","MCRO_27-CR-21-13150_Order-Evaluation for Competency to Proceed (Rule 20.01)_2022-05-11_20251126183920.pdf")</f>
        <v>MCRO_27-CR-21-13150_Order-Evaluation for Competency to Proceed (Rule 20.01)_2022-05-11_20251126183920.pdf</v>
      </c>
      <c r="H240" s="2" t="s">
        <v>534</v>
      </c>
      <c r="I240" s="2" t="s">
        <v>534</v>
      </c>
      <c r="J240" s="2" t="s">
        <v>535</v>
      </c>
      <c r="K240" s="2" t="s">
        <v>536</v>
      </c>
      <c r="L240" s="2" t="s">
        <v>469</v>
      </c>
      <c r="M240" s="8" t="n">
        <v>44692</v>
      </c>
      <c r="N240" s="1" t="s">
        <v>537</v>
      </c>
      <c r="O240" s="1" t="n">
        <v>0</v>
      </c>
      <c r="P240" s="1" t="s">
        <v>1026</v>
      </c>
      <c r="Q240" s="1" t="n">
        <v>0</v>
      </c>
      <c r="R240" s="1" t="s">
        <v>1027</v>
      </c>
      <c r="S240" s="1" t="n">
        <v>20251126183920</v>
      </c>
      <c r="T240" s="2" t="s">
        <v>540</v>
      </c>
      <c r="U240" s="2" t="s">
        <v>1028</v>
      </c>
      <c r="W240" s="2" t="s">
        <v>542</v>
      </c>
      <c r="X240" s="2" t="n">
        <v>239819</v>
      </c>
      <c r="Y240" s="1" t="n">
        <v>1.6</v>
      </c>
      <c r="Z240" s="1" t="n">
        <v>2</v>
      </c>
    </row>
    <row r="241" customFormat="false" ht="18.7" hidden="false" customHeight="true" outlineLevel="0" collapsed="false">
      <c r="A241" s="1" t="n">
        <v>240</v>
      </c>
      <c r="B241" s="7" t="str">
        <f aca="false">HYPERLINK("https://mncourtfraud.com/file/27-CR-21-13150.pdf","27-CR-21-13150")</f>
        <v>27-CR-21-13150</v>
      </c>
      <c r="C241" s="1" t="n">
        <v>1</v>
      </c>
      <c r="D241" s="2" t="s">
        <v>12</v>
      </c>
      <c r="E241" s="8" t="n">
        <v>44895</v>
      </c>
      <c r="F241" s="2" t="s">
        <v>15</v>
      </c>
      <c r="G241" s="7" t="str">
        <f aca="false">HYPERLINK("https://mncourtfraud.com/file/MCRO_27-CR-21-13150_Order-Evaluation for Competency to Proceed (Rule 20.01)_2022-11-30_20251126183927.pdf","MCRO_27-CR-21-13150_Order-Evaluation for Competency to Proceed (Rule 20.01)_2022-11-30_20251126183927.pdf")</f>
        <v>MCRO_27-CR-21-13150_Order-Evaluation for Competency to Proceed (Rule 20.01)_2022-11-30_20251126183927.pdf</v>
      </c>
      <c r="H241" s="2" t="s">
        <v>543</v>
      </c>
      <c r="I241" s="2" t="s">
        <v>544</v>
      </c>
      <c r="J241" s="2" t="s">
        <v>519</v>
      </c>
      <c r="K241" s="2" t="s">
        <v>520</v>
      </c>
      <c r="L241" s="2" t="s">
        <v>469</v>
      </c>
      <c r="M241" s="8" t="n">
        <v>44895</v>
      </c>
      <c r="N241" s="1" t="s">
        <v>545</v>
      </c>
      <c r="O241" s="1" t="n">
        <v>0</v>
      </c>
      <c r="P241" s="1" t="s">
        <v>546</v>
      </c>
      <c r="Q241" s="1" t="n">
        <v>0</v>
      </c>
      <c r="R241" s="1" t="s">
        <v>1029</v>
      </c>
      <c r="S241" s="1" t="n">
        <v>20251126183927</v>
      </c>
      <c r="T241" s="2" t="s">
        <v>548</v>
      </c>
      <c r="U241" s="2" t="s">
        <v>549</v>
      </c>
      <c r="X241" s="2" t="n">
        <v>816999</v>
      </c>
      <c r="Y241" s="1" t="n">
        <v>1.7</v>
      </c>
      <c r="Z241" s="1" t="n">
        <v>2</v>
      </c>
      <c r="AA241" s="9" t="s">
        <v>475</v>
      </c>
    </row>
    <row r="242" customFormat="false" ht="18.7" hidden="false" customHeight="true" outlineLevel="0" collapsed="false">
      <c r="A242" s="1" t="n">
        <v>241</v>
      </c>
      <c r="B242" s="7" t="str">
        <f aca="false">HYPERLINK("https://mncourtfraud.com/file/27-CR-21-13150.pdf","27-CR-21-13150")</f>
        <v>27-CR-21-13150</v>
      </c>
      <c r="C242" s="1" t="n">
        <v>1</v>
      </c>
      <c r="D242" s="2" t="s">
        <v>12</v>
      </c>
      <c r="E242" s="8" t="n">
        <v>45048</v>
      </c>
      <c r="F242" s="2" t="s">
        <v>80</v>
      </c>
      <c r="G242" s="7" t="str">
        <f aca="false">HYPERLINK("https://mncourtfraud.com/file/MCRO_27-CR-21-13150_Finding of Incompetency and Order_2023-05-02_20251126183749.pdf","MCRO_27-CR-21-13150_Finding of Incompetency and Order_2023-05-02_20251126183749.pdf")</f>
        <v>MCRO_27-CR-21-13150_Finding of Incompetency and Order_2023-05-02_20251126183749.pdf</v>
      </c>
      <c r="H242" s="2" t="s">
        <v>644</v>
      </c>
      <c r="I242" s="2" t="s">
        <v>644</v>
      </c>
      <c r="J242" s="2" t="s">
        <v>519</v>
      </c>
      <c r="K242" s="2" t="s">
        <v>520</v>
      </c>
      <c r="L242" s="2" t="s">
        <v>469</v>
      </c>
      <c r="M242" s="8" t="n">
        <v>45048</v>
      </c>
      <c r="N242" s="1" t="s">
        <v>645</v>
      </c>
      <c r="O242" s="1" t="n">
        <v>0</v>
      </c>
      <c r="P242" s="1" t="s">
        <v>646</v>
      </c>
      <c r="Q242" s="1" t="n">
        <v>0</v>
      </c>
      <c r="R242" s="1" t="s">
        <v>1030</v>
      </c>
      <c r="S242" s="1" t="n">
        <v>20251126183749</v>
      </c>
      <c r="T242" s="2" t="s">
        <v>648</v>
      </c>
      <c r="U242" s="2" t="s">
        <v>649</v>
      </c>
      <c r="W242" s="2" t="s">
        <v>650</v>
      </c>
      <c r="X242" s="2" t="n">
        <v>976547</v>
      </c>
      <c r="Y242" s="1" t="n">
        <v>1.7</v>
      </c>
      <c r="Z242" s="1" t="n">
        <v>6</v>
      </c>
      <c r="AA242" s="9" t="s">
        <v>475</v>
      </c>
    </row>
    <row r="243" customFormat="false" ht="18.7" hidden="false" customHeight="true" outlineLevel="0" collapsed="false">
      <c r="A243" s="1" t="n">
        <v>242</v>
      </c>
      <c r="B243" s="7" t="str">
        <f aca="false">HYPERLINK("https://mncourtfraud.com/file/27-CR-21-13150.pdf","27-CR-21-13150")</f>
        <v>27-CR-21-13150</v>
      </c>
      <c r="C243" s="1" t="n">
        <v>1</v>
      </c>
      <c r="D243" s="2" t="s">
        <v>12</v>
      </c>
      <c r="E243" s="8" t="n">
        <v>45093</v>
      </c>
      <c r="F243" s="2" t="s">
        <v>82</v>
      </c>
      <c r="G243" s="7" t="str">
        <f aca="false">HYPERLINK("https://mncourtfraud.com/file/MCRO_27-CR-21-13150_Notice of Case Reassignment_2023-06-16_20251126183821.pdf","MCRO_27-CR-21-13150_Notice of Case Reassignment_2023-06-16_20251126183821.pdf")</f>
        <v>MCRO_27-CR-21-13150_Notice of Case Reassignment_2023-06-16_20251126183821.pdf</v>
      </c>
      <c r="H243" s="2" t="s">
        <v>651</v>
      </c>
      <c r="I243" s="2" t="s">
        <v>651</v>
      </c>
      <c r="J243" s="2" t="s">
        <v>535</v>
      </c>
      <c r="K243" s="2" t="s">
        <v>652</v>
      </c>
      <c r="L243" s="2" t="s">
        <v>469</v>
      </c>
      <c r="M243" s="8" t="n">
        <v>45093</v>
      </c>
      <c r="N243" s="1" t="s">
        <v>1001</v>
      </c>
      <c r="O243" s="1" t="n">
        <v>5</v>
      </c>
      <c r="P243" s="1" t="s">
        <v>1001</v>
      </c>
      <c r="Q243" s="1" t="n">
        <v>5</v>
      </c>
      <c r="R243" s="1" t="s">
        <v>1031</v>
      </c>
      <c r="S243" s="1" t="n">
        <v>20251126183821</v>
      </c>
      <c r="T243" s="2" t="s">
        <v>1032</v>
      </c>
      <c r="U243" s="2" t="s">
        <v>1033</v>
      </c>
      <c r="W243" s="2" t="s">
        <v>657</v>
      </c>
      <c r="X243" s="2" t="n">
        <v>113629</v>
      </c>
      <c r="Y243" s="1" t="n">
        <v>1.6</v>
      </c>
      <c r="Z243" s="1" t="n">
        <v>1</v>
      </c>
    </row>
    <row r="244" customFormat="false" ht="18.7" hidden="false" customHeight="true" outlineLevel="0" collapsed="false">
      <c r="A244" s="1" t="n">
        <v>243</v>
      </c>
      <c r="B244" s="7" t="str">
        <f aca="false">HYPERLINK("https://mncourtfraud.com/file/27-CR-21-13150.pdf","27-CR-21-13150")</f>
        <v>27-CR-21-13150</v>
      </c>
      <c r="C244" s="1" t="n">
        <v>1</v>
      </c>
      <c r="D244" s="2" t="s">
        <v>12</v>
      </c>
      <c r="E244" s="8" t="n">
        <v>45160</v>
      </c>
      <c r="F244" s="2" t="s">
        <v>15</v>
      </c>
      <c r="G244" s="7" t="str">
        <f aca="false">HYPERLINK("https://mncourtfraud.com/file/MCRO_27-CR-21-13150_Order-Evaluation for Competency to Proceed (Rule 20.01)_2023-08-22_20251126183934.pdf","MCRO_27-CR-21-13150_Order-Evaluation for Competency to Proceed (Rule 20.01)_2023-08-22_20251126183934.pdf")</f>
        <v>MCRO_27-CR-21-13150_Order-Evaluation for Competency to Proceed (Rule 20.01)_2023-08-22_20251126183934.pdf</v>
      </c>
      <c r="H244" s="2" t="s">
        <v>658</v>
      </c>
      <c r="I244" s="2" t="s">
        <v>659</v>
      </c>
      <c r="J244" s="2" t="s">
        <v>519</v>
      </c>
      <c r="K244" s="2" t="s">
        <v>520</v>
      </c>
      <c r="L244" s="2" t="s">
        <v>469</v>
      </c>
      <c r="M244" s="8" t="n">
        <v>45160</v>
      </c>
      <c r="N244" s="1" t="s">
        <v>660</v>
      </c>
      <c r="O244" s="1" t="n">
        <v>0</v>
      </c>
      <c r="P244" s="1" t="s">
        <v>661</v>
      </c>
      <c r="Q244" s="1" t="n">
        <v>0</v>
      </c>
      <c r="R244" s="1" t="s">
        <v>1034</v>
      </c>
      <c r="S244" s="1" t="n">
        <v>20251126183934</v>
      </c>
      <c r="T244" s="2" t="s">
        <v>663</v>
      </c>
      <c r="U244" s="2" t="s">
        <v>664</v>
      </c>
      <c r="X244" s="2" t="n">
        <v>876404</v>
      </c>
      <c r="Y244" s="1" t="n">
        <v>1.7</v>
      </c>
      <c r="Z244" s="1" t="n">
        <v>2</v>
      </c>
      <c r="AA244" s="9" t="s">
        <v>475</v>
      </c>
    </row>
    <row r="245" customFormat="false" ht="18.7" hidden="false" customHeight="true" outlineLevel="0" collapsed="false">
      <c r="A245" s="1" t="n">
        <v>244</v>
      </c>
      <c r="B245" s="7" t="str">
        <f aca="false">HYPERLINK("https://mncourtfraud.com/file/27-CR-21-13150.pdf","27-CR-21-13150")</f>
        <v>27-CR-21-13150</v>
      </c>
      <c r="C245" s="1" t="n">
        <v>1</v>
      </c>
      <c r="D245" s="2" t="s">
        <v>12</v>
      </c>
      <c r="E245" s="8" t="n">
        <v>45412</v>
      </c>
      <c r="F245" s="2" t="s">
        <v>24</v>
      </c>
      <c r="G245" s="7" t="str">
        <f aca="false">HYPERLINK("https://mncourtfraud.com/file/MCRO_27-CR-21-13150_Order for Conditional Release_2024-04-30_20251126183833.pdf","MCRO_27-CR-21-13150_Order for Conditional Release_2024-04-30_20251126183833.pdf")</f>
        <v>MCRO_27-CR-21-13150_Order for Conditional Release_2024-04-30_20251126183833.pdf</v>
      </c>
      <c r="I245" s="2" t="s">
        <v>481</v>
      </c>
      <c r="J245" s="2" t="s">
        <v>481</v>
      </c>
      <c r="K245" s="2" t="s">
        <v>482</v>
      </c>
      <c r="L245" s="2" t="s">
        <v>469</v>
      </c>
      <c r="M245" s="8" t="n">
        <v>45412</v>
      </c>
      <c r="N245" s="1" t="s">
        <v>665</v>
      </c>
      <c r="O245" s="1" t="n">
        <v>0</v>
      </c>
      <c r="P245" s="1" t="s">
        <v>665</v>
      </c>
      <c r="Q245" s="1" t="n">
        <v>0</v>
      </c>
      <c r="R245" s="1" t="s">
        <v>1035</v>
      </c>
      <c r="S245" s="1" t="n">
        <v>20251126183833</v>
      </c>
      <c r="T245" s="2" t="s">
        <v>667</v>
      </c>
      <c r="U245" s="2" t="s">
        <v>668</v>
      </c>
      <c r="X245" s="2" t="n">
        <v>150533</v>
      </c>
      <c r="Y245" s="1" t="n">
        <v>1.5</v>
      </c>
      <c r="Z245" s="1" t="n">
        <v>2</v>
      </c>
    </row>
    <row r="246" customFormat="false" ht="18.7" hidden="false" customHeight="true" outlineLevel="0" collapsed="false">
      <c r="A246" s="1" t="n">
        <v>245</v>
      </c>
      <c r="B246" s="7" t="str">
        <f aca="false">HYPERLINK("https://mncourtfraud.com/file/27-CR-21-13150.pdf","27-CR-21-13150")</f>
        <v>27-CR-21-13150</v>
      </c>
      <c r="C246" s="1" t="n">
        <v>1</v>
      </c>
      <c r="D246" s="2" t="s">
        <v>12</v>
      </c>
      <c r="E246" s="8" t="n">
        <v>45412</v>
      </c>
      <c r="F246" s="2" t="s">
        <v>15</v>
      </c>
      <c r="G246" s="7" t="str">
        <f aca="false">HYPERLINK("https://mncourtfraud.com/file/MCRO_27-CR-21-13150_Order-Evaluation for Competency to Proceed (Rule 20.01)_2024-04-30_20251126183942.pdf","MCRO_27-CR-21-13150_Order-Evaluation for Competency to Proceed (Rule 20.01)_2024-04-30_20251126183942.pdf")</f>
        <v>MCRO_27-CR-21-13150_Order-Evaluation for Competency to Proceed (Rule 20.01)_2024-04-30_20251126183942.pdf</v>
      </c>
      <c r="I246" s="2" t="s">
        <v>481</v>
      </c>
      <c r="J246" s="2" t="s">
        <v>481</v>
      </c>
      <c r="K246" s="2" t="s">
        <v>482</v>
      </c>
      <c r="L246" s="2" t="s">
        <v>469</v>
      </c>
      <c r="M246" s="8" t="n">
        <v>45412</v>
      </c>
      <c r="N246" s="1" t="s">
        <v>665</v>
      </c>
      <c r="O246" s="1" t="n">
        <v>0</v>
      </c>
      <c r="P246" s="1" t="s">
        <v>665</v>
      </c>
      <c r="Q246" s="1" t="n">
        <v>0</v>
      </c>
      <c r="R246" s="1" t="s">
        <v>1036</v>
      </c>
      <c r="S246" s="1" t="n">
        <v>20251126183942</v>
      </c>
      <c r="T246" s="2" t="s">
        <v>670</v>
      </c>
      <c r="U246" s="2" t="s">
        <v>671</v>
      </c>
      <c r="X246" s="2" t="n">
        <v>219517</v>
      </c>
      <c r="Y246" s="1" t="n">
        <v>1.5</v>
      </c>
      <c r="Z246" s="1" t="n">
        <v>3</v>
      </c>
    </row>
    <row r="247" customFormat="false" ht="18.7" hidden="false" customHeight="true" outlineLevel="0" collapsed="false">
      <c r="A247" s="1" t="n">
        <v>246</v>
      </c>
      <c r="B247" s="7" t="str">
        <f aca="false">HYPERLINK("https://mncourtfraud.com/file/27-CR-21-13526.pdf","27-CR-21-13526")</f>
        <v>27-CR-21-13526</v>
      </c>
      <c r="C247" s="1" t="n">
        <v>5</v>
      </c>
      <c r="D247" s="2" t="s">
        <v>267</v>
      </c>
      <c r="E247" s="8" t="n">
        <v>44733</v>
      </c>
      <c r="F247" s="2" t="s">
        <v>17</v>
      </c>
      <c r="G247" s="7" t="str">
        <f aca="false">HYPERLINK("https://mncourtfraud.com/file/MCRO_27-CR-21-13526_Returned Mail_2022-06-21_20251126164634.pdf","MCRO_27-CR-21-13526_Returned Mail_2022-06-21_20251126164634.pdf")</f>
        <v>MCRO_27-CR-21-13526_Returned Mail_2022-06-21_20251126164634.pdf</v>
      </c>
      <c r="I247" s="2" t="s">
        <v>1037</v>
      </c>
      <c r="J247" s="2" t="s">
        <v>1037</v>
      </c>
      <c r="K247" s="2" t="s">
        <v>1038</v>
      </c>
      <c r="L247" s="2" t="s">
        <v>469</v>
      </c>
      <c r="M247" s="8" t="n">
        <v>44733</v>
      </c>
      <c r="N247" s="1" t="s">
        <v>1039</v>
      </c>
      <c r="O247" s="1" t="n">
        <v>2</v>
      </c>
      <c r="P247" s="1" t="s">
        <v>1040</v>
      </c>
      <c r="Q247" s="1" t="n">
        <v>2</v>
      </c>
      <c r="R247" s="1" t="s">
        <v>1041</v>
      </c>
      <c r="S247" s="1" t="n">
        <v>20251126164634</v>
      </c>
      <c r="T247" s="2" t="s">
        <v>1042</v>
      </c>
      <c r="U247" s="2" t="s">
        <v>1043</v>
      </c>
      <c r="X247" s="2" t="n">
        <v>254465</v>
      </c>
      <c r="Y247" s="1" t="n">
        <v>1.6</v>
      </c>
      <c r="Z247" s="1" t="n">
        <v>1</v>
      </c>
    </row>
    <row r="248" customFormat="false" ht="18.7" hidden="false" customHeight="true" outlineLevel="0" collapsed="false">
      <c r="A248" s="1" t="n">
        <v>247</v>
      </c>
      <c r="B248" s="7" t="str">
        <f aca="false">HYPERLINK("https://mncourtfraud.com/file/27-CR-21-13526.pdf","27-CR-21-13526")</f>
        <v>27-CR-21-13526</v>
      </c>
      <c r="C248" s="1" t="n">
        <v>5</v>
      </c>
      <c r="D248" s="2" t="s">
        <v>267</v>
      </c>
      <c r="E248" s="8" t="n">
        <v>44837</v>
      </c>
      <c r="F248" s="2" t="s">
        <v>17</v>
      </c>
      <c r="G248" s="7" t="str">
        <f aca="false">HYPERLINK("https://mncourtfraud.com/file/MCRO_27-CR-21-13526_Returned Mail_2022-10-03_20251126164501.pdf","MCRO_27-CR-21-13526_Returned Mail_2022-10-03_20251126164501.pdf")</f>
        <v>MCRO_27-CR-21-13526_Returned Mail_2022-10-03_20251126164501.pdf</v>
      </c>
      <c r="I248" s="2" t="s">
        <v>1044</v>
      </c>
      <c r="J248" s="2" t="s">
        <v>1044</v>
      </c>
      <c r="K248" s="2" t="s">
        <v>1045</v>
      </c>
      <c r="L248" s="2" t="s">
        <v>469</v>
      </c>
      <c r="M248" s="8" t="n">
        <v>44837</v>
      </c>
      <c r="N248" s="1" t="s">
        <v>1046</v>
      </c>
      <c r="O248" s="1" t="n">
        <v>3</v>
      </c>
      <c r="P248" s="1" t="s">
        <v>1047</v>
      </c>
      <c r="Q248" s="1" t="n">
        <v>3</v>
      </c>
      <c r="R248" s="1" t="s">
        <v>1048</v>
      </c>
      <c r="S248" s="1" t="n">
        <v>20251126164501</v>
      </c>
      <c r="T248" s="2" t="s">
        <v>1049</v>
      </c>
      <c r="U248" s="2" t="s">
        <v>1050</v>
      </c>
      <c r="X248" s="2" t="n">
        <v>381218</v>
      </c>
      <c r="Y248" s="1" t="n">
        <v>1.6</v>
      </c>
      <c r="Z248" s="1" t="n">
        <v>1</v>
      </c>
    </row>
    <row r="249" customFormat="false" ht="18.7" hidden="false" customHeight="true" outlineLevel="0" collapsed="false">
      <c r="A249" s="1" t="n">
        <v>248</v>
      </c>
      <c r="B249" s="7" t="str">
        <f aca="false">HYPERLINK("https://mncourtfraud.com/file/27-CR-21-13526.pdf","27-CR-21-13526")</f>
        <v>27-CR-21-13526</v>
      </c>
      <c r="C249" s="1" t="n">
        <v>5</v>
      </c>
      <c r="D249" s="2" t="s">
        <v>267</v>
      </c>
      <c r="E249" s="8" t="n">
        <v>44873</v>
      </c>
      <c r="F249" s="2" t="s">
        <v>15</v>
      </c>
      <c r="G249" s="7" t="str">
        <f aca="false">HYPERLINK("https://mncourtfraud.com/file/MCRO_27-CR-21-13526_Order-Evaluation for Competency to Proceed (Rule 20.01)_2022-11-08_20251126164716.pdf","MCRO_27-CR-21-13526_Order-Evaluation for Competency to Proceed (Rule 20.01)_2022-11-08_20251126164716.pdf")</f>
        <v>MCRO_27-CR-21-13526_Order-Evaluation for Competency to Proceed (Rule 20.01)_2022-11-08_20251126164716.pdf</v>
      </c>
      <c r="I249" s="2" t="s">
        <v>1051</v>
      </c>
      <c r="J249" s="2" t="s">
        <v>1051</v>
      </c>
      <c r="K249" s="2" t="s">
        <v>1052</v>
      </c>
      <c r="L249" s="2" t="s">
        <v>469</v>
      </c>
      <c r="M249" s="8" t="n">
        <v>44873</v>
      </c>
      <c r="N249" s="1" t="s">
        <v>1053</v>
      </c>
      <c r="O249" s="1" t="n">
        <v>2</v>
      </c>
      <c r="P249" s="1" t="s">
        <v>1054</v>
      </c>
      <c r="Q249" s="1" t="n">
        <v>2</v>
      </c>
      <c r="R249" s="1" t="s">
        <v>1055</v>
      </c>
      <c r="S249" s="1" t="n">
        <v>20251126164716</v>
      </c>
      <c r="T249" s="2" t="s">
        <v>1056</v>
      </c>
      <c r="U249" s="2" t="s">
        <v>1057</v>
      </c>
      <c r="X249" s="2" t="n">
        <v>846096</v>
      </c>
      <c r="Y249" s="1" t="n">
        <v>1.6</v>
      </c>
      <c r="Z249" s="1" t="n">
        <v>3</v>
      </c>
    </row>
    <row r="250" customFormat="false" ht="18.7" hidden="false" customHeight="true" outlineLevel="0" collapsed="false">
      <c r="A250" s="1" t="n">
        <v>249</v>
      </c>
      <c r="B250" s="7" t="str">
        <f aca="false">HYPERLINK("https://mncourtfraud.com/file/27-CR-21-13526.pdf","27-CR-21-13526")</f>
        <v>27-CR-21-13526</v>
      </c>
      <c r="C250" s="1" t="n">
        <v>5</v>
      </c>
      <c r="D250" s="2" t="s">
        <v>267</v>
      </c>
      <c r="E250" s="8" t="n">
        <v>45023</v>
      </c>
      <c r="F250" s="2" t="s">
        <v>15</v>
      </c>
      <c r="G250" s="7" t="str">
        <f aca="false">HYPERLINK("https://mncourtfraud.com/file/MCRO_27-CR-21-13526_Order-Evaluation for Competency to Proceed (Rule 20.01)_2023-04-07_20251126164730.pdf","MCRO_27-CR-21-13526_Order-Evaluation for Competency to Proceed (Rule 20.01)_2023-04-07_20251126164730.pdf")</f>
        <v>MCRO_27-CR-21-13526_Order-Evaluation for Competency to Proceed (Rule 20.01)_2023-04-07_20251126164730.pdf</v>
      </c>
      <c r="J250" s="2" t="s">
        <v>498</v>
      </c>
      <c r="K250" s="2" t="s">
        <v>499</v>
      </c>
      <c r="L250" s="2" t="s">
        <v>469</v>
      </c>
      <c r="M250" s="8" t="n">
        <v>45023</v>
      </c>
      <c r="N250" s="1" t="s">
        <v>1058</v>
      </c>
      <c r="O250" s="1" t="n">
        <v>0</v>
      </c>
      <c r="P250" s="1" t="s">
        <v>1058</v>
      </c>
      <c r="Q250" s="1" t="n">
        <v>0</v>
      </c>
      <c r="R250" s="1" t="s">
        <v>1059</v>
      </c>
      <c r="S250" s="1" t="n">
        <v>20251126164730</v>
      </c>
      <c r="T250" s="2" t="s">
        <v>1060</v>
      </c>
      <c r="U250" s="2" t="s">
        <v>1060</v>
      </c>
      <c r="X250" s="2" t="n">
        <v>1128433</v>
      </c>
      <c r="Y250" s="1" t="n">
        <v>1.7</v>
      </c>
      <c r="Z250" s="1" t="n">
        <v>2</v>
      </c>
      <c r="AA250" s="9" t="s">
        <v>475</v>
      </c>
    </row>
    <row r="251" customFormat="false" ht="18.7" hidden="false" customHeight="true" outlineLevel="0" collapsed="false">
      <c r="A251" s="1" t="n">
        <v>250</v>
      </c>
      <c r="B251" s="7" t="str">
        <f aca="false">HYPERLINK("https://mncourtfraud.com/file/27-CR-21-13526.pdf","27-CR-21-13526")</f>
        <v>27-CR-21-13526</v>
      </c>
      <c r="C251" s="1" t="n">
        <v>5</v>
      </c>
      <c r="D251" s="2" t="s">
        <v>267</v>
      </c>
      <c r="E251" s="8" t="n">
        <v>45194</v>
      </c>
      <c r="F251" s="2" t="s">
        <v>15</v>
      </c>
      <c r="G251" s="7" t="str">
        <f aca="false">HYPERLINK("https://mncourtfraud.com/file/MCRO_27-CR-21-13526_Order-Evaluation for Competency to Proceed (Rule 20.01)_2023-09-25_20251126164657.pdf","MCRO_27-CR-21-13526_Order-Evaluation for Competency to Proceed (Rule 20.01)_2023-09-25_20251126164657.pdf")</f>
        <v>MCRO_27-CR-21-13526_Order-Evaluation for Competency to Proceed (Rule 20.01)_2023-09-25_20251126164657.pdf</v>
      </c>
      <c r="I251" s="2" t="s">
        <v>481</v>
      </c>
      <c r="J251" s="2" t="s">
        <v>481</v>
      </c>
      <c r="K251" s="2" t="s">
        <v>482</v>
      </c>
      <c r="L251" s="2" t="s">
        <v>469</v>
      </c>
      <c r="M251" s="8" t="n">
        <v>45194</v>
      </c>
      <c r="N251" s="1" t="s">
        <v>1061</v>
      </c>
      <c r="O251" s="1" t="n">
        <v>0</v>
      </c>
      <c r="P251" s="1" t="s">
        <v>1061</v>
      </c>
      <c r="Q251" s="1" t="n">
        <v>0</v>
      </c>
      <c r="R251" s="1" t="s">
        <v>1062</v>
      </c>
      <c r="S251" s="1" t="n">
        <v>20251126164657</v>
      </c>
      <c r="T251" s="2" t="s">
        <v>1063</v>
      </c>
      <c r="U251" s="2" t="s">
        <v>1064</v>
      </c>
      <c r="X251" s="2" t="n">
        <v>166641</v>
      </c>
      <c r="Y251" s="1" t="n">
        <v>1.5</v>
      </c>
      <c r="Z251" s="1" t="n">
        <v>2</v>
      </c>
    </row>
    <row r="252" customFormat="false" ht="18.7" hidden="false" customHeight="true" outlineLevel="0" collapsed="false">
      <c r="A252" s="1" t="n">
        <v>251</v>
      </c>
      <c r="B252" s="7" t="str">
        <f aca="false">HYPERLINK("https://mncourtfraud.com/file/27-CR-21-14266.pdf","27-CR-21-14266")</f>
        <v>27-CR-21-14266</v>
      </c>
      <c r="C252" s="1" t="n">
        <v>5</v>
      </c>
      <c r="D252" s="2" t="s">
        <v>267</v>
      </c>
      <c r="E252" s="8" t="n">
        <v>44733</v>
      </c>
      <c r="F252" s="2" t="s">
        <v>17</v>
      </c>
      <c r="G252" s="7" t="str">
        <f aca="false">HYPERLINK("https://mncourtfraud.com/file/MCRO_27-CR-21-14266_Returned Mail_2022-06-21_20251126164918.pdf","MCRO_27-CR-21-14266_Returned Mail_2022-06-21_20251126164918.pdf")</f>
        <v>MCRO_27-CR-21-14266_Returned Mail_2022-06-21_20251126164918.pdf</v>
      </c>
      <c r="I252" s="2" t="s">
        <v>1037</v>
      </c>
      <c r="J252" s="2" t="s">
        <v>1037</v>
      </c>
      <c r="K252" s="2" t="s">
        <v>1038</v>
      </c>
      <c r="L252" s="2" t="s">
        <v>469</v>
      </c>
      <c r="M252" s="8" t="n">
        <v>44733</v>
      </c>
      <c r="N252" s="1" t="s">
        <v>1039</v>
      </c>
      <c r="O252" s="1" t="n">
        <v>2</v>
      </c>
      <c r="P252" s="1" t="s">
        <v>1040</v>
      </c>
      <c r="Q252" s="1" t="n">
        <v>2</v>
      </c>
      <c r="R252" s="1" t="s">
        <v>1065</v>
      </c>
      <c r="S252" s="1" t="n">
        <v>20251126164918</v>
      </c>
      <c r="T252" s="2" t="s">
        <v>1042</v>
      </c>
      <c r="U252" s="2" t="s">
        <v>1043</v>
      </c>
      <c r="X252" s="2" t="n">
        <v>254464</v>
      </c>
      <c r="Y252" s="1" t="n">
        <v>1.6</v>
      </c>
      <c r="Z252" s="1" t="n">
        <v>1</v>
      </c>
    </row>
    <row r="253" customFormat="false" ht="18.7" hidden="false" customHeight="true" outlineLevel="0" collapsed="false">
      <c r="A253" s="1" t="n">
        <v>252</v>
      </c>
      <c r="B253" s="7" t="str">
        <f aca="false">HYPERLINK("https://mncourtfraud.com/file/27-CR-21-14266.pdf","27-CR-21-14266")</f>
        <v>27-CR-21-14266</v>
      </c>
      <c r="C253" s="1" t="n">
        <v>5</v>
      </c>
      <c r="D253" s="2" t="s">
        <v>267</v>
      </c>
      <c r="E253" s="8" t="n">
        <v>44837</v>
      </c>
      <c r="F253" s="2" t="s">
        <v>17</v>
      </c>
      <c r="G253" s="7" t="str">
        <f aca="false">HYPERLINK("https://mncourtfraud.com/file/MCRO_27-CR-21-14266_Returned Mail_2022-10-03_20251126164905.pdf","MCRO_27-CR-21-14266_Returned Mail_2022-10-03_20251126164905.pdf")</f>
        <v>MCRO_27-CR-21-14266_Returned Mail_2022-10-03_20251126164905.pdf</v>
      </c>
      <c r="I253" s="2" t="s">
        <v>1044</v>
      </c>
      <c r="J253" s="2" t="s">
        <v>1044</v>
      </c>
      <c r="K253" s="2" t="s">
        <v>1045</v>
      </c>
      <c r="L253" s="2" t="s">
        <v>469</v>
      </c>
      <c r="M253" s="8" t="n">
        <v>44837</v>
      </c>
      <c r="N253" s="1" t="s">
        <v>1046</v>
      </c>
      <c r="O253" s="1" t="n">
        <v>3</v>
      </c>
      <c r="P253" s="1" t="s">
        <v>1047</v>
      </c>
      <c r="Q253" s="1" t="n">
        <v>3</v>
      </c>
      <c r="R253" s="1" t="s">
        <v>1066</v>
      </c>
      <c r="S253" s="1" t="n">
        <v>20251126164905</v>
      </c>
      <c r="T253" s="2" t="s">
        <v>1049</v>
      </c>
      <c r="U253" s="2" t="s">
        <v>1050</v>
      </c>
      <c r="X253" s="2" t="n">
        <v>381219</v>
      </c>
      <c r="Y253" s="1" t="n">
        <v>1.6</v>
      </c>
      <c r="Z253" s="1" t="n">
        <v>1</v>
      </c>
    </row>
    <row r="254" customFormat="false" ht="18.7" hidden="false" customHeight="true" outlineLevel="0" collapsed="false">
      <c r="A254" s="1" t="n">
        <v>253</v>
      </c>
      <c r="B254" s="7" t="str">
        <f aca="false">HYPERLINK("https://mncourtfraud.com/file/27-CR-21-14266.pdf","27-CR-21-14266")</f>
        <v>27-CR-21-14266</v>
      </c>
      <c r="C254" s="1" t="n">
        <v>5</v>
      </c>
      <c r="D254" s="2" t="s">
        <v>267</v>
      </c>
      <c r="E254" s="8" t="n">
        <v>44873</v>
      </c>
      <c r="F254" s="2" t="s">
        <v>15</v>
      </c>
      <c r="G254" s="7" t="str">
        <f aca="false">HYPERLINK("https://mncourtfraud.com/file/MCRO_27-CR-21-14266_Order-Evaluation for Competency to Proceed (Rule 20.01)_2022-11-08_20251126164836.pdf","MCRO_27-CR-21-14266_Order-Evaluation for Competency to Proceed (Rule 20.01)_2022-11-08_20251126164836.pdf")</f>
        <v>MCRO_27-CR-21-14266_Order-Evaluation for Competency to Proceed (Rule 20.01)_2022-11-08_20251126164836.pdf</v>
      </c>
      <c r="I254" s="2" t="s">
        <v>1051</v>
      </c>
      <c r="J254" s="2" t="s">
        <v>1051</v>
      </c>
      <c r="K254" s="2" t="s">
        <v>1052</v>
      </c>
      <c r="L254" s="2" t="s">
        <v>469</v>
      </c>
      <c r="M254" s="8" t="n">
        <v>44873</v>
      </c>
      <c r="N254" s="1" t="s">
        <v>1053</v>
      </c>
      <c r="O254" s="1" t="n">
        <v>2</v>
      </c>
      <c r="P254" s="1" t="s">
        <v>1054</v>
      </c>
      <c r="Q254" s="1" t="n">
        <v>2</v>
      </c>
      <c r="R254" s="1" t="s">
        <v>1067</v>
      </c>
      <c r="S254" s="1" t="n">
        <v>20251126164836</v>
      </c>
      <c r="T254" s="2" t="s">
        <v>1056</v>
      </c>
      <c r="U254" s="2" t="s">
        <v>1057</v>
      </c>
      <c r="X254" s="2" t="n">
        <v>846094</v>
      </c>
      <c r="Y254" s="1" t="n">
        <v>1.6</v>
      </c>
      <c r="Z254" s="1" t="n">
        <v>3</v>
      </c>
    </row>
    <row r="255" customFormat="false" ht="18.7" hidden="false" customHeight="true" outlineLevel="0" collapsed="false">
      <c r="A255" s="1" t="n">
        <v>254</v>
      </c>
      <c r="B255" s="7" t="str">
        <f aca="false">HYPERLINK("https://mncourtfraud.com/file/27-CR-21-14266.pdf","27-CR-21-14266")</f>
        <v>27-CR-21-14266</v>
      </c>
      <c r="C255" s="1" t="n">
        <v>5</v>
      </c>
      <c r="D255" s="2" t="s">
        <v>267</v>
      </c>
      <c r="E255" s="8" t="n">
        <v>45023</v>
      </c>
      <c r="F255" s="2" t="s">
        <v>15</v>
      </c>
      <c r="G255" s="7" t="str">
        <f aca="false">HYPERLINK("https://mncourtfraud.com/file/MCRO_27-CR-21-14266_Order-Evaluation for Competency to Proceed (Rule 20.01)_2023-04-07_20251126164851.pdf","MCRO_27-CR-21-14266_Order-Evaluation for Competency to Proceed (Rule 20.01)_2023-04-07_20251126164851.pdf")</f>
        <v>MCRO_27-CR-21-14266_Order-Evaluation for Competency to Proceed (Rule 20.01)_2023-04-07_20251126164851.pdf</v>
      </c>
      <c r="J255" s="2" t="s">
        <v>498</v>
      </c>
      <c r="K255" s="2" t="s">
        <v>499</v>
      </c>
      <c r="L255" s="2" t="s">
        <v>469</v>
      </c>
      <c r="M255" s="8" t="n">
        <v>45023</v>
      </c>
      <c r="N255" s="1" t="s">
        <v>1068</v>
      </c>
      <c r="O255" s="1" t="n">
        <v>0</v>
      </c>
      <c r="P255" s="1" t="s">
        <v>1068</v>
      </c>
      <c r="Q255" s="1" t="n">
        <v>0</v>
      </c>
      <c r="R255" s="1" t="s">
        <v>1069</v>
      </c>
      <c r="S255" s="1" t="n">
        <v>20251126164851</v>
      </c>
      <c r="T255" s="2" t="s">
        <v>1070</v>
      </c>
      <c r="U255" s="2" t="s">
        <v>1070</v>
      </c>
      <c r="X255" s="2" t="n">
        <v>1132066</v>
      </c>
      <c r="Y255" s="1" t="n">
        <v>1.7</v>
      </c>
      <c r="Z255" s="1" t="n">
        <v>2</v>
      </c>
      <c r="AA255" s="9" t="s">
        <v>475</v>
      </c>
    </row>
    <row r="256" customFormat="false" ht="18.7" hidden="false" customHeight="true" outlineLevel="0" collapsed="false">
      <c r="A256" s="1" t="n">
        <v>255</v>
      </c>
      <c r="B256" s="7" t="str">
        <f aca="false">HYPERLINK("https://mncourtfraud.com/file/27-CR-21-14266.pdf","27-CR-21-14266")</f>
        <v>27-CR-21-14266</v>
      </c>
      <c r="C256" s="1" t="n">
        <v>5</v>
      </c>
      <c r="D256" s="2" t="s">
        <v>267</v>
      </c>
      <c r="E256" s="8" t="n">
        <v>45194</v>
      </c>
      <c r="F256" s="2" t="s">
        <v>15</v>
      </c>
      <c r="G256" s="7" t="str">
        <f aca="false">HYPERLINK("https://mncourtfraud.com/file/MCRO_27-CR-21-14266_Order-Evaluation for Competency to Proceed (Rule 20.01)_2023-09-25_20251126164823.pdf","MCRO_27-CR-21-14266_Order-Evaluation for Competency to Proceed (Rule 20.01)_2023-09-25_20251126164823.pdf")</f>
        <v>MCRO_27-CR-21-14266_Order-Evaluation for Competency to Proceed (Rule 20.01)_2023-09-25_20251126164823.pdf</v>
      </c>
      <c r="I256" s="2" t="s">
        <v>481</v>
      </c>
      <c r="J256" s="2" t="s">
        <v>481</v>
      </c>
      <c r="K256" s="2" t="s">
        <v>482</v>
      </c>
      <c r="L256" s="2" t="s">
        <v>469</v>
      </c>
      <c r="M256" s="8" t="n">
        <v>45194</v>
      </c>
      <c r="N256" s="1" t="s">
        <v>1061</v>
      </c>
      <c r="O256" s="1" t="n">
        <v>0</v>
      </c>
      <c r="P256" s="1" t="s">
        <v>1061</v>
      </c>
      <c r="Q256" s="1" t="n">
        <v>0</v>
      </c>
      <c r="R256" s="1" t="s">
        <v>1071</v>
      </c>
      <c r="S256" s="1" t="n">
        <v>20251126164823</v>
      </c>
      <c r="T256" s="2" t="s">
        <v>1063</v>
      </c>
      <c r="U256" s="2" t="s">
        <v>1064</v>
      </c>
      <c r="X256" s="2" t="n">
        <v>166656</v>
      </c>
      <c r="Y256" s="1" t="n">
        <v>1.5</v>
      </c>
      <c r="Z256" s="1" t="n">
        <v>2</v>
      </c>
    </row>
    <row r="257" customFormat="false" ht="18.7" hidden="false" customHeight="true" outlineLevel="0" collapsed="false">
      <c r="A257" s="1" t="n">
        <v>256</v>
      </c>
      <c r="B257" s="7" t="str">
        <f aca="false">HYPERLINK("https://mncourtfraud.com/file/27-CR-21-17656.pdf","27-CR-21-17656")</f>
        <v>27-CR-21-17656</v>
      </c>
      <c r="C257" s="1" t="n">
        <v>5</v>
      </c>
      <c r="D257" s="2" t="s">
        <v>267</v>
      </c>
      <c r="E257" s="8" t="n">
        <v>44733</v>
      </c>
      <c r="F257" s="2" t="s">
        <v>17</v>
      </c>
      <c r="G257" s="7" t="str">
        <f aca="false">HYPERLINK("https://mncourtfraud.com/file/MCRO_27-CR-21-17656_Returned Mail_2022-06-21_20251126165007.pdf","MCRO_27-CR-21-17656_Returned Mail_2022-06-21_20251126165007.pdf")</f>
        <v>MCRO_27-CR-21-17656_Returned Mail_2022-06-21_20251126165007.pdf</v>
      </c>
      <c r="I257" s="2" t="s">
        <v>1037</v>
      </c>
      <c r="J257" s="2" t="s">
        <v>1037</v>
      </c>
      <c r="K257" s="2" t="s">
        <v>1038</v>
      </c>
      <c r="L257" s="2" t="s">
        <v>469</v>
      </c>
      <c r="M257" s="8" t="n">
        <v>44733</v>
      </c>
      <c r="N257" s="1" t="s">
        <v>1039</v>
      </c>
      <c r="O257" s="1" t="n">
        <v>2</v>
      </c>
      <c r="P257" s="1" t="s">
        <v>1040</v>
      </c>
      <c r="Q257" s="1" t="n">
        <v>2</v>
      </c>
      <c r="R257" s="1" t="s">
        <v>1072</v>
      </c>
      <c r="S257" s="1" t="n">
        <v>20251126165007</v>
      </c>
      <c r="T257" s="2" t="s">
        <v>1042</v>
      </c>
      <c r="U257" s="2" t="s">
        <v>1043</v>
      </c>
      <c r="X257" s="2" t="n">
        <v>254465</v>
      </c>
      <c r="Y257" s="1" t="n">
        <v>1.6</v>
      </c>
      <c r="Z257" s="1" t="n">
        <v>1</v>
      </c>
    </row>
    <row r="258" customFormat="false" ht="18.7" hidden="false" customHeight="true" outlineLevel="0" collapsed="false">
      <c r="A258" s="1" t="n">
        <v>257</v>
      </c>
      <c r="B258" s="7" t="str">
        <f aca="false">HYPERLINK("https://mncourtfraud.com/file/27-CR-21-17656.pdf","27-CR-21-17656")</f>
        <v>27-CR-21-17656</v>
      </c>
      <c r="C258" s="1" t="n">
        <v>5</v>
      </c>
      <c r="D258" s="2" t="s">
        <v>267</v>
      </c>
      <c r="E258" s="8" t="n">
        <v>44837</v>
      </c>
      <c r="F258" s="2" t="s">
        <v>17</v>
      </c>
      <c r="G258" s="7" t="str">
        <f aca="false">HYPERLINK("https://mncourtfraud.com/file/MCRO_27-CR-21-17656_Returned Mail_2022-10-03_20251126164949.pdf","MCRO_27-CR-21-17656_Returned Mail_2022-10-03_20251126164949.pdf")</f>
        <v>MCRO_27-CR-21-17656_Returned Mail_2022-10-03_20251126164949.pdf</v>
      </c>
      <c r="I258" s="2" t="s">
        <v>1044</v>
      </c>
      <c r="J258" s="2" t="s">
        <v>1044</v>
      </c>
      <c r="K258" s="2" t="s">
        <v>1045</v>
      </c>
      <c r="L258" s="2" t="s">
        <v>469</v>
      </c>
      <c r="M258" s="8" t="n">
        <v>44837</v>
      </c>
      <c r="N258" s="1" t="s">
        <v>1046</v>
      </c>
      <c r="O258" s="1" t="n">
        <v>3</v>
      </c>
      <c r="P258" s="1" t="s">
        <v>1047</v>
      </c>
      <c r="Q258" s="1" t="n">
        <v>3</v>
      </c>
      <c r="R258" s="1" t="s">
        <v>1073</v>
      </c>
      <c r="S258" s="1" t="n">
        <v>20251126164949</v>
      </c>
      <c r="T258" s="2" t="s">
        <v>1049</v>
      </c>
      <c r="U258" s="2" t="s">
        <v>1050</v>
      </c>
      <c r="X258" s="2" t="n">
        <v>381219</v>
      </c>
      <c r="Y258" s="1" t="n">
        <v>1.6</v>
      </c>
      <c r="Z258" s="1" t="n">
        <v>1</v>
      </c>
    </row>
    <row r="259" customFormat="false" ht="18.7" hidden="false" customHeight="true" outlineLevel="0" collapsed="false">
      <c r="A259" s="1" t="n">
        <v>258</v>
      </c>
      <c r="B259" s="7" t="str">
        <f aca="false">HYPERLINK("https://mncourtfraud.com/file/27-CR-21-17656.pdf","27-CR-21-17656")</f>
        <v>27-CR-21-17656</v>
      </c>
      <c r="C259" s="1" t="n">
        <v>5</v>
      </c>
      <c r="D259" s="2" t="s">
        <v>267</v>
      </c>
      <c r="E259" s="8" t="n">
        <v>44873</v>
      </c>
      <c r="F259" s="2" t="s">
        <v>15</v>
      </c>
      <c r="G259" s="7" t="str">
        <f aca="false">HYPERLINK("https://mncourtfraud.com/file/MCRO_27-CR-21-17656_Order-Evaluation for Competency to Proceed (Rule 20.01)_2022-11-08_20251126165032.pdf","MCRO_27-CR-21-17656_Order-Evaluation for Competency to Proceed (Rule 20.01)_2022-11-08_20251126165032.pdf")</f>
        <v>MCRO_27-CR-21-17656_Order-Evaluation for Competency to Proceed (Rule 20.01)_2022-11-08_20251126165032.pdf</v>
      </c>
      <c r="I259" s="2" t="s">
        <v>1051</v>
      </c>
      <c r="J259" s="2" t="s">
        <v>1051</v>
      </c>
      <c r="K259" s="2" t="s">
        <v>1052</v>
      </c>
      <c r="L259" s="2" t="s">
        <v>469</v>
      </c>
      <c r="M259" s="8" t="n">
        <v>44873</v>
      </c>
      <c r="N259" s="1" t="s">
        <v>1053</v>
      </c>
      <c r="O259" s="1" t="n">
        <v>2</v>
      </c>
      <c r="P259" s="1" t="s">
        <v>1054</v>
      </c>
      <c r="Q259" s="1" t="n">
        <v>2</v>
      </c>
      <c r="R259" s="1" t="s">
        <v>1074</v>
      </c>
      <c r="S259" s="1" t="n">
        <v>20251126165032</v>
      </c>
      <c r="T259" s="2" t="s">
        <v>1056</v>
      </c>
      <c r="U259" s="2" t="s">
        <v>1057</v>
      </c>
      <c r="X259" s="2" t="n">
        <v>846095</v>
      </c>
      <c r="Y259" s="1" t="n">
        <v>1.6</v>
      </c>
      <c r="Z259" s="1" t="n">
        <v>3</v>
      </c>
    </row>
    <row r="260" customFormat="false" ht="18.7" hidden="false" customHeight="true" outlineLevel="0" collapsed="false">
      <c r="A260" s="1" t="n">
        <v>259</v>
      </c>
      <c r="B260" s="7" t="str">
        <f aca="false">HYPERLINK("https://mncourtfraud.com/file/27-CR-21-17656.pdf","27-CR-21-17656")</f>
        <v>27-CR-21-17656</v>
      </c>
      <c r="C260" s="1" t="n">
        <v>5</v>
      </c>
      <c r="D260" s="2" t="s">
        <v>267</v>
      </c>
      <c r="E260" s="8" t="n">
        <v>45023</v>
      </c>
      <c r="F260" s="2" t="s">
        <v>15</v>
      </c>
      <c r="G260" s="7" t="str">
        <f aca="false">HYPERLINK("https://mncourtfraud.com/file/MCRO_27-CR-21-17656_Order-Evaluation for Competency to Proceed (Rule 20.01)_2023-04-07_20251126165044.pdf","MCRO_27-CR-21-17656_Order-Evaluation for Competency to Proceed (Rule 20.01)_2023-04-07_20251126165044.pdf")</f>
        <v>MCRO_27-CR-21-17656_Order-Evaluation for Competency to Proceed (Rule 20.01)_2023-04-07_20251126165044.pdf</v>
      </c>
      <c r="J260" s="2" t="s">
        <v>498</v>
      </c>
      <c r="K260" s="2" t="s">
        <v>499</v>
      </c>
      <c r="L260" s="2" t="s">
        <v>469</v>
      </c>
      <c r="M260" s="8" t="n">
        <v>45023</v>
      </c>
      <c r="N260" s="1" t="s">
        <v>1075</v>
      </c>
      <c r="O260" s="1" t="n">
        <v>0</v>
      </c>
      <c r="P260" s="1" t="s">
        <v>1075</v>
      </c>
      <c r="Q260" s="1" t="n">
        <v>0</v>
      </c>
      <c r="R260" s="1" t="s">
        <v>1076</v>
      </c>
      <c r="S260" s="1" t="n">
        <v>20251126165044</v>
      </c>
      <c r="T260" s="2" t="s">
        <v>1077</v>
      </c>
      <c r="U260" s="2" t="s">
        <v>1077</v>
      </c>
      <c r="X260" s="2" t="n">
        <v>1124418</v>
      </c>
      <c r="Y260" s="1" t="n">
        <v>1.7</v>
      </c>
      <c r="Z260" s="1" t="n">
        <v>2</v>
      </c>
      <c r="AA260" s="9" t="s">
        <v>475</v>
      </c>
    </row>
    <row r="261" customFormat="false" ht="18.7" hidden="false" customHeight="true" outlineLevel="0" collapsed="false">
      <c r="A261" s="1" t="n">
        <v>260</v>
      </c>
      <c r="B261" s="7" t="str">
        <f aca="false">HYPERLINK("https://mncourtfraud.com/file/27-CR-21-17656.pdf","27-CR-21-17656")</f>
        <v>27-CR-21-17656</v>
      </c>
      <c r="C261" s="1" t="n">
        <v>5</v>
      </c>
      <c r="D261" s="2" t="s">
        <v>267</v>
      </c>
      <c r="E261" s="8" t="n">
        <v>45194</v>
      </c>
      <c r="F261" s="2" t="s">
        <v>15</v>
      </c>
      <c r="G261" s="7" t="str">
        <f aca="false">HYPERLINK("https://mncourtfraud.com/file/MCRO_27-CR-21-17656_Order-Evaluation for Competency to Proceed (Rule 20.01)_2023-09-25_20251126165021.pdf","MCRO_27-CR-21-17656_Order-Evaluation for Competency to Proceed (Rule 20.01)_2023-09-25_20251126165021.pdf")</f>
        <v>MCRO_27-CR-21-17656_Order-Evaluation for Competency to Proceed (Rule 20.01)_2023-09-25_20251126165021.pdf</v>
      </c>
      <c r="I261" s="2" t="s">
        <v>481</v>
      </c>
      <c r="J261" s="2" t="s">
        <v>481</v>
      </c>
      <c r="K261" s="2" t="s">
        <v>482</v>
      </c>
      <c r="L261" s="2" t="s">
        <v>469</v>
      </c>
      <c r="M261" s="8" t="n">
        <v>45194</v>
      </c>
      <c r="N261" s="1" t="s">
        <v>1061</v>
      </c>
      <c r="O261" s="1" t="n">
        <v>0</v>
      </c>
      <c r="P261" s="1" t="s">
        <v>1061</v>
      </c>
      <c r="Q261" s="1" t="n">
        <v>0</v>
      </c>
      <c r="R261" s="1" t="s">
        <v>1078</v>
      </c>
      <c r="S261" s="1" t="n">
        <v>20251126165021</v>
      </c>
      <c r="T261" s="2" t="s">
        <v>1063</v>
      </c>
      <c r="U261" s="2" t="s">
        <v>1064</v>
      </c>
      <c r="X261" s="2" t="n">
        <v>166642</v>
      </c>
      <c r="Y261" s="1" t="n">
        <v>1.5</v>
      </c>
      <c r="Z261" s="1" t="n">
        <v>2</v>
      </c>
    </row>
    <row r="262" customFormat="false" ht="18.7" hidden="false" customHeight="true" outlineLevel="0" collapsed="false">
      <c r="A262" s="1" t="n">
        <v>261</v>
      </c>
      <c r="B262" s="7" t="str">
        <f aca="false">HYPERLINK("https://mncourtfraud.com/file/27-CR-21-21707.pdf","27-CR-21-21707")</f>
        <v>27-CR-21-21707</v>
      </c>
      <c r="C262" s="1" t="n">
        <v>5</v>
      </c>
      <c r="D262" s="2" t="s">
        <v>267</v>
      </c>
      <c r="E262" s="8" t="n">
        <v>44733</v>
      </c>
      <c r="F262" s="2" t="s">
        <v>17</v>
      </c>
      <c r="G262" s="7" t="str">
        <f aca="false">HYPERLINK("https://mncourtfraud.com/file/MCRO_27-CR-21-21707_Returned Mail_2022-06-21_20251126165201.pdf","MCRO_27-CR-21-21707_Returned Mail_2022-06-21_20251126165201.pdf")</f>
        <v>MCRO_27-CR-21-21707_Returned Mail_2022-06-21_20251126165201.pdf</v>
      </c>
      <c r="I262" s="2" t="s">
        <v>1037</v>
      </c>
      <c r="J262" s="2" t="s">
        <v>1037</v>
      </c>
      <c r="K262" s="2" t="s">
        <v>1038</v>
      </c>
      <c r="L262" s="2" t="s">
        <v>469</v>
      </c>
      <c r="M262" s="8" t="n">
        <v>44733</v>
      </c>
      <c r="N262" s="1" t="s">
        <v>1039</v>
      </c>
      <c r="O262" s="1" t="n">
        <v>2</v>
      </c>
      <c r="P262" s="1" t="s">
        <v>1040</v>
      </c>
      <c r="Q262" s="1" t="n">
        <v>2</v>
      </c>
      <c r="R262" s="1" t="s">
        <v>1079</v>
      </c>
      <c r="S262" s="1" t="n">
        <v>20251126165201</v>
      </c>
      <c r="T262" s="2" t="s">
        <v>1042</v>
      </c>
      <c r="U262" s="2" t="s">
        <v>1043</v>
      </c>
      <c r="X262" s="2" t="n">
        <v>254464</v>
      </c>
      <c r="Y262" s="1" t="n">
        <v>1.6</v>
      </c>
      <c r="Z262" s="1" t="n">
        <v>1</v>
      </c>
    </row>
    <row r="263" customFormat="false" ht="18.7" hidden="false" customHeight="true" outlineLevel="0" collapsed="false">
      <c r="A263" s="1" t="n">
        <v>262</v>
      </c>
      <c r="B263" s="7" t="str">
        <f aca="false">HYPERLINK("https://mncourtfraud.com/file/27-CR-21-21707.pdf","27-CR-21-21707")</f>
        <v>27-CR-21-21707</v>
      </c>
      <c r="C263" s="1" t="n">
        <v>5</v>
      </c>
      <c r="D263" s="2" t="s">
        <v>267</v>
      </c>
      <c r="E263" s="8" t="n">
        <v>44837</v>
      </c>
      <c r="F263" s="2" t="s">
        <v>17</v>
      </c>
      <c r="G263" s="7" t="str">
        <f aca="false">HYPERLINK("https://mncourtfraud.com/file/MCRO_27-CR-21-21707_Returned Mail_2022-10-03_20251126165146.pdf","MCRO_27-CR-21-21707_Returned Mail_2022-10-03_20251126165146.pdf")</f>
        <v>MCRO_27-CR-21-21707_Returned Mail_2022-10-03_20251126165146.pdf</v>
      </c>
      <c r="I263" s="2" t="s">
        <v>1044</v>
      </c>
      <c r="J263" s="2" t="s">
        <v>1044</v>
      </c>
      <c r="K263" s="2" t="s">
        <v>1045</v>
      </c>
      <c r="L263" s="2" t="s">
        <v>469</v>
      </c>
      <c r="M263" s="8" t="n">
        <v>44837</v>
      </c>
      <c r="N263" s="1" t="s">
        <v>1046</v>
      </c>
      <c r="O263" s="1" t="n">
        <v>3</v>
      </c>
      <c r="P263" s="1" t="s">
        <v>1047</v>
      </c>
      <c r="Q263" s="1" t="n">
        <v>3</v>
      </c>
      <c r="R263" s="1" t="s">
        <v>1080</v>
      </c>
      <c r="S263" s="1" t="n">
        <v>20251126165146</v>
      </c>
      <c r="T263" s="2" t="s">
        <v>1049</v>
      </c>
      <c r="U263" s="2" t="s">
        <v>1050</v>
      </c>
      <c r="X263" s="2" t="n">
        <v>381219</v>
      </c>
      <c r="Y263" s="1" t="n">
        <v>1.6</v>
      </c>
      <c r="Z263" s="1" t="n">
        <v>1</v>
      </c>
    </row>
    <row r="264" customFormat="false" ht="18.7" hidden="false" customHeight="true" outlineLevel="0" collapsed="false">
      <c r="A264" s="1" t="n">
        <v>263</v>
      </c>
      <c r="B264" s="7" t="str">
        <f aca="false">HYPERLINK("https://mncourtfraud.com/file/27-CR-21-21707.pdf","27-CR-21-21707")</f>
        <v>27-CR-21-21707</v>
      </c>
      <c r="C264" s="1" t="n">
        <v>5</v>
      </c>
      <c r="D264" s="2" t="s">
        <v>267</v>
      </c>
      <c r="E264" s="8" t="n">
        <v>44873</v>
      </c>
      <c r="F264" s="2" t="s">
        <v>15</v>
      </c>
      <c r="G264" s="7" t="str">
        <f aca="false">HYPERLINK("https://mncourtfraud.com/file/MCRO_27-CR-21-21707_Order-Evaluation for Competency to Proceed (Rule 20.01)_2022-11-08_20251126165112.pdf","MCRO_27-CR-21-21707_Order-Evaluation for Competency to Proceed (Rule 20.01)_2022-11-08_20251126165112.pdf")</f>
        <v>MCRO_27-CR-21-21707_Order-Evaluation for Competency to Proceed (Rule 20.01)_2022-11-08_20251126165112.pdf</v>
      </c>
      <c r="I264" s="2" t="s">
        <v>1051</v>
      </c>
      <c r="J264" s="2" t="s">
        <v>1051</v>
      </c>
      <c r="K264" s="2" t="s">
        <v>1052</v>
      </c>
      <c r="L264" s="2" t="s">
        <v>469</v>
      </c>
      <c r="M264" s="8" t="n">
        <v>44873</v>
      </c>
      <c r="N264" s="1" t="s">
        <v>1053</v>
      </c>
      <c r="O264" s="1" t="n">
        <v>2</v>
      </c>
      <c r="P264" s="1" t="s">
        <v>1054</v>
      </c>
      <c r="Q264" s="1" t="n">
        <v>2</v>
      </c>
      <c r="R264" s="1" t="s">
        <v>1081</v>
      </c>
      <c r="S264" s="1" t="n">
        <v>20251126165112</v>
      </c>
      <c r="T264" s="2" t="s">
        <v>1056</v>
      </c>
      <c r="U264" s="2" t="s">
        <v>1057</v>
      </c>
      <c r="X264" s="2" t="n">
        <v>846097</v>
      </c>
      <c r="Y264" s="1" t="n">
        <v>1.6</v>
      </c>
      <c r="Z264" s="1" t="n">
        <v>3</v>
      </c>
    </row>
    <row r="265" customFormat="false" ht="18.7" hidden="false" customHeight="true" outlineLevel="0" collapsed="false">
      <c r="A265" s="1" t="n">
        <v>264</v>
      </c>
      <c r="B265" s="7" t="str">
        <f aca="false">HYPERLINK("https://mncourtfraud.com/file/27-CR-21-21707.pdf","27-CR-21-21707")</f>
        <v>27-CR-21-21707</v>
      </c>
      <c r="C265" s="1" t="n">
        <v>5</v>
      </c>
      <c r="D265" s="2" t="s">
        <v>267</v>
      </c>
      <c r="E265" s="8" t="n">
        <v>45023</v>
      </c>
      <c r="F265" s="2" t="s">
        <v>15</v>
      </c>
      <c r="G265" s="7" t="str">
        <f aca="false">HYPERLINK("https://mncourtfraud.com/file/MCRO_27-CR-21-21707_Order-Evaluation for Competency to Proceed (Rule 20.01)_2023-04-07_20251126165123.pdf","MCRO_27-CR-21-21707_Order-Evaluation for Competency to Proceed (Rule 20.01)_2023-04-07_20251126165123.pdf")</f>
        <v>MCRO_27-CR-21-21707_Order-Evaluation for Competency to Proceed (Rule 20.01)_2023-04-07_20251126165123.pdf</v>
      </c>
      <c r="J265" s="2" t="s">
        <v>498</v>
      </c>
      <c r="K265" s="2" t="s">
        <v>499</v>
      </c>
      <c r="L265" s="2" t="s">
        <v>469</v>
      </c>
      <c r="M265" s="8" t="n">
        <v>45023</v>
      </c>
      <c r="N265" s="1" t="s">
        <v>1082</v>
      </c>
      <c r="O265" s="1" t="n">
        <v>0</v>
      </c>
      <c r="P265" s="1" t="s">
        <v>1082</v>
      </c>
      <c r="Q265" s="1" t="n">
        <v>0</v>
      </c>
      <c r="R265" s="1" t="s">
        <v>1083</v>
      </c>
      <c r="S265" s="1" t="n">
        <v>20251126165123</v>
      </c>
      <c r="T265" s="2" t="s">
        <v>1084</v>
      </c>
      <c r="U265" s="2" t="s">
        <v>1084</v>
      </c>
      <c r="X265" s="2" t="n">
        <v>1123722</v>
      </c>
      <c r="Y265" s="1" t="n">
        <v>1.7</v>
      </c>
      <c r="Z265" s="1" t="n">
        <v>2</v>
      </c>
      <c r="AA265" s="9" t="s">
        <v>475</v>
      </c>
    </row>
    <row r="266" customFormat="false" ht="18.7" hidden="false" customHeight="true" outlineLevel="0" collapsed="false">
      <c r="A266" s="1" t="n">
        <v>265</v>
      </c>
      <c r="B266" s="7" t="str">
        <f aca="false">HYPERLINK("https://mncourtfraud.com/file/27-CR-21-21707.pdf","27-CR-21-21707")</f>
        <v>27-CR-21-21707</v>
      </c>
      <c r="C266" s="1" t="n">
        <v>5</v>
      </c>
      <c r="D266" s="2" t="s">
        <v>267</v>
      </c>
      <c r="E266" s="8" t="n">
        <v>45194</v>
      </c>
      <c r="F266" s="2" t="s">
        <v>15</v>
      </c>
      <c r="G266" s="7" t="str">
        <f aca="false">HYPERLINK("https://mncourtfraud.com/file/MCRO_27-CR-21-21707_Order-Evaluation for Competency to Proceed (Rule 20.01)_2023-09-25_20251126165133.pdf","MCRO_27-CR-21-21707_Order-Evaluation for Competency to Proceed (Rule 20.01)_2023-09-25_20251126165133.pdf")</f>
        <v>MCRO_27-CR-21-21707_Order-Evaluation for Competency to Proceed (Rule 20.01)_2023-09-25_20251126165133.pdf</v>
      </c>
      <c r="I266" s="2" t="s">
        <v>481</v>
      </c>
      <c r="J266" s="2" t="s">
        <v>481</v>
      </c>
      <c r="K266" s="2" t="s">
        <v>482</v>
      </c>
      <c r="L266" s="2" t="s">
        <v>469</v>
      </c>
      <c r="M266" s="8" t="n">
        <v>45194</v>
      </c>
      <c r="N266" s="1" t="s">
        <v>1061</v>
      </c>
      <c r="O266" s="1" t="n">
        <v>0</v>
      </c>
      <c r="P266" s="1" t="s">
        <v>1061</v>
      </c>
      <c r="Q266" s="1" t="n">
        <v>0</v>
      </c>
      <c r="R266" s="1" t="s">
        <v>1085</v>
      </c>
      <c r="S266" s="1" t="n">
        <v>20251126165133</v>
      </c>
      <c r="T266" s="2" t="s">
        <v>1063</v>
      </c>
      <c r="U266" s="2" t="s">
        <v>1064</v>
      </c>
      <c r="X266" s="2" t="n">
        <v>166641</v>
      </c>
      <c r="Y266" s="1" t="n">
        <v>1.5</v>
      </c>
      <c r="Z266" s="1" t="n">
        <v>2</v>
      </c>
    </row>
    <row r="267" customFormat="false" ht="18.7" hidden="false" customHeight="true" outlineLevel="0" collapsed="false">
      <c r="A267" s="1" t="n">
        <v>266</v>
      </c>
      <c r="B267" s="7" t="str">
        <f aca="false">HYPERLINK("https://mncourtfraud.com/file/27-CR-21-21833.pdf","27-CR-21-21833")</f>
        <v>27-CR-21-21833</v>
      </c>
      <c r="C267" s="1" t="n">
        <v>5</v>
      </c>
      <c r="D267" s="2" t="s">
        <v>267</v>
      </c>
      <c r="E267" s="8" t="n">
        <v>44733</v>
      </c>
      <c r="F267" s="2" t="s">
        <v>17</v>
      </c>
      <c r="G267" s="7" t="str">
        <f aca="false">HYPERLINK("https://mncourtfraud.com/file/MCRO_27-CR-21-21833_Returned Mail_2022-06-21_20251126165240.pdf","MCRO_27-CR-21-21833_Returned Mail_2022-06-21_20251126165240.pdf")</f>
        <v>MCRO_27-CR-21-21833_Returned Mail_2022-06-21_20251126165240.pdf</v>
      </c>
      <c r="I267" s="2" t="s">
        <v>1037</v>
      </c>
      <c r="J267" s="2" t="s">
        <v>1037</v>
      </c>
      <c r="K267" s="2" t="s">
        <v>1038</v>
      </c>
      <c r="L267" s="2" t="s">
        <v>469</v>
      </c>
      <c r="M267" s="8" t="n">
        <v>44733</v>
      </c>
      <c r="N267" s="1" t="s">
        <v>1039</v>
      </c>
      <c r="O267" s="1" t="n">
        <v>2</v>
      </c>
      <c r="P267" s="1" t="s">
        <v>1040</v>
      </c>
      <c r="Q267" s="1" t="n">
        <v>2</v>
      </c>
      <c r="R267" s="1" t="s">
        <v>1086</v>
      </c>
      <c r="S267" s="1" t="n">
        <v>20251126165240</v>
      </c>
      <c r="T267" s="2" t="s">
        <v>1042</v>
      </c>
      <c r="U267" s="2" t="s">
        <v>1043</v>
      </c>
      <c r="X267" s="2" t="n">
        <v>254465</v>
      </c>
      <c r="Y267" s="1" t="n">
        <v>1.6</v>
      </c>
      <c r="Z267" s="1" t="n">
        <v>1</v>
      </c>
    </row>
    <row r="268" customFormat="false" ht="18.7" hidden="false" customHeight="true" outlineLevel="0" collapsed="false">
      <c r="A268" s="1" t="n">
        <v>267</v>
      </c>
      <c r="B268" s="7" t="str">
        <f aca="false">HYPERLINK("https://mncourtfraud.com/file/27-CR-21-21833.pdf","27-CR-21-21833")</f>
        <v>27-CR-21-21833</v>
      </c>
      <c r="C268" s="1" t="n">
        <v>5</v>
      </c>
      <c r="D268" s="2" t="s">
        <v>267</v>
      </c>
      <c r="E268" s="8" t="n">
        <v>44837</v>
      </c>
      <c r="F268" s="2" t="s">
        <v>17</v>
      </c>
      <c r="G268" s="7" t="str">
        <f aca="false">HYPERLINK("https://mncourtfraud.com/file/MCRO_27-CR-21-21833_Returned Mail_2022-10-03_20251126165252.pdf","MCRO_27-CR-21-21833_Returned Mail_2022-10-03_20251126165252.pdf")</f>
        <v>MCRO_27-CR-21-21833_Returned Mail_2022-10-03_20251126165252.pdf</v>
      </c>
      <c r="I268" s="2" t="s">
        <v>1044</v>
      </c>
      <c r="J268" s="2" t="s">
        <v>1044</v>
      </c>
      <c r="K268" s="2" t="s">
        <v>1045</v>
      </c>
      <c r="L268" s="2" t="s">
        <v>469</v>
      </c>
      <c r="M268" s="8" t="n">
        <v>44837</v>
      </c>
      <c r="N268" s="1" t="s">
        <v>1046</v>
      </c>
      <c r="O268" s="1" t="n">
        <v>3</v>
      </c>
      <c r="P268" s="1" t="s">
        <v>1047</v>
      </c>
      <c r="Q268" s="1" t="n">
        <v>3</v>
      </c>
      <c r="R268" s="1" t="s">
        <v>1087</v>
      </c>
      <c r="S268" s="1" t="n">
        <v>20251126165252</v>
      </c>
      <c r="T268" s="2" t="s">
        <v>1049</v>
      </c>
      <c r="U268" s="2" t="s">
        <v>1050</v>
      </c>
      <c r="X268" s="2" t="n">
        <v>381219</v>
      </c>
      <c r="Y268" s="1" t="n">
        <v>1.6</v>
      </c>
      <c r="Z268" s="1" t="n">
        <v>1</v>
      </c>
    </row>
    <row r="269" customFormat="false" ht="18.7" hidden="false" customHeight="true" outlineLevel="0" collapsed="false">
      <c r="A269" s="1" t="n">
        <v>268</v>
      </c>
      <c r="B269" s="7" t="str">
        <f aca="false">HYPERLINK("https://mncourtfraud.com/file/27-CR-21-21833.pdf","27-CR-21-21833")</f>
        <v>27-CR-21-21833</v>
      </c>
      <c r="C269" s="1" t="n">
        <v>5</v>
      </c>
      <c r="D269" s="2" t="s">
        <v>267</v>
      </c>
      <c r="E269" s="8" t="n">
        <v>44873</v>
      </c>
      <c r="F269" s="2" t="s">
        <v>15</v>
      </c>
      <c r="G269" s="7" t="str">
        <f aca="false">HYPERLINK("https://mncourtfraud.com/file/MCRO_27-CR-21-21833_Order-Evaluation for Competency to Proceed (Rule 20.01)_2022-11-08_20251126165318.pdf","MCRO_27-CR-21-21833_Order-Evaluation for Competency to Proceed (Rule 20.01)_2022-11-08_20251126165318.pdf")</f>
        <v>MCRO_27-CR-21-21833_Order-Evaluation for Competency to Proceed (Rule 20.01)_2022-11-08_20251126165318.pdf</v>
      </c>
      <c r="I269" s="2" t="s">
        <v>1051</v>
      </c>
      <c r="J269" s="2" t="s">
        <v>1051</v>
      </c>
      <c r="K269" s="2" t="s">
        <v>1052</v>
      </c>
      <c r="L269" s="2" t="s">
        <v>469</v>
      </c>
      <c r="M269" s="8" t="n">
        <v>44873</v>
      </c>
      <c r="N269" s="1" t="s">
        <v>1053</v>
      </c>
      <c r="O269" s="1" t="n">
        <v>2</v>
      </c>
      <c r="P269" s="1" t="s">
        <v>1054</v>
      </c>
      <c r="Q269" s="1" t="n">
        <v>2</v>
      </c>
      <c r="R269" s="1" t="s">
        <v>1088</v>
      </c>
      <c r="S269" s="1" t="n">
        <v>20251126165318</v>
      </c>
      <c r="T269" s="2" t="s">
        <v>1056</v>
      </c>
      <c r="U269" s="2" t="s">
        <v>1057</v>
      </c>
      <c r="X269" s="2" t="n">
        <v>846094</v>
      </c>
      <c r="Y269" s="1" t="n">
        <v>1.6</v>
      </c>
      <c r="Z269" s="1" t="n">
        <v>3</v>
      </c>
    </row>
    <row r="270" customFormat="false" ht="18.7" hidden="false" customHeight="true" outlineLevel="0" collapsed="false">
      <c r="A270" s="1" t="n">
        <v>269</v>
      </c>
      <c r="B270" s="7" t="str">
        <f aca="false">HYPERLINK("https://mncourtfraud.com/file/27-CR-21-21833.pdf","27-CR-21-21833")</f>
        <v>27-CR-21-21833</v>
      </c>
      <c r="C270" s="1" t="n">
        <v>5</v>
      </c>
      <c r="D270" s="2" t="s">
        <v>267</v>
      </c>
      <c r="E270" s="8" t="n">
        <v>45023</v>
      </c>
      <c r="F270" s="2" t="s">
        <v>15</v>
      </c>
      <c r="G270" s="7" t="str">
        <f aca="false">HYPERLINK("https://mncourtfraud.com/file/MCRO_27-CR-21-21833_Order-Evaluation for Competency to Proceed (Rule 20.01)_2023-04-07_20251126165327.pdf","MCRO_27-CR-21-21833_Order-Evaluation for Competency to Proceed (Rule 20.01)_2023-04-07_20251126165327.pdf")</f>
        <v>MCRO_27-CR-21-21833_Order-Evaluation for Competency to Proceed (Rule 20.01)_2023-04-07_20251126165327.pdf</v>
      </c>
      <c r="J270" s="2" t="s">
        <v>498</v>
      </c>
      <c r="K270" s="2" t="s">
        <v>499</v>
      </c>
      <c r="L270" s="2" t="s">
        <v>469</v>
      </c>
      <c r="M270" s="8" t="n">
        <v>45023</v>
      </c>
      <c r="N270" s="1" t="s">
        <v>1089</v>
      </c>
      <c r="O270" s="1" t="n">
        <v>0</v>
      </c>
      <c r="P270" s="1" t="s">
        <v>1089</v>
      </c>
      <c r="Q270" s="1" t="n">
        <v>0</v>
      </c>
      <c r="R270" s="1" t="s">
        <v>1090</v>
      </c>
      <c r="S270" s="1" t="n">
        <v>20251126165327</v>
      </c>
      <c r="T270" s="2" t="s">
        <v>1091</v>
      </c>
      <c r="U270" s="2" t="s">
        <v>1091</v>
      </c>
      <c r="X270" s="2" t="n">
        <v>1124826</v>
      </c>
      <c r="Y270" s="1" t="n">
        <v>1.7</v>
      </c>
      <c r="Z270" s="1" t="n">
        <v>2</v>
      </c>
      <c r="AA270" s="9" t="s">
        <v>475</v>
      </c>
    </row>
    <row r="271" customFormat="false" ht="18.7" hidden="false" customHeight="true" outlineLevel="0" collapsed="false">
      <c r="A271" s="1" t="n">
        <v>270</v>
      </c>
      <c r="B271" s="7" t="str">
        <f aca="false">HYPERLINK("https://mncourtfraud.com/file/27-CR-21-21833.pdf","27-CR-21-21833")</f>
        <v>27-CR-21-21833</v>
      </c>
      <c r="C271" s="1" t="n">
        <v>5</v>
      </c>
      <c r="D271" s="2" t="s">
        <v>267</v>
      </c>
      <c r="E271" s="8" t="n">
        <v>45194</v>
      </c>
      <c r="F271" s="2" t="s">
        <v>15</v>
      </c>
      <c r="G271" s="7" t="str">
        <f aca="false">HYPERLINK("https://mncourtfraud.com/file/MCRO_27-CR-21-21833_Order-Evaluation for Competency to Proceed (Rule 20.01)_2023-09-25_20251126165306.pdf","MCRO_27-CR-21-21833_Order-Evaluation for Competency to Proceed (Rule 20.01)_2023-09-25_20251126165306.pdf")</f>
        <v>MCRO_27-CR-21-21833_Order-Evaluation for Competency to Proceed (Rule 20.01)_2023-09-25_20251126165306.pdf</v>
      </c>
      <c r="I271" s="2" t="s">
        <v>481</v>
      </c>
      <c r="J271" s="2" t="s">
        <v>481</v>
      </c>
      <c r="K271" s="2" t="s">
        <v>482</v>
      </c>
      <c r="L271" s="2" t="s">
        <v>469</v>
      </c>
      <c r="M271" s="8" t="n">
        <v>45194</v>
      </c>
      <c r="N271" s="1" t="s">
        <v>1061</v>
      </c>
      <c r="O271" s="1" t="n">
        <v>0</v>
      </c>
      <c r="P271" s="1" t="s">
        <v>1061</v>
      </c>
      <c r="Q271" s="1" t="n">
        <v>0</v>
      </c>
      <c r="R271" s="1" t="s">
        <v>1092</v>
      </c>
      <c r="S271" s="1" t="n">
        <v>20251126165306</v>
      </c>
      <c r="T271" s="2" t="s">
        <v>1063</v>
      </c>
      <c r="U271" s="2" t="s">
        <v>1064</v>
      </c>
      <c r="X271" s="2" t="n">
        <v>166641</v>
      </c>
      <c r="Y271" s="1" t="n">
        <v>1.5</v>
      </c>
      <c r="Z271" s="1" t="n">
        <v>2</v>
      </c>
    </row>
    <row r="272" customFormat="false" ht="18.7" hidden="false" customHeight="true" outlineLevel="0" collapsed="false">
      <c r="A272" s="1" t="n">
        <v>271</v>
      </c>
      <c r="B272" s="7" t="str">
        <f aca="false">HYPERLINK("https://mncourtfraud.com/file/27-CR-21-22737.pdf","27-CR-21-22737")</f>
        <v>27-CR-21-22737</v>
      </c>
      <c r="C272" s="1" t="n">
        <v>5</v>
      </c>
      <c r="D272" s="2" t="s">
        <v>267</v>
      </c>
      <c r="E272" s="8" t="n">
        <v>44733</v>
      </c>
      <c r="F272" s="2" t="s">
        <v>17</v>
      </c>
      <c r="G272" s="7" t="str">
        <f aca="false">HYPERLINK("https://mncourtfraud.com/file/MCRO_27-CR-21-22737_Returned Mail_2022-06-21_20251126165440.pdf","MCRO_27-CR-21-22737_Returned Mail_2022-06-21_20251126165440.pdf")</f>
        <v>MCRO_27-CR-21-22737_Returned Mail_2022-06-21_20251126165440.pdf</v>
      </c>
      <c r="J272" s="2" t="s">
        <v>498</v>
      </c>
      <c r="K272" s="2" t="s">
        <v>499</v>
      </c>
      <c r="L272" s="2" t="s">
        <v>469</v>
      </c>
      <c r="M272" s="8" t="n">
        <v>44733</v>
      </c>
      <c r="N272" s="1" t="s">
        <v>1093</v>
      </c>
      <c r="O272" s="1" t="n">
        <v>2</v>
      </c>
      <c r="P272" s="1" t="s">
        <v>1093</v>
      </c>
      <c r="Q272" s="1" t="n">
        <v>2</v>
      </c>
      <c r="R272" s="1" t="s">
        <v>1094</v>
      </c>
      <c r="S272" s="1" t="n">
        <v>20251126165440</v>
      </c>
      <c r="T272" s="2" t="s">
        <v>1095</v>
      </c>
      <c r="U272" s="2" t="s">
        <v>1095</v>
      </c>
      <c r="X272" s="2" t="n">
        <v>401456</v>
      </c>
      <c r="Y272" s="1" t="n">
        <v>1.7</v>
      </c>
      <c r="Z272" s="1" t="n">
        <v>1</v>
      </c>
      <c r="AA272" s="9" t="s">
        <v>475</v>
      </c>
    </row>
    <row r="273" customFormat="false" ht="18.7" hidden="false" customHeight="true" outlineLevel="0" collapsed="false">
      <c r="A273" s="1" t="n">
        <v>272</v>
      </c>
      <c r="B273" s="7" t="str">
        <f aca="false">HYPERLINK("https://mncourtfraud.com/file/27-CR-21-22737.pdf","27-CR-21-22737")</f>
        <v>27-CR-21-22737</v>
      </c>
      <c r="C273" s="1" t="n">
        <v>5</v>
      </c>
      <c r="D273" s="2" t="s">
        <v>267</v>
      </c>
      <c r="E273" s="8" t="n">
        <v>44837</v>
      </c>
      <c r="F273" s="2" t="s">
        <v>17</v>
      </c>
      <c r="G273" s="7" t="str">
        <f aca="false">HYPERLINK("https://mncourtfraud.com/file/MCRO_27-CR-21-22737_Returned Mail_2022-10-03_20251126165429.pdf","MCRO_27-CR-21-22737_Returned Mail_2022-10-03_20251126165429.pdf")</f>
        <v>MCRO_27-CR-21-22737_Returned Mail_2022-10-03_20251126165429.pdf</v>
      </c>
      <c r="I273" s="2" t="s">
        <v>1044</v>
      </c>
      <c r="J273" s="2" t="s">
        <v>1044</v>
      </c>
      <c r="K273" s="2" t="s">
        <v>1045</v>
      </c>
      <c r="L273" s="2" t="s">
        <v>469</v>
      </c>
      <c r="M273" s="8" t="n">
        <v>44837</v>
      </c>
      <c r="N273" s="1" t="s">
        <v>1046</v>
      </c>
      <c r="O273" s="1" t="n">
        <v>3</v>
      </c>
      <c r="P273" s="1" t="s">
        <v>1047</v>
      </c>
      <c r="Q273" s="1" t="n">
        <v>3</v>
      </c>
      <c r="R273" s="1" t="s">
        <v>1096</v>
      </c>
      <c r="S273" s="1" t="n">
        <v>20251126165429</v>
      </c>
      <c r="T273" s="2" t="s">
        <v>1049</v>
      </c>
      <c r="U273" s="2" t="s">
        <v>1050</v>
      </c>
      <c r="X273" s="2" t="n">
        <v>381219</v>
      </c>
      <c r="Y273" s="1" t="n">
        <v>1.6</v>
      </c>
      <c r="Z273" s="1" t="n">
        <v>1</v>
      </c>
    </row>
    <row r="274" customFormat="false" ht="18.7" hidden="false" customHeight="true" outlineLevel="0" collapsed="false">
      <c r="A274" s="1" t="n">
        <v>273</v>
      </c>
      <c r="B274" s="7" t="str">
        <f aca="false">HYPERLINK("https://mncourtfraud.com/file/27-CR-21-22737.pdf","27-CR-21-22737")</f>
        <v>27-CR-21-22737</v>
      </c>
      <c r="C274" s="1" t="n">
        <v>5</v>
      </c>
      <c r="D274" s="2" t="s">
        <v>267</v>
      </c>
      <c r="E274" s="8" t="n">
        <v>44873</v>
      </c>
      <c r="F274" s="2" t="s">
        <v>15</v>
      </c>
      <c r="G274" s="7" t="str">
        <f aca="false">HYPERLINK("https://mncourtfraud.com/file/MCRO_27-CR-21-22737_Order-Evaluation for Competency to Proceed (Rule 20.01)_2022-11-08_20251126165353.pdf","MCRO_27-CR-21-22737_Order-Evaluation for Competency to Proceed (Rule 20.01)_2022-11-08_20251126165353.pdf")</f>
        <v>MCRO_27-CR-21-22737_Order-Evaluation for Competency to Proceed (Rule 20.01)_2022-11-08_20251126165353.pdf</v>
      </c>
      <c r="I274" s="2" t="s">
        <v>1051</v>
      </c>
      <c r="J274" s="2" t="s">
        <v>1051</v>
      </c>
      <c r="K274" s="2" t="s">
        <v>1052</v>
      </c>
      <c r="L274" s="2" t="s">
        <v>469</v>
      </c>
      <c r="M274" s="8" t="n">
        <v>44873</v>
      </c>
      <c r="N274" s="1" t="s">
        <v>1053</v>
      </c>
      <c r="O274" s="1" t="n">
        <v>2</v>
      </c>
      <c r="P274" s="1" t="s">
        <v>1054</v>
      </c>
      <c r="Q274" s="1" t="n">
        <v>2</v>
      </c>
      <c r="R274" s="1" t="s">
        <v>1097</v>
      </c>
      <c r="S274" s="1" t="n">
        <v>20251126165353</v>
      </c>
      <c r="T274" s="2" t="s">
        <v>1056</v>
      </c>
      <c r="U274" s="2" t="s">
        <v>1057</v>
      </c>
      <c r="X274" s="2" t="n">
        <v>846096</v>
      </c>
      <c r="Y274" s="1" t="n">
        <v>1.6</v>
      </c>
      <c r="Z274" s="1" t="n">
        <v>3</v>
      </c>
    </row>
    <row r="275" customFormat="false" ht="18.7" hidden="false" customHeight="true" outlineLevel="0" collapsed="false">
      <c r="A275" s="1" t="n">
        <v>274</v>
      </c>
      <c r="B275" s="7" t="str">
        <f aca="false">HYPERLINK("https://mncourtfraud.com/file/27-CR-21-22737.pdf","27-CR-21-22737")</f>
        <v>27-CR-21-22737</v>
      </c>
      <c r="C275" s="1" t="n">
        <v>5</v>
      </c>
      <c r="D275" s="2" t="s">
        <v>267</v>
      </c>
      <c r="E275" s="8" t="n">
        <v>45023</v>
      </c>
      <c r="F275" s="2" t="s">
        <v>15</v>
      </c>
      <c r="G275" s="7" t="str">
        <f aca="false">HYPERLINK("https://mncourtfraud.com/file/MCRO_27-CR-21-22737_Order-Evaluation for Competency to Proceed (Rule 20.01)_2023-04-07_20251126165404.pdf","MCRO_27-CR-21-22737_Order-Evaluation for Competency to Proceed (Rule 20.01)_2023-04-07_20251126165404.pdf")</f>
        <v>MCRO_27-CR-21-22737_Order-Evaluation for Competency to Proceed (Rule 20.01)_2023-04-07_20251126165404.pdf</v>
      </c>
      <c r="J275" s="2" t="s">
        <v>498</v>
      </c>
      <c r="K275" s="2" t="s">
        <v>499</v>
      </c>
      <c r="L275" s="2" t="s">
        <v>469</v>
      </c>
      <c r="M275" s="8" t="n">
        <v>45023</v>
      </c>
      <c r="N275" s="1" t="s">
        <v>1098</v>
      </c>
      <c r="O275" s="1" t="n">
        <v>0</v>
      </c>
      <c r="P275" s="1" t="s">
        <v>1098</v>
      </c>
      <c r="Q275" s="1" t="n">
        <v>0</v>
      </c>
      <c r="R275" s="1" t="s">
        <v>1099</v>
      </c>
      <c r="S275" s="1" t="n">
        <v>20251126165404</v>
      </c>
      <c r="T275" s="2" t="s">
        <v>1100</v>
      </c>
      <c r="U275" s="2" t="s">
        <v>1100</v>
      </c>
      <c r="X275" s="2" t="n">
        <v>1138889</v>
      </c>
      <c r="Y275" s="1" t="n">
        <v>1.7</v>
      </c>
      <c r="Z275" s="1" t="n">
        <v>2</v>
      </c>
      <c r="AA275" s="9" t="s">
        <v>475</v>
      </c>
    </row>
    <row r="276" customFormat="false" ht="18.7" hidden="false" customHeight="true" outlineLevel="0" collapsed="false">
      <c r="A276" s="1" t="n">
        <v>275</v>
      </c>
      <c r="B276" s="7" t="str">
        <f aca="false">HYPERLINK("https://mncourtfraud.com/file/27-CR-21-22737.pdf","27-CR-21-22737")</f>
        <v>27-CR-21-22737</v>
      </c>
      <c r="C276" s="1" t="n">
        <v>5</v>
      </c>
      <c r="D276" s="2" t="s">
        <v>267</v>
      </c>
      <c r="E276" s="8" t="n">
        <v>45194</v>
      </c>
      <c r="F276" s="2" t="s">
        <v>15</v>
      </c>
      <c r="G276" s="7" t="str">
        <f aca="false">HYPERLINK("https://mncourtfraud.com/file/MCRO_27-CR-21-22737_Order-Evaluation for Competency to Proceed (Rule 20.01)_2023-09-25_20251126165414.pdf","MCRO_27-CR-21-22737_Order-Evaluation for Competency to Proceed (Rule 20.01)_2023-09-25_20251126165414.pdf")</f>
        <v>MCRO_27-CR-21-22737_Order-Evaluation for Competency to Proceed (Rule 20.01)_2023-09-25_20251126165414.pdf</v>
      </c>
      <c r="I276" s="2" t="s">
        <v>481</v>
      </c>
      <c r="J276" s="2" t="s">
        <v>481</v>
      </c>
      <c r="K276" s="2" t="s">
        <v>482</v>
      </c>
      <c r="L276" s="2" t="s">
        <v>469</v>
      </c>
      <c r="M276" s="8" t="n">
        <v>45194</v>
      </c>
      <c r="N276" s="1" t="s">
        <v>1061</v>
      </c>
      <c r="O276" s="1" t="n">
        <v>0</v>
      </c>
      <c r="P276" s="1" t="s">
        <v>1061</v>
      </c>
      <c r="Q276" s="1" t="n">
        <v>0</v>
      </c>
      <c r="R276" s="1" t="s">
        <v>1101</v>
      </c>
      <c r="S276" s="1" t="n">
        <v>20251126165414</v>
      </c>
      <c r="T276" s="2" t="s">
        <v>1063</v>
      </c>
      <c r="U276" s="2" t="s">
        <v>1064</v>
      </c>
      <c r="X276" s="2" t="n">
        <v>166644</v>
      </c>
      <c r="Y276" s="1" t="n">
        <v>1.5</v>
      </c>
      <c r="Z276" s="1" t="n">
        <v>2</v>
      </c>
    </row>
    <row r="277" customFormat="false" ht="18.7" hidden="false" customHeight="true" outlineLevel="0" collapsed="false">
      <c r="A277" s="1" t="n">
        <v>276</v>
      </c>
      <c r="B277" s="7" t="str">
        <f aca="false">HYPERLINK("https://mncourtfraud.com/file/27-CR-21-23724.pdf","27-CR-21-23724")</f>
        <v>27-CR-21-23724</v>
      </c>
      <c r="C277" s="1" t="n">
        <v>1</v>
      </c>
      <c r="D277" s="2" t="s">
        <v>12</v>
      </c>
      <c r="E277" s="8" t="n">
        <v>44558</v>
      </c>
      <c r="F277" s="2" t="s">
        <v>15</v>
      </c>
      <c r="G277" s="7" t="str">
        <f aca="false">HYPERLINK("https://mncourtfraud.com/file/MCRO_27-CR-21-23724_Order-Evaluation for Competency to Proceed (Rule 20.01)_2021-12-28_20251126184113.pdf","MCRO_27-CR-21-23724_Order-Evaluation for Competency to Proceed (Rule 20.01)_2021-12-28_20251126184113.pdf")</f>
        <v>MCRO_27-CR-21-23724_Order-Evaluation for Competency to Proceed (Rule 20.01)_2021-12-28_20251126184113.pdf</v>
      </c>
      <c r="J277" s="2" t="s">
        <v>498</v>
      </c>
      <c r="K277" s="2" t="s">
        <v>499</v>
      </c>
      <c r="L277" s="2" t="s">
        <v>469</v>
      </c>
      <c r="M277" s="8" t="n">
        <v>44558</v>
      </c>
      <c r="N277" s="1" t="s">
        <v>1102</v>
      </c>
      <c r="O277" s="1" t="n">
        <v>0</v>
      </c>
      <c r="P277" s="1" t="s">
        <v>1102</v>
      </c>
      <c r="Q277" s="1" t="n">
        <v>0</v>
      </c>
      <c r="R277" s="1" t="s">
        <v>1103</v>
      </c>
      <c r="S277" s="1" t="n">
        <v>20251126184113</v>
      </c>
      <c r="T277" s="2" t="s">
        <v>1104</v>
      </c>
      <c r="U277" s="2" t="s">
        <v>1104</v>
      </c>
      <c r="X277" s="2" t="n">
        <v>241489</v>
      </c>
      <c r="Y277" s="1" t="n">
        <v>1.7</v>
      </c>
      <c r="Z277" s="1" t="n">
        <v>3</v>
      </c>
      <c r="AA277" s="9" t="s">
        <v>475</v>
      </c>
    </row>
    <row r="278" customFormat="false" ht="18.7" hidden="false" customHeight="true" outlineLevel="0" collapsed="false">
      <c r="A278" s="1" t="n">
        <v>277</v>
      </c>
      <c r="B278" s="7" t="str">
        <f aca="false">HYPERLINK("https://mncourtfraud.com/file/27-CR-21-23724.pdf","27-CR-21-23724")</f>
        <v>27-CR-21-23724</v>
      </c>
      <c r="C278" s="1" t="n">
        <v>1</v>
      </c>
      <c r="D278" s="2" t="s">
        <v>12</v>
      </c>
      <c r="E278" s="8" t="n">
        <v>44593</v>
      </c>
      <c r="F278" s="2" t="s">
        <v>19</v>
      </c>
      <c r="G278" s="7" t="str">
        <f aca="false">HYPERLINK("https://mncourtfraud.com/file/MCRO_27-CR-21-23724_Findings and Order_2022-02-01_20251126184020.pdf","MCRO_27-CR-21-23724_Findings and Order_2022-02-01_20251126184020.pdf")</f>
        <v>MCRO_27-CR-21-23724_Findings and Order_2022-02-01_20251126184020.pdf</v>
      </c>
      <c r="H278" s="2" t="s">
        <v>503</v>
      </c>
      <c r="I278" s="2" t="s">
        <v>503</v>
      </c>
      <c r="J278" s="2" t="s">
        <v>519</v>
      </c>
      <c r="K278" s="2" t="s">
        <v>520</v>
      </c>
      <c r="L278" s="2" t="s">
        <v>469</v>
      </c>
      <c r="M278" s="8" t="n">
        <v>44593</v>
      </c>
      <c r="N278" s="1" t="s">
        <v>529</v>
      </c>
      <c r="O278" s="1" t="n">
        <v>0</v>
      </c>
      <c r="P278" s="1" t="s">
        <v>530</v>
      </c>
      <c r="Q278" s="1" t="n">
        <v>0</v>
      </c>
      <c r="R278" s="1" t="s">
        <v>1105</v>
      </c>
      <c r="S278" s="1" t="n">
        <v>20251126184020</v>
      </c>
      <c r="T278" s="2" t="s">
        <v>532</v>
      </c>
      <c r="U278" s="2" t="s">
        <v>533</v>
      </c>
      <c r="W278" s="2" t="s">
        <v>509</v>
      </c>
      <c r="X278" s="2" t="n">
        <v>361785</v>
      </c>
      <c r="Y278" s="1" t="n">
        <v>1.7</v>
      </c>
      <c r="Z278" s="1" t="n">
        <v>7</v>
      </c>
      <c r="AA278" s="9" t="s">
        <v>475</v>
      </c>
    </row>
    <row r="279" customFormat="false" ht="18.7" hidden="false" customHeight="true" outlineLevel="0" collapsed="false">
      <c r="A279" s="1" t="n">
        <v>278</v>
      </c>
      <c r="B279" s="7" t="str">
        <f aca="false">HYPERLINK("https://mncourtfraud.com/file/27-CR-21-23724.pdf","27-CR-21-23724")</f>
        <v>27-CR-21-23724</v>
      </c>
      <c r="C279" s="1" t="n">
        <v>1</v>
      </c>
      <c r="D279" s="2" t="s">
        <v>12</v>
      </c>
      <c r="E279" s="8" t="n">
        <v>44692</v>
      </c>
      <c r="F279" s="2" t="s">
        <v>15</v>
      </c>
      <c r="G279" s="7" t="str">
        <f aca="false">HYPERLINK("https://mncourtfraud.com/file/MCRO_27-CR-21-23724_Order-Evaluation for Competency to Proceed (Rule 20.01)_2022-05-11_20251126184121.pdf","MCRO_27-CR-21-23724_Order-Evaluation for Competency to Proceed (Rule 20.01)_2022-05-11_20251126184121.pdf")</f>
        <v>MCRO_27-CR-21-23724_Order-Evaluation for Competency to Proceed (Rule 20.01)_2022-05-11_20251126184121.pdf</v>
      </c>
      <c r="H279" s="2" t="s">
        <v>534</v>
      </c>
      <c r="I279" s="2" t="s">
        <v>534</v>
      </c>
      <c r="J279" s="2" t="s">
        <v>535</v>
      </c>
      <c r="K279" s="2" t="s">
        <v>536</v>
      </c>
      <c r="L279" s="2" t="s">
        <v>469</v>
      </c>
      <c r="M279" s="8" t="n">
        <v>44692</v>
      </c>
      <c r="N279" s="1" t="s">
        <v>537</v>
      </c>
      <c r="O279" s="1" t="n">
        <v>0</v>
      </c>
      <c r="P279" s="1" t="s">
        <v>1106</v>
      </c>
      <c r="Q279" s="1" t="n">
        <v>0</v>
      </c>
      <c r="R279" s="1" t="s">
        <v>1107</v>
      </c>
      <c r="S279" s="1" t="n">
        <v>20251126184121</v>
      </c>
      <c r="T279" s="2" t="s">
        <v>540</v>
      </c>
      <c r="U279" s="2" t="s">
        <v>1108</v>
      </c>
      <c r="W279" s="2" t="s">
        <v>542</v>
      </c>
      <c r="X279" s="2" t="n">
        <v>239821</v>
      </c>
      <c r="Y279" s="1" t="n">
        <v>1.6</v>
      </c>
      <c r="Z279" s="1" t="n">
        <v>2</v>
      </c>
    </row>
    <row r="280" customFormat="false" ht="18.7" hidden="false" customHeight="true" outlineLevel="0" collapsed="false">
      <c r="A280" s="1" t="n">
        <v>279</v>
      </c>
      <c r="B280" s="7" t="str">
        <f aca="false">HYPERLINK("https://mncourtfraud.com/file/27-CR-21-23724.pdf","27-CR-21-23724")</f>
        <v>27-CR-21-23724</v>
      </c>
      <c r="C280" s="1" t="n">
        <v>1</v>
      </c>
      <c r="D280" s="2" t="s">
        <v>12</v>
      </c>
      <c r="E280" s="8" t="n">
        <v>44895</v>
      </c>
      <c r="F280" s="2" t="s">
        <v>15</v>
      </c>
      <c r="G280" s="7" t="str">
        <f aca="false">HYPERLINK("https://mncourtfraud.com/file/MCRO_27-CR-21-23724_Order-Evaluation for Competency to Proceed (Rule 20.01)_2022-11-30_20251126184131.pdf","MCRO_27-CR-21-23724_Order-Evaluation for Competency to Proceed (Rule 20.01)_2022-11-30_20251126184131.pdf")</f>
        <v>MCRO_27-CR-21-23724_Order-Evaluation for Competency to Proceed (Rule 20.01)_2022-11-30_20251126184131.pdf</v>
      </c>
      <c r="H280" s="2" t="s">
        <v>543</v>
      </c>
      <c r="I280" s="2" t="s">
        <v>544</v>
      </c>
      <c r="J280" s="2" t="s">
        <v>519</v>
      </c>
      <c r="K280" s="2" t="s">
        <v>520</v>
      </c>
      <c r="L280" s="2" t="s">
        <v>469</v>
      </c>
      <c r="M280" s="8" t="n">
        <v>44895</v>
      </c>
      <c r="N280" s="1" t="s">
        <v>545</v>
      </c>
      <c r="O280" s="1" t="n">
        <v>0</v>
      </c>
      <c r="P280" s="1" t="s">
        <v>546</v>
      </c>
      <c r="Q280" s="1" t="n">
        <v>0</v>
      </c>
      <c r="R280" s="1" t="s">
        <v>1109</v>
      </c>
      <c r="S280" s="1" t="n">
        <v>20251126184131</v>
      </c>
      <c r="T280" s="2" t="s">
        <v>548</v>
      </c>
      <c r="U280" s="2" t="s">
        <v>549</v>
      </c>
      <c r="X280" s="2" t="n">
        <v>816997</v>
      </c>
      <c r="Y280" s="1" t="n">
        <v>1.7</v>
      </c>
      <c r="Z280" s="1" t="n">
        <v>2</v>
      </c>
      <c r="AA280" s="9" t="s">
        <v>475</v>
      </c>
    </row>
    <row r="281" customFormat="false" ht="18.7" hidden="false" customHeight="true" outlineLevel="0" collapsed="false">
      <c r="A281" s="1" t="n">
        <v>280</v>
      </c>
      <c r="B281" s="7" t="str">
        <f aca="false">HYPERLINK("https://mncourtfraud.com/file/27-CR-21-23724.pdf","27-CR-21-23724")</f>
        <v>27-CR-21-23724</v>
      </c>
      <c r="C281" s="1" t="n">
        <v>1</v>
      </c>
      <c r="D281" s="2" t="s">
        <v>12</v>
      </c>
      <c r="E281" s="8" t="n">
        <v>44999</v>
      </c>
      <c r="F281" s="2" t="s">
        <v>17</v>
      </c>
      <c r="G281" s="7" t="str">
        <f aca="false">HYPERLINK("https://mncourtfraud.com/file/MCRO_27-CR-21-23724_Returned Mail_2023-03-14_20251126184153.pdf","MCRO_27-CR-21-23724_Returned Mail_2023-03-14_20251126184153.pdf")</f>
        <v>MCRO_27-CR-21-23724_Returned Mail_2023-03-14_20251126184153.pdf</v>
      </c>
      <c r="J281" s="2" t="s">
        <v>498</v>
      </c>
      <c r="K281" s="2" t="s">
        <v>499</v>
      </c>
      <c r="L281" s="2" t="s">
        <v>469</v>
      </c>
      <c r="M281" s="8" t="n">
        <v>44999</v>
      </c>
      <c r="N281" s="1" t="s">
        <v>1110</v>
      </c>
      <c r="O281" s="1" t="n">
        <v>7</v>
      </c>
      <c r="P281" s="1" t="s">
        <v>1110</v>
      </c>
      <c r="Q281" s="1" t="n">
        <v>7</v>
      </c>
      <c r="R281" s="1" t="s">
        <v>1111</v>
      </c>
      <c r="S281" s="1" t="n">
        <v>20251126184153</v>
      </c>
      <c r="T281" s="2" t="s">
        <v>1112</v>
      </c>
      <c r="U281" s="2" t="s">
        <v>1112</v>
      </c>
      <c r="X281" s="2" t="n">
        <v>264811</v>
      </c>
      <c r="Y281" s="1" t="n">
        <v>1.7</v>
      </c>
      <c r="Z281" s="1" t="n">
        <v>1</v>
      </c>
      <c r="AA281" s="9" t="s">
        <v>475</v>
      </c>
    </row>
    <row r="282" customFormat="false" ht="18.7" hidden="false" customHeight="true" outlineLevel="0" collapsed="false">
      <c r="A282" s="1" t="n">
        <v>281</v>
      </c>
      <c r="B282" s="7" t="str">
        <f aca="false">HYPERLINK("https://mncourtfraud.com/file/27-CR-21-23724.pdf","27-CR-21-23724")</f>
        <v>27-CR-21-23724</v>
      </c>
      <c r="C282" s="1" t="n">
        <v>1</v>
      </c>
      <c r="D282" s="2" t="s">
        <v>12</v>
      </c>
      <c r="E282" s="8" t="n">
        <v>45048</v>
      </c>
      <c r="F282" s="2" t="s">
        <v>80</v>
      </c>
      <c r="G282" s="7" t="str">
        <f aca="false">HYPERLINK("https://mncourtfraud.com/file/MCRO_27-CR-21-23724_Finding of Incompetency and Order_2023-05-02_20251126184009.pdf","MCRO_27-CR-21-23724_Finding of Incompetency and Order_2023-05-02_20251126184009.pdf")</f>
        <v>MCRO_27-CR-21-23724_Finding of Incompetency and Order_2023-05-02_20251126184009.pdf</v>
      </c>
      <c r="H282" s="2" t="s">
        <v>644</v>
      </c>
      <c r="I282" s="2" t="s">
        <v>644</v>
      </c>
      <c r="J282" s="2" t="s">
        <v>519</v>
      </c>
      <c r="K282" s="2" t="s">
        <v>520</v>
      </c>
      <c r="L282" s="2" t="s">
        <v>469</v>
      </c>
      <c r="M282" s="8" t="n">
        <v>45048</v>
      </c>
      <c r="N282" s="1" t="s">
        <v>645</v>
      </c>
      <c r="O282" s="1" t="n">
        <v>0</v>
      </c>
      <c r="P282" s="1" t="s">
        <v>646</v>
      </c>
      <c r="Q282" s="1" t="n">
        <v>0</v>
      </c>
      <c r="R282" s="1" t="s">
        <v>1113</v>
      </c>
      <c r="S282" s="1" t="n">
        <v>20251126184009</v>
      </c>
      <c r="T282" s="2" t="s">
        <v>648</v>
      </c>
      <c r="U282" s="2" t="s">
        <v>649</v>
      </c>
      <c r="W282" s="2" t="s">
        <v>650</v>
      </c>
      <c r="X282" s="2" t="n">
        <v>976544</v>
      </c>
      <c r="Y282" s="1" t="n">
        <v>1.7</v>
      </c>
      <c r="Z282" s="1" t="n">
        <v>6</v>
      </c>
      <c r="AA282" s="9" t="s">
        <v>475</v>
      </c>
    </row>
    <row r="283" customFormat="false" ht="18.7" hidden="false" customHeight="true" outlineLevel="0" collapsed="false">
      <c r="A283" s="1" t="n">
        <v>282</v>
      </c>
      <c r="B283" s="7" t="str">
        <f aca="false">HYPERLINK("https://mncourtfraud.com/file/27-CR-21-23724.pdf","27-CR-21-23724")</f>
        <v>27-CR-21-23724</v>
      </c>
      <c r="C283" s="1" t="n">
        <v>1</v>
      </c>
      <c r="D283" s="2" t="s">
        <v>12</v>
      </c>
      <c r="E283" s="8" t="n">
        <v>45093</v>
      </c>
      <c r="F283" s="2" t="s">
        <v>82</v>
      </c>
      <c r="G283" s="7" t="str">
        <f aca="false">HYPERLINK("https://mncourtfraud.com/file/MCRO_27-CR-21-23724_Notice of Case Reassignment_2023-06-16_20251126184032.pdf","MCRO_27-CR-21-23724_Notice of Case Reassignment_2023-06-16_20251126184032.pdf")</f>
        <v>MCRO_27-CR-21-23724_Notice of Case Reassignment_2023-06-16_20251126184032.pdf</v>
      </c>
      <c r="H283" s="2" t="s">
        <v>651</v>
      </c>
      <c r="I283" s="2" t="s">
        <v>651</v>
      </c>
      <c r="J283" s="2" t="s">
        <v>535</v>
      </c>
      <c r="K283" s="2" t="s">
        <v>652</v>
      </c>
      <c r="L283" s="2" t="s">
        <v>469</v>
      </c>
      <c r="M283" s="8" t="n">
        <v>45093</v>
      </c>
      <c r="N283" s="1" t="s">
        <v>1001</v>
      </c>
      <c r="O283" s="1" t="n">
        <v>5</v>
      </c>
      <c r="P283" s="1" t="s">
        <v>1001</v>
      </c>
      <c r="Q283" s="1" t="n">
        <v>5</v>
      </c>
      <c r="R283" s="1" t="s">
        <v>1114</v>
      </c>
      <c r="S283" s="1" t="n">
        <v>20251126184032</v>
      </c>
      <c r="T283" s="2" t="s">
        <v>1115</v>
      </c>
      <c r="U283" s="2" t="s">
        <v>1116</v>
      </c>
      <c r="W283" s="2" t="s">
        <v>657</v>
      </c>
      <c r="X283" s="2" t="n">
        <v>113630</v>
      </c>
      <c r="Y283" s="1" t="n">
        <v>1.6</v>
      </c>
      <c r="Z283" s="1" t="n">
        <v>1</v>
      </c>
    </row>
    <row r="284" customFormat="false" ht="18.7" hidden="false" customHeight="true" outlineLevel="0" collapsed="false">
      <c r="A284" s="1" t="n">
        <v>283</v>
      </c>
      <c r="B284" s="7" t="str">
        <f aca="false">HYPERLINK("https://mncourtfraud.com/file/27-CR-21-23724.pdf","27-CR-21-23724")</f>
        <v>27-CR-21-23724</v>
      </c>
      <c r="C284" s="1" t="n">
        <v>1</v>
      </c>
      <c r="D284" s="2" t="s">
        <v>12</v>
      </c>
      <c r="E284" s="8" t="n">
        <v>45160</v>
      </c>
      <c r="F284" s="2" t="s">
        <v>15</v>
      </c>
      <c r="G284" s="7" t="str">
        <f aca="false">HYPERLINK("https://mncourtfraud.com/file/MCRO_27-CR-21-23724_Order-Evaluation for Competency to Proceed (Rule 20.01)_2023-08-22_20251126184139.pdf","MCRO_27-CR-21-23724_Order-Evaluation for Competency to Proceed (Rule 20.01)_2023-08-22_20251126184139.pdf")</f>
        <v>MCRO_27-CR-21-23724_Order-Evaluation for Competency to Proceed (Rule 20.01)_2023-08-22_20251126184139.pdf</v>
      </c>
      <c r="H284" s="2" t="s">
        <v>658</v>
      </c>
      <c r="I284" s="2" t="s">
        <v>659</v>
      </c>
      <c r="J284" s="2" t="s">
        <v>519</v>
      </c>
      <c r="K284" s="2" t="s">
        <v>520</v>
      </c>
      <c r="L284" s="2" t="s">
        <v>469</v>
      </c>
      <c r="M284" s="8" t="n">
        <v>45160</v>
      </c>
      <c r="N284" s="1" t="s">
        <v>660</v>
      </c>
      <c r="O284" s="1" t="n">
        <v>0</v>
      </c>
      <c r="P284" s="1" t="s">
        <v>661</v>
      </c>
      <c r="Q284" s="1" t="n">
        <v>0</v>
      </c>
      <c r="R284" s="1" t="s">
        <v>1117</v>
      </c>
      <c r="S284" s="1" t="n">
        <v>20251126184139</v>
      </c>
      <c r="T284" s="2" t="s">
        <v>663</v>
      </c>
      <c r="U284" s="2" t="s">
        <v>664</v>
      </c>
      <c r="X284" s="2" t="n">
        <v>876403</v>
      </c>
      <c r="Y284" s="1" t="n">
        <v>1.7</v>
      </c>
      <c r="Z284" s="1" t="n">
        <v>2</v>
      </c>
      <c r="AA284" s="9" t="s">
        <v>475</v>
      </c>
    </row>
    <row r="285" customFormat="false" ht="18.7" hidden="false" customHeight="true" outlineLevel="0" collapsed="false">
      <c r="A285" s="1" t="n">
        <v>284</v>
      </c>
      <c r="B285" s="7" t="str">
        <f aca="false">HYPERLINK("https://mncourtfraud.com/file/27-CR-21-23724.pdf","27-CR-21-23724")</f>
        <v>27-CR-21-23724</v>
      </c>
      <c r="C285" s="1" t="n">
        <v>1</v>
      </c>
      <c r="D285" s="2" t="s">
        <v>12</v>
      </c>
      <c r="E285" s="8" t="n">
        <v>45412</v>
      </c>
      <c r="F285" s="2" t="s">
        <v>24</v>
      </c>
      <c r="G285" s="7" t="str">
        <f aca="false">HYPERLINK("https://mncourtfraud.com/file/MCRO_27-CR-21-23724_Order for Conditional Release_2024-04-30_20251126184050.pdf","MCRO_27-CR-21-23724_Order for Conditional Release_2024-04-30_20251126184050.pdf")</f>
        <v>MCRO_27-CR-21-23724_Order for Conditional Release_2024-04-30_20251126184050.pdf</v>
      </c>
      <c r="I285" s="2" t="s">
        <v>481</v>
      </c>
      <c r="J285" s="2" t="s">
        <v>481</v>
      </c>
      <c r="K285" s="2" t="s">
        <v>482</v>
      </c>
      <c r="L285" s="2" t="s">
        <v>469</v>
      </c>
      <c r="M285" s="8" t="n">
        <v>45412</v>
      </c>
      <c r="N285" s="1" t="s">
        <v>665</v>
      </c>
      <c r="O285" s="1" t="n">
        <v>0</v>
      </c>
      <c r="P285" s="1" t="s">
        <v>665</v>
      </c>
      <c r="Q285" s="1" t="n">
        <v>0</v>
      </c>
      <c r="R285" s="1" t="s">
        <v>1118</v>
      </c>
      <c r="S285" s="1" t="n">
        <v>20251126184050</v>
      </c>
      <c r="T285" s="2" t="s">
        <v>667</v>
      </c>
      <c r="U285" s="2" t="s">
        <v>668</v>
      </c>
      <c r="X285" s="2" t="n">
        <v>150533</v>
      </c>
      <c r="Y285" s="1" t="n">
        <v>1.5</v>
      </c>
      <c r="Z285" s="1" t="n">
        <v>2</v>
      </c>
    </row>
    <row r="286" customFormat="false" ht="18.7" hidden="false" customHeight="true" outlineLevel="0" collapsed="false">
      <c r="A286" s="1" t="n">
        <v>285</v>
      </c>
      <c r="B286" s="7" t="str">
        <f aca="false">HYPERLINK("https://mncourtfraud.com/file/27-CR-21-23724.pdf","27-CR-21-23724")</f>
        <v>27-CR-21-23724</v>
      </c>
      <c r="C286" s="1" t="n">
        <v>1</v>
      </c>
      <c r="D286" s="2" t="s">
        <v>12</v>
      </c>
      <c r="E286" s="8" t="n">
        <v>45412</v>
      </c>
      <c r="F286" s="2" t="s">
        <v>15</v>
      </c>
      <c r="G286" s="7" t="str">
        <f aca="false">HYPERLINK("https://mncourtfraud.com/file/MCRO_27-CR-21-23724_Order-Evaluation for Competency to Proceed (Rule 20.01)_2024-04-30_20251126184103.pdf","MCRO_27-CR-21-23724_Order-Evaluation for Competency to Proceed (Rule 20.01)_2024-04-30_20251126184103.pdf")</f>
        <v>MCRO_27-CR-21-23724_Order-Evaluation for Competency to Proceed (Rule 20.01)_2024-04-30_20251126184103.pdf</v>
      </c>
      <c r="I286" s="2" t="s">
        <v>481</v>
      </c>
      <c r="J286" s="2" t="s">
        <v>481</v>
      </c>
      <c r="K286" s="2" t="s">
        <v>482</v>
      </c>
      <c r="L286" s="2" t="s">
        <v>469</v>
      </c>
      <c r="M286" s="8" t="n">
        <v>45412</v>
      </c>
      <c r="N286" s="1" t="s">
        <v>665</v>
      </c>
      <c r="O286" s="1" t="n">
        <v>0</v>
      </c>
      <c r="P286" s="1" t="s">
        <v>665</v>
      </c>
      <c r="Q286" s="1" t="n">
        <v>0</v>
      </c>
      <c r="R286" s="1" t="s">
        <v>1119</v>
      </c>
      <c r="S286" s="1" t="n">
        <v>20251126184103</v>
      </c>
      <c r="T286" s="2" t="s">
        <v>670</v>
      </c>
      <c r="U286" s="2" t="s">
        <v>671</v>
      </c>
      <c r="X286" s="2" t="n">
        <v>219518</v>
      </c>
      <c r="Y286" s="1" t="n">
        <v>1.5</v>
      </c>
      <c r="Z286" s="1" t="n">
        <v>3</v>
      </c>
    </row>
    <row r="287" customFormat="false" ht="18.7" hidden="false" customHeight="true" outlineLevel="0" collapsed="false">
      <c r="A287" s="1" t="n">
        <v>286</v>
      </c>
      <c r="B287" s="7" t="str">
        <f aca="false">HYPERLINK("https://mncourtfraud.com/file/27-CR-21-2803.pdf","27-CR-21-2803")</f>
        <v>27-CR-21-2803</v>
      </c>
      <c r="C287" s="1" t="n">
        <v>1</v>
      </c>
      <c r="D287" s="2" t="s">
        <v>12</v>
      </c>
      <c r="E287" s="8" t="n">
        <v>44396</v>
      </c>
      <c r="F287" s="2" t="s">
        <v>15</v>
      </c>
      <c r="G287" s="7" t="str">
        <f aca="false">HYPERLINK("https://mncourtfraud.com/file/MCRO_27-CR-21-2803_Order-Evaluation for Competency to Proceed (Rule 20.01)_2021-07-19_20251126184309.pdf","MCRO_27-CR-21-2803_Order-Evaluation for Competency to Proceed (Rule 20.01)_2021-07-19_20251126184309.pdf")</f>
        <v>MCRO_27-CR-21-2803_Order-Evaluation for Competency to Proceed (Rule 20.01)_2021-07-19_20251126184309.pdf</v>
      </c>
      <c r="J287" s="2" t="s">
        <v>498</v>
      </c>
      <c r="K287" s="2" t="s">
        <v>499</v>
      </c>
      <c r="L287" s="2" t="s">
        <v>469</v>
      </c>
      <c r="M287" s="8" t="n">
        <v>44396</v>
      </c>
      <c r="N287" s="1" t="s">
        <v>1120</v>
      </c>
      <c r="O287" s="1" t="n">
        <v>0</v>
      </c>
      <c r="P287" s="1" t="s">
        <v>1120</v>
      </c>
      <c r="Q287" s="1" t="n">
        <v>0</v>
      </c>
      <c r="R287" s="1" t="s">
        <v>1121</v>
      </c>
      <c r="S287" s="1" t="n">
        <v>20251126184309</v>
      </c>
      <c r="T287" s="2" t="s">
        <v>1122</v>
      </c>
      <c r="U287" s="2" t="s">
        <v>1122</v>
      </c>
      <c r="X287" s="2" t="n">
        <v>193292</v>
      </c>
      <c r="Y287" s="1" t="n">
        <v>1.7</v>
      </c>
      <c r="Z287" s="1" t="n">
        <v>2</v>
      </c>
      <c r="AA287" s="9" t="s">
        <v>475</v>
      </c>
    </row>
    <row r="288" customFormat="false" ht="18.7" hidden="false" customHeight="true" outlineLevel="0" collapsed="false">
      <c r="A288" s="1" t="n">
        <v>287</v>
      </c>
      <c r="B288" s="7" t="str">
        <f aca="false">HYPERLINK("https://mncourtfraud.com/file/27-CR-21-2803.pdf","27-CR-21-2803")</f>
        <v>27-CR-21-2803</v>
      </c>
      <c r="C288" s="1" t="n">
        <v>1</v>
      </c>
      <c r="D288" s="2" t="s">
        <v>12</v>
      </c>
      <c r="E288" s="8" t="n">
        <v>44439</v>
      </c>
      <c r="F288" s="2" t="s">
        <v>134</v>
      </c>
      <c r="G288" s="7" t="str">
        <f aca="false">HYPERLINK("https://mncourtfraud.com/file/MCRO_27-CR-21-2803_Notice of Intent to Prosecute_2021-08-31_20251126184242.pdf","MCRO_27-CR-21-2803_Notice of Intent to Prosecute_2021-08-31_20251126184242.pdf")</f>
        <v>MCRO_27-CR-21-2803_Notice of Intent to Prosecute_2021-08-31_20251126184242.pdf</v>
      </c>
      <c r="H288" s="2" t="s">
        <v>769</v>
      </c>
      <c r="I288" s="2" t="s">
        <v>770</v>
      </c>
      <c r="J288" s="2" t="s">
        <v>771</v>
      </c>
      <c r="K288" s="2" t="s">
        <v>772</v>
      </c>
      <c r="L288" s="2" t="s">
        <v>469</v>
      </c>
      <c r="M288" s="8" t="n">
        <v>44439</v>
      </c>
      <c r="N288" s="1" t="s">
        <v>1123</v>
      </c>
      <c r="O288" s="1" t="n">
        <v>0</v>
      </c>
      <c r="P288" s="1" t="s">
        <v>1124</v>
      </c>
      <c r="Q288" s="1" t="n">
        <v>0</v>
      </c>
      <c r="R288" s="1" t="s">
        <v>1125</v>
      </c>
      <c r="S288" s="1" t="n">
        <v>20251126184242</v>
      </c>
      <c r="T288" s="2" t="s">
        <v>1126</v>
      </c>
      <c r="U288" s="2" t="s">
        <v>1127</v>
      </c>
      <c r="W288" s="2" t="s">
        <v>778</v>
      </c>
      <c r="X288" s="2" t="n">
        <v>137332</v>
      </c>
      <c r="Y288" s="1" t="n">
        <v>1.6</v>
      </c>
      <c r="Z288" s="1" t="n">
        <v>1</v>
      </c>
      <c r="AA288" s="9" t="s">
        <v>475</v>
      </c>
    </row>
    <row r="289" customFormat="false" ht="18.7" hidden="false" customHeight="true" outlineLevel="0" collapsed="false">
      <c r="A289" s="1" t="n">
        <v>288</v>
      </c>
      <c r="B289" s="7" t="str">
        <f aca="false">HYPERLINK("https://mncourtfraud.com/file/27-CR-21-2803.pdf","27-CR-21-2803")</f>
        <v>27-CR-21-2803</v>
      </c>
      <c r="C289" s="1" t="n">
        <v>1</v>
      </c>
      <c r="D289" s="2" t="s">
        <v>12</v>
      </c>
      <c r="E289" s="8" t="n">
        <v>44439</v>
      </c>
      <c r="F289" s="2" t="s">
        <v>19</v>
      </c>
      <c r="G289" s="7" t="str">
        <f aca="false">HYPERLINK("https://mncourtfraud.com/file/MCRO_27-CR-21-2803_Findings and Order_2021-08-31_20251126184229.pdf","MCRO_27-CR-21-2803_Findings and Order_2021-08-31_20251126184229.pdf")</f>
        <v>MCRO_27-CR-21-2803_Findings and Order_2021-08-31_20251126184229.pdf</v>
      </c>
      <c r="H289" s="2" t="s">
        <v>503</v>
      </c>
      <c r="I289" s="2" t="s">
        <v>503</v>
      </c>
      <c r="J289" s="2" t="s">
        <v>467</v>
      </c>
      <c r="K289" s="2" t="s">
        <v>468</v>
      </c>
      <c r="L289" s="2" t="s">
        <v>469</v>
      </c>
      <c r="M289" s="8" t="n">
        <v>44439</v>
      </c>
      <c r="N289" s="1" t="s">
        <v>504</v>
      </c>
      <c r="O289" s="1" t="n">
        <v>0</v>
      </c>
      <c r="P289" s="1" t="s">
        <v>505</v>
      </c>
      <c r="Q289" s="1" t="n">
        <v>0</v>
      </c>
      <c r="R289" s="1" t="s">
        <v>1128</v>
      </c>
      <c r="S289" s="1" t="n">
        <v>20251126184229</v>
      </c>
      <c r="T289" s="2" t="s">
        <v>507</v>
      </c>
      <c r="U289" s="2" t="s">
        <v>508</v>
      </c>
      <c r="W289" s="2" t="s">
        <v>509</v>
      </c>
      <c r="X289" s="2" t="n">
        <v>375487</v>
      </c>
      <c r="Y289" s="1" t="n">
        <v>1.7</v>
      </c>
      <c r="Z289" s="1" t="n">
        <v>7</v>
      </c>
      <c r="AA289" s="9" t="s">
        <v>475</v>
      </c>
    </row>
    <row r="290" customFormat="false" ht="18.7" hidden="false" customHeight="true" outlineLevel="0" collapsed="false">
      <c r="A290" s="1" t="n">
        <v>289</v>
      </c>
      <c r="B290" s="7" t="str">
        <f aca="false">HYPERLINK("https://mncourtfraud.com/file/27-CR-21-2803.pdf","27-CR-21-2803")</f>
        <v>27-CR-21-2803</v>
      </c>
      <c r="C290" s="1" t="n">
        <v>1</v>
      </c>
      <c r="D290" s="2" t="s">
        <v>12</v>
      </c>
      <c r="E290" s="8" t="n">
        <v>44460</v>
      </c>
      <c r="F290" s="2" t="s">
        <v>24</v>
      </c>
      <c r="G290" s="7" t="str">
        <f aca="false">HYPERLINK("https://mncourtfraud.com/file/MCRO_27-CR-21-2803_Order for Conditional Release_2021-09-21_20251126184257.pdf","MCRO_27-CR-21-2803_Order for Conditional Release_2021-09-21_20251126184257.pdf")</f>
        <v>MCRO_27-CR-21-2803_Order for Conditional Release_2021-09-21_20251126184257.pdf</v>
      </c>
      <c r="I290" s="2" t="s">
        <v>481</v>
      </c>
      <c r="J290" s="2" t="s">
        <v>481</v>
      </c>
      <c r="K290" s="2" t="s">
        <v>482</v>
      </c>
      <c r="L290" s="2" t="s">
        <v>469</v>
      </c>
      <c r="M290" s="8" t="n">
        <v>44460</v>
      </c>
      <c r="N290" s="1" t="s">
        <v>510</v>
      </c>
      <c r="O290" s="1" t="n">
        <v>0</v>
      </c>
      <c r="P290" s="1" t="s">
        <v>511</v>
      </c>
      <c r="Q290" s="1" t="n">
        <v>0</v>
      </c>
      <c r="R290" s="1" t="s">
        <v>1129</v>
      </c>
      <c r="S290" s="1" t="n">
        <v>20251126184257</v>
      </c>
      <c r="T290" s="2" t="s">
        <v>513</v>
      </c>
      <c r="U290" s="2" t="s">
        <v>514</v>
      </c>
      <c r="X290" s="2" t="n">
        <v>105849</v>
      </c>
      <c r="Y290" s="1" t="n">
        <v>1.5</v>
      </c>
      <c r="Z290" s="1" t="n">
        <v>1</v>
      </c>
    </row>
    <row r="291" customFormat="false" ht="18.7" hidden="false" customHeight="true" outlineLevel="0" collapsed="false">
      <c r="A291" s="1" t="n">
        <v>290</v>
      </c>
      <c r="B291" s="7" t="str">
        <f aca="false">HYPERLINK("https://mncourtfraud.com/file/27-CR-21-2803.pdf","27-CR-21-2803")</f>
        <v>27-CR-21-2803</v>
      </c>
      <c r="C291" s="1" t="n">
        <v>1</v>
      </c>
      <c r="D291" s="2" t="s">
        <v>12</v>
      </c>
      <c r="E291" s="8" t="n">
        <v>44468</v>
      </c>
      <c r="F291" s="2" t="s">
        <v>24</v>
      </c>
      <c r="G291" s="7" t="str">
        <f aca="false">HYPERLINK("https://mncourtfraud.com/file/MCRO_27-CR-21-2803_Order for Conditional Release_2021-09-29_20251126184253.pdf","MCRO_27-CR-21-2803_Order for Conditional Release_2021-09-29_20251126184253.pdf")</f>
        <v>MCRO_27-CR-21-2803_Order for Conditional Release_2021-09-29_20251126184253.pdf</v>
      </c>
      <c r="I291" s="2" t="s">
        <v>481</v>
      </c>
      <c r="J291" s="2" t="s">
        <v>481</v>
      </c>
      <c r="K291" s="2" t="s">
        <v>482</v>
      </c>
      <c r="L291" s="2" t="s">
        <v>469</v>
      </c>
      <c r="M291" s="8" t="n">
        <v>44468</v>
      </c>
      <c r="N291" s="1" t="s">
        <v>515</v>
      </c>
      <c r="O291" s="1" t="n">
        <v>0</v>
      </c>
      <c r="P291" s="1" t="s">
        <v>516</v>
      </c>
      <c r="Q291" s="1" t="n">
        <v>0</v>
      </c>
      <c r="R291" s="1" t="s">
        <v>1130</v>
      </c>
      <c r="S291" s="1" t="n">
        <v>20251126184253</v>
      </c>
      <c r="T291" s="2" t="s">
        <v>513</v>
      </c>
      <c r="U291" s="2" t="s">
        <v>518</v>
      </c>
      <c r="X291" s="2" t="n">
        <v>151811</v>
      </c>
      <c r="Y291" s="1" t="n">
        <v>1.6</v>
      </c>
      <c r="Z291" s="1" t="n">
        <v>1</v>
      </c>
    </row>
    <row r="292" customFormat="false" ht="18.7" hidden="false" customHeight="true" outlineLevel="0" collapsed="false">
      <c r="A292" s="1" t="n">
        <v>291</v>
      </c>
      <c r="B292" s="7" t="str">
        <f aca="false">HYPERLINK("https://mncourtfraud.com/file/27-CR-21-2803.pdf","27-CR-21-2803")</f>
        <v>27-CR-21-2803</v>
      </c>
      <c r="C292" s="1" t="n">
        <v>1</v>
      </c>
      <c r="D292" s="2" t="s">
        <v>12</v>
      </c>
      <c r="E292" s="8" t="n">
        <v>44543</v>
      </c>
      <c r="F292" s="2" t="s">
        <v>15</v>
      </c>
      <c r="G292" s="7" t="str">
        <f aca="false">HYPERLINK("https://mncourtfraud.com/file/MCRO_27-CR-21-2803_Order-Evaluation for Competency to Proceed (Rule 20.01)_2021-12-13_20251126184318.pdf","MCRO_27-CR-21-2803_Order-Evaluation for Competency to Proceed (Rule 20.01)_2021-12-13_20251126184318.pdf")</f>
        <v>MCRO_27-CR-21-2803_Order-Evaluation for Competency to Proceed (Rule 20.01)_2021-12-13_20251126184318.pdf</v>
      </c>
      <c r="H292" s="2" t="s">
        <v>465</v>
      </c>
      <c r="I292" s="2" t="s">
        <v>466</v>
      </c>
      <c r="J292" s="2" t="s">
        <v>519</v>
      </c>
      <c r="K292" s="2" t="s">
        <v>520</v>
      </c>
      <c r="L292" s="2" t="s">
        <v>469</v>
      </c>
      <c r="M292" s="8" t="n">
        <v>44543</v>
      </c>
      <c r="N292" s="1" t="s">
        <v>521</v>
      </c>
      <c r="O292" s="1" t="n">
        <v>0</v>
      </c>
      <c r="P292" s="1" t="s">
        <v>1131</v>
      </c>
      <c r="Q292" s="1" t="n">
        <v>0</v>
      </c>
      <c r="R292" s="1" t="s">
        <v>1132</v>
      </c>
      <c r="S292" s="1" t="n">
        <v>20251126184318</v>
      </c>
      <c r="T292" s="2" t="s">
        <v>524</v>
      </c>
      <c r="U292" s="2" t="s">
        <v>1133</v>
      </c>
      <c r="X292" s="2" t="n">
        <v>233845</v>
      </c>
      <c r="Y292" s="1" t="n">
        <v>1.7</v>
      </c>
      <c r="Z292" s="1" t="n">
        <v>2</v>
      </c>
      <c r="AA292" s="9" t="s">
        <v>475</v>
      </c>
    </row>
    <row r="293" customFormat="false" ht="18.7" hidden="false" customHeight="true" outlineLevel="0" collapsed="false">
      <c r="A293" s="1" t="n">
        <v>292</v>
      </c>
      <c r="B293" s="7" t="str">
        <f aca="false">HYPERLINK("https://mncourtfraud.com/file/27-CR-21-2803.pdf","27-CR-21-2803")</f>
        <v>27-CR-21-2803</v>
      </c>
      <c r="C293" s="1" t="n">
        <v>1</v>
      </c>
      <c r="D293" s="2" t="s">
        <v>12</v>
      </c>
      <c r="E293" s="8" t="n">
        <v>44558</v>
      </c>
      <c r="F293" s="2" t="s">
        <v>15</v>
      </c>
      <c r="G293" s="7" t="str">
        <f aca="false">HYPERLINK("https://mncourtfraud.com/file/MCRO_27-CR-21-2803_Order-Evaluation for Competency to Proceed (Rule 20.01)_2021-12-28_20251126184326.pdf","MCRO_27-CR-21-2803_Order-Evaluation for Competency to Proceed (Rule 20.01)_2021-12-28_20251126184326.pdf")</f>
        <v>MCRO_27-CR-21-2803_Order-Evaluation for Competency to Proceed (Rule 20.01)_2021-12-28_20251126184326.pdf</v>
      </c>
      <c r="J293" s="2" t="s">
        <v>498</v>
      </c>
      <c r="K293" s="2" t="s">
        <v>499</v>
      </c>
      <c r="L293" s="2" t="s">
        <v>469</v>
      </c>
      <c r="M293" s="8" t="n">
        <v>44558</v>
      </c>
      <c r="N293" s="1" t="s">
        <v>1134</v>
      </c>
      <c r="O293" s="1" t="n">
        <v>0</v>
      </c>
      <c r="P293" s="1" t="s">
        <v>1134</v>
      </c>
      <c r="Q293" s="1" t="n">
        <v>0</v>
      </c>
      <c r="R293" s="1" t="s">
        <v>1135</v>
      </c>
      <c r="S293" s="1" t="n">
        <v>20251126184326</v>
      </c>
      <c r="T293" s="2" t="s">
        <v>1136</v>
      </c>
      <c r="U293" s="2" t="s">
        <v>1136</v>
      </c>
      <c r="X293" s="2" t="n">
        <v>240950</v>
      </c>
      <c r="Y293" s="1" t="n">
        <v>1.7</v>
      </c>
      <c r="Z293" s="1" t="n">
        <v>3</v>
      </c>
      <c r="AA293" s="9" t="s">
        <v>475</v>
      </c>
    </row>
    <row r="294" customFormat="false" ht="18.7" hidden="false" customHeight="true" outlineLevel="0" collapsed="false">
      <c r="A294" s="1" t="n">
        <v>293</v>
      </c>
      <c r="B294" s="7" t="str">
        <f aca="false">HYPERLINK("https://mncourtfraud.com/file/27-CR-21-2803.pdf","27-CR-21-2803")</f>
        <v>27-CR-21-2803</v>
      </c>
      <c r="C294" s="1" t="n">
        <v>1</v>
      </c>
      <c r="D294" s="2" t="s">
        <v>12</v>
      </c>
      <c r="E294" s="8" t="n">
        <v>44593</v>
      </c>
      <c r="F294" s="2" t="s">
        <v>19</v>
      </c>
      <c r="G294" s="7" t="str">
        <f aca="false">HYPERLINK("https://mncourtfraud.com/file/MCRO_27-CR-21-2803_Findings and Order_2022-02-01_20251126184218.pdf","MCRO_27-CR-21-2803_Findings and Order_2022-02-01_20251126184218.pdf")</f>
        <v>MCRO_27-CR-21-2803_Findings and Order_2022-02-01_20251126184218.pdf</v>
      </c>
      <c r="H294" s="2" t="s">
        <v>503</v>
      </c>
      <c r="I294" s="2" t="s">
        <v>503</v>
      </c>
      <c r="J294" s="2" t="s">
        <v>519</v>
      </c>
      <c r="K294" s="2" t="s">
        <v>520</v>
      </c>
      <c r="L294" s="2" t="s">
        <v>469</v>
      </c>
      <c r="M294" s="8" t="n">
        <v>44593</v>
      </c>
      <c r="N294" s="1" t="s">
        <v>529</v>
      </c>
      <c r="O294" s="1" t="n">
        <v>0</v>
      </c>
      <c r="P294" s="1" t="s">
        <v>530</v>
      </c>
      <c r="Q294" s="1" t="n">
        <v>0</v>
      </c>
      <c r="R294" s="1" t="s">
        <v>1137</v>
      </c>
      <c r="S294" s="1" t="n">
        <v>20251126184218</v>
      </c>
      <c r="T294" s="2" t="s">
        <v>532</v>
      </c>
      <c r="U294" s="2" t="s">
        <v>533</v>
      </c>
      <c r="W294" s="2" t="s">
        <v>509</v>
      </c>
      <c r="X294" s="2" t="n">
        <v>361786</v>
      </c>
      <c r="Y294" s="1" t="n">
        <v>1.7</v>
      </c>
      <c r="Z294" s="1" t="n">
        <v>7</v>
      </c>
      <c r="AA294" s="9" t="s">
        <v>475</v>
      </c>
    </row>
    <row r="295" customFormat="false" ht="18.7" hidden="false" customHeight="true" outlineLevel="0" collapsed="false">
      <c r="A295" s="1" t="n">
        <v>294</v>
      </c>
      <c r="B295" s="7" t="str">
        <f aca="false">HYPERLINK("https://mncourtfraud.com/file/27-CR-21-2803.pdf","27-CR-21-2803")</f>
        <v>27-CR-21-2803</v>
      </c>
      <c r="C295" s="1" t="n">
        <v>1</v>
      </c>
      <c r="D295" s="2" t="s">
        <v>12</v>
      </c>
      <c r="E295" s="8" t="n">
        <v>44692</v>
      </c>
      <c r="F295" s="2" t="s">
        <v>15</v>
      </c>
      <c r="G295" s="7" t="str">
        <f aca="false">HYPERLINK("https://mncourtfraud.com/file/MCRO_27-CR-21-2803_Order-Evaluation for Competency to Proceed (Rule 20.01)_2022-05-11_20251126184334.pdf","MCRO_27-CR-21-2803_Order-Evaluation for Competency to Proceed (Rule 20.01)_2022-05-11_20251126184334.pdf")</f>
        <v>MCRO_27-CR-21-2803_Order-Evaluation for Competency to Proceed (Rule 20.01)_2022-05-11_20251126184334.pdf</v>
      </c>
      <c r="H295" s="2" t="s">
        <v>534</v>
      </c>
      <c r="I295" s="2" t="s">
        <v>534</v>
      </c>
      <c r="J295" s="2" t="s">
        <v>535</v>
      </c>
      <c r="K295" s="2" t="s">
        <v>536</v>
      </c>
      <c r="L295" s="2" t="s">
        <v>469</v>
      </c>
      <c r="M295" s="8" t="n">
        <v>44692</v>
      </c>
      <c r="N295" s="1" t="s">
        <v>537</v>
      </c>
      <c r="O295" s="1" t="n">
        <v>0</v>
      </c>
      <c r="P295" s="1" t="s">
        <v>1138</v>
      </c>
      <c r="Q295" s="1" t="n">
        <v>0</v>
      </c>
      <c r="R295" s="1" t="s">
        <v>1139</v>
      </c>
      <c r="S295" s="1" t="n">
        <v>20251126184334</v>
      </c>
      <c r="T295" s="2" t="s">
        <v>540</v>
      </c>
      <c r="U295" s="2" t="s">
        <v>1140</v>
      </c>
      <c r="W295" s="2" t="s">
        <v>542</v>
      </c>
      <c r="X295" s="2" t="n">
        <v>239815</v>
      </c>
      <c r="Y295" s="1" t="n">
        <v>1.6</v>
      </c>
      <c r="Z295" s="1" t="n">
        <v>2</v>
      </c>
    </row>
    <row r="296" customFormat="false" ht="18.7" hidden="false" customHeight="true" outlineLevel="0" collapsed="false">
      <c r="A296" s="1" t="n">
        <v>295</v>
      </c>
      <c r="B296" s="7" t="str">
        <f aca="false">HYPERLINK("https://mncourtfraud.com/file/27-CR-21-2803.pdf","27-CR-21-2803")</f>
        <v>27-CR-21-2803</v>
      </c>
      <c r="C296" s="1" t="n">
        <v>1</v>
      </c>
      <c r="D296" s="2" t="s">
        <v>12</v>
      </c>
      <c r="E296" s="8" t="n">
        <v>44895</v>
      </c>
      <c r="F296" s="2" t="s">
        <v>15</v>
      </c>
      <c r="G296" s="7" t="str">
        <f aca="false">HYPERLINK("https://mncourtfraud.com/file/MCRO_27-CR-21-2803_Order-Evaluation for Competency to Proceed (Rule 20.01)_2022-11-30_20251126184340.pdf","MCRO_27-CR-21-2803_Order-Evaluation for Competency to Proceed (Rule 20.01)_2022-11-30_20251126184340.pdf")</f>
        <v>MCRO_27-CR-21-2803_Order-Evaluation for Competency to Proceed (Rule 20.01)_2022-11-30_20251126184340.pdf</v>
      </c>
      <c r="H296" s="2" t="s">
        <v>543</v>
      </c>
      <c r="I296" s="2" t="s">
        <v>544</v>
      </c>
      <c r="J296" s="2" t="s">
        <v>519</v>
      </c>
      <c r="K296" s="2" t="s">
        <v>520</v>
      </c>
      <c r="L296" s="2" t="s">
        <v>469</v>
      </c>
      <c r="M296" s="8" t="n">
        <v>44895</v>
      </c>
      <c r="N296" s="1" t="s">
        <v>545</v>
      </c>
      <c r="O296" s="1" t="n">
        <v>0</v>
      </c>
      <c r="P296" s="1" t="s">
        <v>546</v>
      </c>
      <c r="Q296" s="1" t="n">
        <v>0</v>
      </c>
      <c r="R296" s="1" t="s">
        <v>1141</v>
      </c>
      <c r="S296" s="1" t="n">
        <v>20251126184340</v>
      </c>
      <c r="T296" s="2" t="s">
        <v>548</v>
      </c>
      <c r="U296" s="2" t="s">
        <v>549</v>
      </c>
      <c r="X296" s="2" t="n">
        <v>816999</v>
      </c>
      <c r="Y296" s="1" t="n">
        <v>1.7</v>
      </c>
      <c r="Z296" s="1" t="n">
        <v>2</v>
      </c>
      <c r="AA296" s="9" t="s">
        <v>475</v>
      </c>
    </row>
    <row r="297" customFormat="false" ht="18.7" hidden="false" customHeight="true" outlineLevel="0" collapsed="false">
      <c r="A297" s="1" t="n">
        <v>296</v>
      </c>
      <c r="B297" s="7" t="str">
        <f aca="false">HYPERLINK("https://mncourtfraud.com/file/27-CR-21-4099.pdf","27-CR-21-4099")</f>
        <v>27-CR-21-4099</v>
      </c>
      <c r="C297" s="1" t="n">
        <v>1</v>
      </c>
      <c r="D297" s="2" t="s">
        <v>12</v>
      </c>
      <c r="E297" s="8" t="n">
        <v>44396</v>
      </c>
      <c r="F297" s="2" t="s">
        <v>15</v>
      </c>
      <c r="G297" s="7" t="str">
        <f aca="false">HYPERLINK("https://mncourtfraud.com/file/MCRO_27-CR-21-4099_Order-Evaluation for Competency to Proceed (Rule 20.01)_2021-07-19_20251126184452.pdf","MCRO_27-CR-21-4099_Order-Evaluation for Competency to Proceed (Rule 20.01)_2021-07-19_20251126184452.pdf")</f>
        <v>MCRO_27-CR-21-4099_Order-Evaluation for Competency to Proceed (Rule 20.01)_2021-07-19_20251126184452.pdf</v>
      </c>
      <c r="J297" s="2" t="s">
        <v>498</v>
      </c>
      <c r="K297" s="2" t="s">
        <v>499</v>
      </c>
      <c r="L297" s="2" t="s">
        <v>469</v>
      </c>
      <c r="M297" s="8" t="n">
        <v>44396</v>
      </c>
      <c r="N297" s="1" t="s">
        <v>1142</v>
      </c>
      <c r="O297" s="1" t="n">
        <v>0</v>
      </c>
      <c r="P297" s="1" t="s">
        <v>1142</v>
      </c>
      <c r="Q297" s="1" t="n">
        <v>0</v>
      </c>
      <c r="R297" s="1" t="s">
        <v>1143</v>
      </c>
      <c r="S297" s="1" t="n">
        <v>20251126184452</v>
      </c>
      <c r="T297" s="2" t="s">
        <v>1144</v>
      </c>
      <c r="U297" s="2" t="s">
        <v>1144</v>
      </c>
      <c r="X297" s="2" t="n">
        <v>196162</v>
      </c>
      <c r="Y297" s="1" t="n">
        <v>1.7</v>
      </c>
      <c r="Z297" s="1" t="n">
        <v>2</v>
      </c>
      <c r="AA297" s="9" t="s">
        <v>475</v>
      </c>
    </row>
    <row r="298" customFormat="false" ht="18.7" hidden="false" customHeight="true" outlineLevel="0" collapsed="false">
      <c r="A298" s="1" t="n">
        <v>297</v>
      </c>
      <c r="B298" s="7" t="str">
        <f aca="false">HYPERLINK("https://mncourtfraud.com/file/27-CR-21-4099.pdf","27-CR-21-4099")</f>
        <v>27-CR-21-4099</v>
      </c>
      <c r="C298" s="1" t="n">
        <v>1</v>
      </c>
      <c r="D298" s="2" t="s">
        <v>12</v>
      </c>
      <c r="E298" s="8" t="n">
        <v>44439</v>
      </c>
      <c r="F298" s="2" t="s">
        <v>134</v>
      </c>
      <c r="G298" s="7" t="str">
        <f aca="false">HYPERLINK("https://mncourtfraud.com/file/MCRO_27-CR-21-4099_Notice of Intent to Prosecute_2021-08-31_20251126184425.pdf","MCRO_27-CR-21-4099_Notice of Intent to Prosecute_2021-08-31_20251126184425.pdf")</f>
        <v>MCRO_27-CR-21-4099_Notice of Intent to Prosecute_2021-08-31_20251126184425.pdf</v>
      </c>
      <c r="H298" s="2" t="s">
        <v>769</v>
      </c>
      <c r="I298" s="2" t="s">
        <v>770</v>
      </c>
      <c r="J298" s="2" t="s">
        <v>771</v>
      </c>
      <c r="K298" s="2" t="s">
        <v>772</v>
      </c>
      <c r="L298" s="2" t="s">
        <v>469</v>
      </c>
      <c r="M298" s="8" t="n">
        <v>44439</v>
      </c>
      <c r="N298" s="1" t="s">
        <v>1145</v>
      </c>
      <c r="O298" s="1" t="n">
        <v>0</v>
      </c>
      <c r="P298" s="1" t="s">
        <v>1146</v>
      </c>
      <c r="Q298" s="1" t="n">
        <v>0</v>
      </c>
      <c r="R298" s="1" t="s">
        <v>1147</v>
      </c>
      <c r="S298" s="1" t="n">
        <v>20251126184425</v>
      </c>
      <c r="T298" s="2" t="s">
        <v>1148</v>
      </c>
      <c r="U298" s="2" t="s">
        <v>1149</v>
      </c>
      <c r="W298" s="2" t="s">
        <v>778</v>
      </c>
      <c r="X298" s="2" t="n">
        <v>136702</v>
      </c>
      <c r="Y298" s="1" t="n">
        <v>1.6</v>
      </c>
      <c r="Z298" s="1" t="n">
        <v>1</v>
      </c>
      <c r="AA298" s="9" t="s">
        <v>475</v>
      </c>
    </row>
    <row r="299" customFormat="false" ht="18.7" hidden="false" customHeight="true" outlineLevel="0" collapsed="false">
      <c r="A299" s="1" t="n">
        <v>298</v>
      </c>
      <c r="B299" s="7" t="str">
        <f aca="false">HYPERLINK("https://mncourtfraud.com/file/27-CR-21-4099.pdf","27-CR-21-4099")</f>
        <v>27-CR-21-4099</v>
      </c>
      <c r="C299" s="1" t="n">
        <v>1</v>
      </c>
      <c r="D299" s="2" t="s">
        <v>12</v>
      </c>
      <c r="E299" s="8" t="n">
        <v>44439</v>
      </c>
      <c r="F299" s="2" t="s">
        <v>19</v>
      </c>
      <c r="G299" s="7" t="str">
        <f aca="false">HYPERLINK("https://mncourtfraud.com/file/MCRO_27-CR-21-4099_Findings and Order_2021-08-31_20251126184414.pdf","MCRO_27-CR-21-4099_Findings and Order_2021-08-31_20251126184414.pdf")</f>
        <v>MCRO_27-CR-21-4099_Findings and Order_2021-08-31_20251126184414.pdf</v>
      </c>
      <c r="H299" s="2" t="s">
        <v>503</v>
      </c>
      <c r="I299" s="2" t="s">
        <v>503</v>
      </c>
      <c r="J299" s="2" t="s">
        <v>467</v>
      </c>
      <c r="K299" s="2" t="s">
        <v>468</v>
      </c>
      <c r="L299" s="2" t="s">
        <v>469</v>
      </c>
      <c r="M299" s="8" t="n">
        <v>44439</v>
      </c>
      <c r="N299" s="1" t="s">
        <v>504</v>
      </c>
      <c r="O299" s="1" t="n">
        <v>0</v>
      </c>
      <c r="P299" s="1" t="s">
        <v>505</v>
      </c>
      <c r="Q299" s="1" t="n">
        <v>0</v>
      </c>
      <c r="R299" s="1" t="s">
        <v>1150</v>
      </c>
      <c r="S299" s="1" t="n">
        <v>20251126184414</v>
      </c>
      <c r="T299" s="2" t="s">
        <v>507</v>
      </c>
      <c r="U299" s="2" t="s">
        <v>508</v>
      </c>
      <c r="W299" s="2" t="s">
        <v>509</v>
      </c>
      <c r="X299" s="2" t="n">
        <v>375488</v>
      </c>
      <c r="Y299" s="1" t="n">
        <v>1.7</v>
      </c>
      <c r="Z299" s="1" t="n">
        <v>7</v>
      </c>
      <c r="AA299" s="9" t="s">
        <v>475</v>
      </c>
    </row>
    <row r="300" customFormat="false" ht="18.7" hidden="false" customHeight="true" outlineLevel="0" collapsed="false">
      <c r="A300" s="1" t="n">
        <v>299</v>
      </c>
      <c r="B300" s="7" t="str">
        <f aca="false">HYPERLINK("https://mncourtfraud.com/file/27-CR-21-4099.pdf","27-CR-21-4099")</f>
        <v>27-CR-21-4099</v>
      </c>
      <c r="C300" s="1" t="n">
        <v>1</v>
      </c>
      <c r="D300" s="2" t="s">
        <v>12</v>
      </c>
      <c r="E300" s="8" t="n">
        <v>44460</v>
      </c>
      <c r="F300" s="2" t="s">
        <v>24</v>
      </c>
      <c r="G300" s="7" t="str">
        <f aca="false">HYPERLINK("https://mncourtfraud.com/file/MCRO_27-CR-21-4099_Order for Conditional Release_2021-09-21_20251126184441.pdf","MCRO_27-CR-21-4099_Order for Conditional Release_2021-09-21_20251126184441.pdf")</f>
        <v>MCRO_27-CR-21-4099_Order for Conditional Release_2021-09-21_20251126184441.pdf</v>
      </c>
      <c r="I300" s="2" t="s">
        <v>481</v>
      </c>
      <c r="J300" s="2" t="s">
        <v>481</v>
      </c>
      <c r="K300" s="2" t="s">
        <v>482</v>
      </c>
      <c r="L300" s="2" t="s">
        <v>469</v>
      </c>
      <c r="M300" s="8" t="n">
        <v>44460</v>
      </c>
      <c r="N300" s="1" t="s">
        <v>510</v>
      </c>
      <c r="O300" s="1" t="n">
        <v>0</v>
      </c>
      <c r="P300" s="1" t="s">
        <v>511</v>
      </c>
      <c r="Q300" s="1" t="n">
        <v>0</v>
      </c>
      <c r="R300" s="1" t="s">
        <v>1151</v>
      </c>
      <c r="S300" s="1" t="n">
        <v>20251126184441</v>
      </c>
      <c r="T300" s="2" t="s">
        <v>513</v>
      </c>
      <c r="U300" s="2" t="s">
        <v>514</v>
      </c>
      <c r="X300" s="2" t="n">
        <v>105849</v>
      </c>
      <c r="Y300" s="1" t="n">
        <v>1.5</v>
      </c>
      <c r="Z300" s="1" t="n">
        <v>1</v>
      </c>
    </row>
    <row r="301" customFormat="false" ht="18.7" hidden="false" customHeight="true" outlineLevel="0" collapsed="false">
      <c r="A301" s="1" t="n">
        <v>300</v>
      </c>
      <c r="B301" s="7" t="str">
        <f aca="false">HYPERLINK("https://mncourtfraud.com/file/27-CR-21-4099.pdf","27-CR-21-4099")</f>
        <v>27-CR-21-4099</v>
      </c>
      <c r="C301" s="1" t="n">
        <v>1</v>
      </c>
      <c r="D301" s="2" t="s">
        <v>12</v>
      </c>
      <c r="E301" s="8" t="n">
        <v>44468</v>
      </c>
      <c r="F301" s="2" t="s">
        <v>24</v>
      </c>
      <c r="G301" s="7" t="str">
        <f aca="false">HYPERLINK("https://mncourtfraud.com/file/MCRO_27-CR-21-4099_Order for Conditional Release_2021-09-29_20251126184435.pdf","MCRO_27-CR-21-4099_Order for Conditional Release_2021-09-29_20251126184435.pdf")</f>
        <v>MCRO_27-CR-21-4099_Order for Conditional Release_2021-09-29_20251126184435.pdf</v>
      </c>
      <c r="I301" s="2" t="s">
        <v>481</v>
      </c>
      <c r="J301" s="2" t="s">
        <v>481</v>
      </c>
      <c r="K301" s="2" t="s">
        <v>482</v>
      </c>
      <c r="L301" s="2" t="s">
        <v>469</v>
      </c>
      <c r="M301" s="8" t="n">
        <v>44468</v>
      </c>
      <c r="N301" s="1" t="s">
        <v>515</v>
      </c>
      <c r="O301" s="1" t="n">
        <v>0</v>
      </c>
      <c r="P301" s="1" t="s">
        <v>516</v>
      </c>
      <c r="Q301" s="1" t="n">
        <v>0</v>
      </c>
      <c r="R301" s="1" t="s">
        <v>1152</v>
      </c>
      <c r="S301" s="1" t="n">
        <v>20251126184435</v>
      </c>
      <c r="T301" s="2" t="s">
        <v>513</v>
      </c>
      <c r="U301" s="2" t="s">
        <v>518</v>
      </c>
      <c r="X301" s="2" t="n">
        <v>151813</v>
      </c>
      <c r="Y301" s="1" t="n">
        <v>1.6</v>
      </c>
      <c r="Z301" s="1" t="n">
        <v>1</v>
      </c>
    </row>
    <row r="302" customFormat="false" ht="18.7" hidden="false" customHeight="true" outlineLevel="0" collapsed="false">
      <c r="A302" s="1" t="n">
        <v>301</v>
      </c>
      <c r="B302" s="7" t="str">
        <f aca="false">HYPERLINK("https://mncourtfraud.com/file/27-CR-21-4099.pdf","27-CR-21-4099")</f>
        <v>27-CR-21-4099</v>
      </c>
      <c r="C302" s="1" t="n">
        <v>1</v>
      </c>
      <c r="D302" s="2" t="s">
        <v>12</v>
      </c>
      <c r="E302" s="8" t="n">
        <v>44543</v>
      </c>
      <c r="F302" s="2" t="s">
        <v>15</v>
      </c>
      <c r="G302" s="7" t="str">
        <f aca="false">HYPERLINK("https://mncourtfraud.com/file/MCRO_27-CR-21-4099_Order-Evaluation for Competency to Proceed (Rule 20.01)_2021-12-13_20251126184501.pdf","MCRO_27-CR-21-4099_Order-Evaluation for Competency to Proceed (Rule 20.01)_2021-12-13_20251126184501.pdf")</f>
        <v>MCRO_27-CR-21-4099_Order-Evaluation for Competency to Proceed (Rule 20.01)_2021-12-13_20251126184501.pdf</v>
      </c>
      <c r="H302" s="2" t="s">
        <v>465</v>
      </c>
      <c r="I302" s="2" t="s">
        <v>466</v>
      </c>
      <c r="J302" s="2" t="s">
        <v>519</v>
      </c>
      <c r="K302" s="2" t="s">
        <v>520</v>
      </c>
      <c r="L302" s="2" t="s">
        <v>469</v>
      </c>
      <c r="M302" s="8" t="n">
        <v>44543</v>
      </c>
      <c r="N302" s="1" t="s">
        <v>521</v>
      </c>
      <c r="O302" s="1" t="n">
        <v>0</v>
      </c>
      <c r="P302" s="1" t="s">
        <v>1153</v>
      </c>
      <c r="Q302" s="1" t="n">
        <v>0</v>
      </c>
      <c r="R302" s="1" t="s">
        <v>1154</v>
      </c>
      <c r="S302" s="1" t="n">
        <v>20251126184501</v>
      </c>
      <c r="T302" s="2" t="s">
        <v>524</v>
      </c>
      <c r="U302" s="2" t="s">
        <v>1155</v>
      </c>
      <c r="X302" s="2" t="n">
        <v>233850</v>
      </c>
      <c r="Y302" s="1" t="n">
        <v>1.7</v>
      </c>
      <c r="Z302" s="1" t="n">
        <v>2</v>
      </c>
      <c r="AA302" s="9" t="s">
        <v>475</v>
      </c>
    </row>
    <row r="303" customFormat="false" ht="18.7" hidden="false" customHeight="true" outlineLevel="0" collapsed="false">
      <c r="A303" s="1" t="n">
        <v>302</v>
      </c>
      <c r="B303" s="7" t="str">
        <f aca="false">HYPERLINK("https://mncourtfraud.com/file/27-CR-21-4099.pdf","27-CR-21-4099")</f>
        <v>27-CR-21-4099</v>
      </c>
      <c r="C303" s="1" t="n">
        <v>1</v>
      </c>
      <c r="D303" s="2" t="s">
        <v>12</v>
      </c>
      <c r="E303" s="8" t="n">
        <v>44558</v>
      </c>
      <c r="F303" s="2" t="s">
        <v>15</v>
      </c>
      <c r="G303" s="7" t="str">
        <f aca="false">HYPERLINK("https://mncourtfraud.com/file/MCRO_27-CR-21-4099_Order-Evaluation for Competency to Proceed (Rule 20.01)_2021-12-28_20251126184509.pdf","MCRO_27-CR-21-4099_Order-Evaluation for Competency to Proceed (Rule 20.01)_2021-12-28_20251126184509.pdf")</f>
        <v>MCRO_27-CR-21-4099_Order-Evaluation for Competency to Proceed (Rule 20.01)_2021-12-28_20251126184509.pdf</v>
      </c>
      <c r="J303" s="2" t="s">
        <v>498</v>
      </c>
      <c r="K303" s="2" t="s">
        <v>499</v>
      </c>
      <c r="L303" s="2" t="s">
        <v>469</v>
      </c>
      <c r="M303" s="8" t="n">
        <v>44558</v>
      </c>
      <c r="N303" s="1" t="s">
        <v>1156</v>
      </c>
      <c r="O303" s="1" t="n">
        <v>0</v>
      </c>
      <c r="P303" s="1" t="s">
        <v>1156</v>
      </c>
      <c r="Q303" s="1" t="n">
        <v>0</v>
      </c>
      <c r="R303" s="1" t="s">
        <v>1157</v>
      </c>
      <c r="S303" s="1" t="n">
        <v>20251126184509</v>
      </c>
      <c r="T303" s="2" t="s">
        <v>1158</v>
      </c>
      <c r="U303" s="2" t="s">
        <v>1158</v>
      </c>
      <c r="X303" s="2" t="n">
        <v>240388</v>
      </c>
      <c r="Y303" s="1" t="n">
        <v>1.7</v>
      </c>
      <c r="Z303" s="1" t="n">
        <v>3</v>
      </c>
      <c r="AA303" s="9" t="s">
        <v>475</v>
      </c>
    </row>
    <row r="304" customFormat="false" ht="18.7" hidden="false" customHeight="true" outlineLevel="0" collapsed="false">
      <c r="A304" s="1" t="n">
        <v>303</v>
      </c>
      <c r="B304" s="7" t="str">
        <f aca="false">HYPERLINK("https://mncourtfraud.com/file/27-CR-21-4099.pdf","27-CR-21-4099")</f>
        <v>27-CR-21-4099</v>
      </c>
      <c r="C304" s="1" t="n">
        <v>1</v>
      </c>
      <c r="D304" s="2" t="s">
        <v>12</v>
      </c>
      <c r="E304" s="8" t="n">
        <v>44593</v>
      </c>
      <c r="F304" s="2" t="s">
        <v>19</v>
      </c>
      <c r="G304" s="7" t="str">
        <f aca="false">HYPERLINK("https://mncourtfraud.com/file/MCRO_27-CR-21-4099_Findings and Order_2022-02-01_20251126184406.pdf","MCRO_27-CR-21-4099_Findings and Order_2022-02-01_20251126184406.pdf")</f>
        <v>MCRO_27-CR-21-4099_Findings and Order_2022-02-01_20251126184406.pdf</v>
      </c>
      <c r="H304" s="2" t="s">
        <v>503</v>
      </c>
      <c r="I304" s="2" t="s">
        <v>503</v>
      </c>
      <c r="J304" s="2" t="s">
        <v>519</v>
      </c>
      <c r="K304" s="2" t="s">
        <v>520</v>
      </c>
      <c r="L304" s="2" t="s">
        <v>469</v>
      </c>
      <c r="M304" s="8" t="n">
        <v>44593</v>
      </c>
      <c r="N304" s="1" t="s">
        <v>529</v>
      </c>
      <c r="O304" s="1" t="n">
        <v>0</v>
      </c>
      <c r="P304" s="1" t="s">
        <v>530</v>
      </c>
      <c r="Q304" s="1" t="n">
        <v>0</v>
      </c>
      <c r="R304" s="1" t="s">
        <v>1159</v>
      </c>
      <c r="S304" s="1" t="n">
        <v>20251126184406</v>
      </c>
      <c r="T304" s="2" t="s">
        <v>532</v>
      </c>
      <c r="U304" s="2" t="s">
        <v>533</v>
      </c>
      <c r="W304" s="2" t="s">
        <v>509</v>
      </c>
      <c r="X304" s="2" t="n">
        <v>361789</v>
      </c>
      <c r="Y304" s="1" t="n">
        <v>1.7</v>
      </c>
      <c r="Z304" s="1" t="n">
        <v>7</v>
      </c>
      <c r="AA304" s="9" t="s">
        <v>475</v>
      </c>
    </row>
    <row r="305" customFormat="false" ht="18.7" hidden="false" customHeight="true" outlineLevel="0" collapsed="false">
      <c r="A305" s="1" t="n">
        <v>304</v>
      </c>
      <c r="B305" s="7" t="str">
        <f aca="false">HYPERLINK("https://mncourtfraud.com/file/27-CR-21-4099.pdf","27-CR-21-4099")</f>
        <v>27-CR-21-4099</v>
      </c>
      <c r="C305" s="1" t="n">
        <v>1</v>
      </c>
      <c r="D305" s="2" t="s">
        <v>12</v>
      </c>
      <c r="E305" s="8" t="n">
        <v>44692</v>
      </c>
      <c r="F305" s="2" t="s">
        <v>15</v>
      </c>
      <c r="G305" s="7" t="str">
        <f aca="false">HYPERLINK("https://mncourtfraud.com/file/MCRO_27-CR-21-4099_Order-Evaluation for Competency to Proceed (Rule 20.01)_2022-05-11_20251126184519.pdf","MCRO_27-CR-21-4099_Order-Evaluation for Competency to Proceed (Rule 20.01)_2022-05-11_20251126184519.pdf")</f>
        <v>MCRO_27-CR-21-4099_Order-Evaluation for Competency to Proceed (Rule 20.01)_2022-05-11_20251126184519.pdf</v>
      </c>
      <c r="H305" s="2" t="s">
        <v>534</v>
      </c>
      <c r="I305" s="2" t="s">
        <v>534</v>
      </c>
      <c r="J305" s="2" t="s">
        <v>535</v>
      </c>
      <c r="K305" s="2" t="s">
        <v>536</v>
      </c>
      <c r="L305" s="2" t="s">
        <v>469</v>
      </c>
      <c r="M305" s="8" t="n">
        <v>44692</v>
      </c>
      <c r="N305" s="1" t="s">
        <v>537</v>
      </c>
      <c r="O305" s="1" t="n">
        <v>0</v>
      </c>
      <c r="P305" s="1" t="s">
        <v>1160</v>
      </c>
      <c r="Q305" s="1" t="n">
        <v>0</v>
      </c>
      <c r="R305" s="1" t="s">
        <v>1161</v>
      </c>
      <c r="S305" s="1" t="n">
        <v>20251126184519</v>
      </c>
      <c r="T305" s="2" t="s">
        <v>540</v>
      </c>
      <c r="U305" s="2" t="s">
        <v>1162</v>
      </c>
      <c r="W305" s="2" t="s">
        <v>542</v>
      </c>
      <c r="X305" s="2" t="n">
        <v>239815</v>
      </c>
      <c r="Y305" s="1" t="n">
        <v>1.6</v>
      </c>
      <c r="Z305" s="1" t="n">
        <v>2</v>
      </c>
    </row>
    <row r="306" customFormat="false" ht="18.7" hidden="false" customHeight="true" outlineLevel="0" collapsed="false">
      <c r="A306" s="1" t="n">
        <v>305</v>
      </c>
      <c r="B306" s="7" t="str">
        <f aca="false">HYPERLINK("https://mncourtfraud.com/file/27-CR-21-4099.pdf","27-CR-21-4099")</f>
        <v>27-CR-21-4099</v>
      </c>
      <c r="C306" s="1" t="n">
        <v>1</v>
      </c>
      <c r="D306" s="2" t="s">
        <v>12</v>
      </c>
      <c r="E306" s="8" t="n">
        <v>44895</v>
      </c>
      <c r="F306" s="2" t="s">
        <v>15</v>
      </c>
      <c r="G306" s="7" t="str">
        <f aca="false">HYPERLINK("https://mncourtfraud.com/file/MCRO_27-CR-21-4099_Order-Evaluation for Competency to Proceed (Rule 20.01)_2022-11-30_20251126184526.pdf","MCRO_27-CR-21-4099_Order-Evaluation for Competency to Proceed (Rule 20.01)_2022-11-30_20251126184526.pdf")</f>
        <v>MCRO_27-CR-21-4099_Order-Evaluation for Competency to Proceed (Rule 20.01)_2022-11-30_20251126184526.pdf</v>
      </c>
      <c r="H306" s="2" t="s">
        <v>543</v>
      </c>
      <c r="I306" s="2" t="s">
        <v>544</v>
      </c>
      <c r="J306" s="2" t="s">
        <v>519</v>
      </c>
      <c r="K306" s="2" t="s">
        <v>520</v>
      </c>
      <c r="L306" s="2" t="s">
        <v>469</v>
      </c>
      <c r="M306" s="8" t="n">
        <v>44895</v>
      </c>
      <c r="N306" s="1" t="s">
        <v>545</v>
      </c>
      <c r="O306" s="1" t="n">
        <v>0</v>
      </c>
      <c r="P306" s="1" t="s">
        <v>546</v>
      </c>
      <c r="Q306" s="1" t="n">
        <v>0</v>
      </c>
      <c r="R306" s="1" t="s">
        <v>1163</v>
      </c>
      <c r="S306" s="1" t="n">
        <v>20251126184526</v>
      </c>
      <c r="T306" s="2" t="s">
        <v>548</v>
      </c>
      <c r="U306" s="2" t="s">
        <v>549</v>
      </c>
      <c r="X306" s="2" t="n">
        <v>816996</v>
      </c>
      <c r="Y306" s="1" t="n">
        <v>1.7</v>
      </c>
      <c r="Z306" s="1" t="n">
        <v>2</v>
      </c>
      <c r="AA306" s="9" t="s">
        <v>475</v>
      </c>
    </row>
    <row r="307" customFormat="false" ht="18.7" hidden="false" customHeight="true" outlineLevel="0" collapsed="false">
      <c r="A307" s="1" t="n">
        <v>306</v>
      </c>
      <c r="B307" s="7" t="str">
        <f aca="false">HYPERLINK("https://mncourtfraud.com/file/27-CR-21-5179.pdf","27-CR-21-5179")</f>
        <v>27-CR-21-5179</v>
      </c>
      <c r="C307" s="1" t="n">
        <v>5</v>
      </c>
      <c r="D307" s="2" t="s">
        <v>267</v>
      </c>
      <c r="E307" s="8" t="n">
        <v>44733</v>
      </c>
      <c r="F307" s="2" t="s">
        <v>17</v>
      </c>
      <c r="G307" s="7" t="str">
        <f aca="false">HYPERLINK("https://mncourtfraud.com/file/MCRO_27-CR-21-5179_Returned Mail_2022-06-21_20251126165510.pdf","MCRO_27-CR-21-5179_Returned Mail_2022-06-21_20251126165510.pdf")</f>
        <v>MCRO_27-CR-21-5179_Returned Mail_2022-06-21_20251126165510.pdf</v>
      </c>
      <c r="I307" s="2" t="s">
        <v>1037</v>
      </c>
      <c r="J307" s="2" t="s">
        <v>1037</v>
      </c>
      <c r="K307" s="2" t="s">
        <v>1038</v>
      </c>
      <c r="L307" s="2" t="s">
        <v>469</v>
      </c>
      <c r="M307" s="8" t="n">
        <v>44733</v>
      </c>
      <c r="N307" s="1" t="s">
        <v>1039</v>
      </c>
      <c r="O307" s="1" t="n">
        <v>2</v>
      </c>
      <c r="P307" s="1" t="s">
        <v>1040</v>
      </c>
      <c r="Q307" s="1" t="n">
        <v>2</v>
      </c>
      <c r="R307" s="1" t="s">
        <v>1164</v>
      </c>
      <c r="S307" s="1" t="n">
        <v>20251126165510</v>
      </c>
      <c r="T307" s="2" t="s">
        <v>1042</v>
      </c>
      <c r="U307" s="2" t="s">
        <v>1043</v>
      </c>
      <c r="X307" s="2" t="n">
        <v>254465</v>
      </c>
      <c r="Y307" s="1" t="n">
        <v>1.6</v>
      </c>
      <c r="Z307" s="1" t="n">
        <v>1</v>
      </c>
    </row>
    <row r="308" customFormat="false" ht="18.7" hidden="false" customHeight="true" outlineLevel="0" collapsed="false">
      <c r="A308" s="1" t="n">
        <v>307</v>
      </c>
      <c r="B308" s="7" t="str">
        <f aca="false">HYPERLINK("https://mncourtfraud.com/file/27-CR-21-5179.pdf","27-CR-21-5179")</f>
        <v>27-CR-21-5179</v>
      </c>
      <c r="C308" s="1" t="n">
        <v>5</v>
      </c>
      <c r="D308" s="2" t="s">
        <v>267</v>
      </c>
      <c r="E308" s="8" t="n">
        <v>44837</v>
      </c>
      <c r="F308" s="2" t="s">
        <v>17</v>
      </c>
      <c r="G308" s="7" t="str">
        <f aca="false">HYPERLINK("https://mncourtfraud.com/file/MCRO_27-CR-21-5179_Returned Mail_2022-10-03_20251126165520.pdf","MCRO_27-CR-21-5179_Returned Mail_2022-10-03_20251126165520.pdf")</f>
        <v>MCRO_27-CR-21-5179_Returned Mail_2022-10-03_20251126165520.pdf</v>
      </c>
      <c r="I308" s="2" t="s">
        <v>1044</v>
      </c>
      <c r="J308" s="2" t="s">
        <v>1044</v>
      </c>
      <c r="K308" s="2" t="s">
        <v>1045</v>
      </c>
      <c r="L308" s="2" t="s">
        <v>469</v>
      </c>
      <c r="M308" s="8" t="n">
        <v>44837</v>
      </c>
      <c r="N308" s="1" t="s">
        <v>1046</v>
      </c>
      <c r="O308" s="1" t="n">
        <v>3</v>
      </c>
      <c r="P308" s="1" t="s">
        <v>1047</v>
      </c>
      <c r="Q308" s="1" t="n">
        <v>3</v>
      </c>
      <c r="R308" s="1" t="s">
        <v>1165</v>
      </c>
      <c r="S308" s="1" t="n">
        <v>20251126165520</v>
      </c>
      <c r="T308" s="2" t="s">
        <v>1049</v>
      </c>
      <c r="U308" s="2" t="s">
        <v>1050</v>
      </c>
      <c r="X308" s="2" t="n">
        <v>381219</v>
      </c>
      <c r="Y308" s="1" t="n">
        <v>1.6</v>
      </c>
      <c r="Z308" s="1" t="n">
        <v>1</v>
      </c>
    </row>
    <row r="309" customFormat="false" ht="18.7" hidden="false" customHeight="true" outlineLevel="0" collapsed="false">
      <c r="A309" s="1" t="n">
        <v>308</v>
      </c>
      <c r="B309" s="7" t="str">
        <f aca="false">HYPERLINK("https://mncourtfraud.com/file/27-CR-21-5179.pdf","27-CR-21-5179")</f>
        <v>27-CR-21-5179</v>
      </c>
      <c r="C309" s="1" t="n">
        <v>5</v>
      </c>
      <c r="D309" s="2" t="s">
        <v>267</v>
      </c>
      <c r="E309" s="8" t="n">
        <v>44873</v>
      </c>
      <c r="F309" s="2" t="s">
        <v>15</v>
      </c>
      <c r="G309" s="7" t="str">
        <f aca="false">HYPERLINK("https://mncourtfraud.com/file/MCRO_27-CR-21-5179_Order-Evaluation for Competency to Proceed (Rule 20.01)_2022-11-08_20251126165604.pdf","MCRO_27-CR-21-5179_Order-Evaluation for Competency to Proceed (Rule 20.01)_2022-11-08_20251126165604.pdf")</f>
        <v>MCRO_27-CR-21-5179_Order-Evaluation for Competency to Proceed (Rule 20.01)_2022-11-08_20251126165604.pdf</v>
      </c>
      <c r="I309" s="2" t="s">
        <v>1051</v>
      </c>
      <c r="J309" s="2" t="s">
        <v>1051</v>
      </c>
      <c r="K309" s="2" t="s">
        <v>1052</v>
      </c>
      <c r="L309" s="2" t="s">
        <v>469</v>
      </c>
      <c r="M309" s="8" t="n">
        <v>44873</v>
      </c>
      <c r="N309" s="1" t="s">
        <v>1053</v>
      </c>
      <c r="O309" s="1" t="n">
        <v>2</v>
      </c>
      <c r="P309" s="1" t="s">
        <v>1054</v>
      </c>
      <c r="Q309" s="1" t="n">
        <v>2</v>
      </c>
      <c r="R309" s="1" t="s">
        <v>1166</v>
      </c>
      <c r="S309" s="1" t="n">
        <v>20251126165604</v>
      </c>
      <c r="T309" s="2" t="s">
        <v>1056</v>
      </c>
      <c r="U309" s="2" t="s">
        <v>1057</v>
      </c>
      <c r="X309" s="2" t="n">
        <v>846096</v>
      </c>
      <c r="Y309" s="1" t="n">
        <v>1.6</v>
      </c>
      <c r="Z309" s="1" t="n">
        <v>3</v>
      </c>
    </row>
    <row r="310" customFormat="false" ht="18.7" hidden="false" customHeight="true" outlineLevel="0" collapsed="false">
      <c r="A310" s="1" t="n">
        <v>309</v>
      </c>
      <c r="B310" s="7" t="str">
        <f aca="false">HYPERLINK("https://mncourtfraud.com/file/27-CR-21-5179.pdf","27-CR-21-5179")</f>
        <v>27-CR-21-5179</v>
      </c>
      <c r="C310" s="1" t="n">
        <v>5</v>
      </c>
      <c r="D310" s="2" t="s">
        <v>267</v>
      </c>
      <c r="E310" s="8" t="n">
        <v>45023</v>
      </c>
      <c r="F310" s="2" t="s">
        <v>15</v>
      </c>
      <c r="G310" s="7" t="str">
        <f aca="false">HYPERLINK("https://mncourtfraud.com/file/MCRO_27-CR-21-5179_Order-Evaluation for Competency to Proceed (Rule 20.01)_2023-04-07_20251126165613.pdf","MCRO_27-CR-21-5179_Order-Evaluation for Competency to Proceed (Rule 20.01)_2023-04-07_20251126165613.pdf")</f>
        <v>MCRO_27-CR-21-5179_Order-Evaluation for Competency to Proceed (Rule 20.01)_2023-04-07_20251126165613.pdf</v>
      </c>
      <c r="J310" s="2" t="s">
        <v>498</v>
      </c>
      <c r="K310" s="2" t="s">
        <v>499</v>
      </c>
      <c r="L310" s="2" t="s">
        <v>469</v>
      </c>
      <c r="M310" s="8" t="n">
        <v>45023</v>
      </c>
      <c r="N310" s="1" t="s">
        <v>1167</v>
      </c>
      <c r="O310" s="1" t="n">
        <v>0</v>
      </c>
      <c r="P310" s="1" t="s">
        <v>1167</v>
      </c>
      <c r="Q310" s="1" t="n">
        <v>0</v>
      </c>
      <c r="R310" s="1" t="s">
        <v>1168</v>
      </c>
      <c r="S310" s="1" t="n">
        <v>20251126165613</v>
      </c>
      <c r="T310" s="2" t="s">
        <v>1169</v>
      </c>
      <c r="U310" s="2" t="s">
        <v>1169</v>
      </c>
      <c r="X310" s="2" t="n">
        <v>1134096</v>
      </c>
      <c r="Y310" s="1" t="n">
        <v>1.7</v>
      </c>
      <c r="Z310" s="1" t="n">
        <v>2</v>
      </c>
      <c r="AA310" s="9" t="s">
        <v>475</v>
      </c>
    </row>
    <row r="311" customFormat="false" ht="18.7" hidden="false" customHeight="true" outlineLevel="0" collapsed="false">
      <c r="A311" s="1" t="n">
        <v>310</v>
      </c>
      <c r="B311" s="7" t="str">
        <f aca="false">HYPERLINK("https://mncourtfraud.com/file/27-CR-21-5179.pdf","27-CR-21-5179")</f>
        <v>27-CR-21-5179</v>
      </c>
      <c r="C311" s="1" t="n">
        <v>5</v>
      </c>
      <c r="D311" s="2" t="s">
        <v>267</v>
      </c>
      <c r="E311" s="8" t="n">
        <v>45194</v>
      </c>
      <c r="F311" s="2" t="s">
        <v>15</v>
      </c>
      <c r="G311" s="7" t="str">
        <f aca="false">HYPERLINK("https://mncourtfraud.com/file/MCRO_27-CR-21-5179_Order-Evaluation for Competency to Proceed (Rule 20.01)_2023-09-25_20251126165545.pdf","MCRO_27-CR-21-5179_Order-Evaluation for Competency to Proceed (Rule 20.01)_2023-09-25_20251126165545.pdf")</f>
        <v>MCRO_27-CR-21-5179_Order-Evaluation for Competency to Proceed (Rule 20.01)_2023-09-25_20251126165545.pdf</v>
      </c>
      <c r="I311" s="2" t="s">
        <v>481</v>
      </c>
      <c r="J311" s="2" t="s">
        <v>481</v>
      </c>
      <c r="K311" s="2" t="s">
        <v>482</v>
      </c>
      <c r="L311" s="2" t="s">
        <v>469</v>
      </c>
      <c r="M311" s="8" t="n">
        <v>45194</v>
      </c>
      <c r="N311" s="1" t="s">
        <v>1061</v>
      </c>
      <c r="O311" s="1" t="n">
        <v>0</v>
      </c>
      <c r="P311" s="1" t="s">
        <v>1061</v>
      </c>
      <c r="Q311" s="1" t="n">
        <v>0</v>
      </c>
      <c r="R311" s="1" t="s">
        <v>1170</v>
      </c>
      <c r="S311" s="1" t="n">
        <v>20251126165545</v>
      </c>
      <c r="T311" s="2" t="s">
        <v>1063</v>
      </c>
      <c r="U311" s="2" t="s">
        <v>1064</v>
      </c>
      <c r="X311" s="2" t="n">
        <v>166642</v>
      </c>
      <c r="Y311" s="1" t="n">
        <v>1.5</v>
      </c>
      <c r="Z311" s="1" t="n">
        <v>2</v>
      </c>
    </row>
    <row r="312" customFormat="false" ht="18.7" hidden="false" customHeight="true" outlineLevel="0" collapsed="false">
      <c r="A312" s="1" t="n">
        <v>311</v>
      </c>
      <c r="B312" s="7" t="str">
        <f aca="false">HYPERLINK("https://mncourtfraud.com/file/27-CR-22-10565.pdf","27-CR-22-10565")</f>
        <v>27-CR-22-10565</v>
      </c>
      <c r="C312" s="1" t="n">
        <v>5</v>
      </c>
      <c r="D312" s="2" t="s">
        <v>267</v>
      </c>
      <c r="E312" s="8" t="n">
        <v>44837</v>
      </c>
      <c r="F312" s="2" t="s">
        <v>17</v>
      </c>
      <c r="G312" s="7" t="str">
        <f aca="false">HYPERLINK("https://mncourtfraud.com/file/MCRO_27-CR-22-10565_Returned Mail_2022-10-03_20251126165716.pdf","MCRO_27-CR-22-10565_Returned Mail_2022-10-03_20251126165716.pdf")</f>
        <v>MCRO_27-CR-22-10565_Returned Mail_2022-10-03_20251126165716.pdf</v>
      </c>
      <c r="I312" s="2" t="s">
        <v>1044</v>
      </c>
      <c r="J312" s="2" t="s">
        <v>1044</v>
      </c>
      <c r="K312" s="2" t="s">
        <v>1045</v>
      </c>
      <c r="L312" s="2" t="s">
        <v>469</v>
      </c>
      <c r="M312" s="8" t="n">
        <v>44837</v>
      </c>
      <c r="N312" s="1" t="s">
        <v>1046</v>
      </c>
      <c r="O312" s="1" t="n">
        <v>3</v>
      </c>
      <c r="P312" s="1" t="s">
        <v>1047</v>
      </c>
      <c r="Q312" s="1" t="n">
        <v>3</v>
      </c>
      <c r="R312" s="1" t="s">
        <v>1171</v>
      </c>
      <c r="S312" s="1" t="n">
        <v>20251126165716</v>
      </c>
      <c r="T312" s="2" t="s">
        <v>1049</v>
      </c>
      <c r="U312" s="2" t="s">
        <v>1050</v>
      </c>
      <c r="X312" s="2" t="n">
        <v>381219</v>
      </c>
      <c r="Y312" s="1" t="n">
        <v>1.6</v>
      </c>
      <c r="Z312" s="1" t="n">
        <v>1</v>
      </c>
    </row>
    <row r="313" customFormat="false" ht="18.7" hidden="false" customHeight="true" outlineLevel="0" collapsed="false">
      <c r="A313" s="1" t="n">
        <v>312</v>
      </c>
      <c r="B313" s="7" t="str">
        <f aca="false">HYPERLINK("https://mncourtfraud.com/file/27-CR-22-10565.pdf","27-CR-22-10565")</f>
        <v>27-CR-22-10565</v>
      </c>
      <c r="C313" s="1" t="n">
        <v>5</v>
      </c>
      <c r="D313" s="2" t="s">
        <v>267</v>
      </c>
      <c r="E313" s="8" t="n">
        <v>44873</v>
      </c>
      <c r="F313" s="2" t="s">
        <v>15</v>
      </c>
      <c r="G313" s="7" t="str">
        <f aca="false">HYPERLINK("https://mncourtfraud.com/file/MCRO_27-CR-22-10565_Order-Evaluation for Competency to Proceed (Rule 20.01)_2022-11-08_20251126165641.pdf","MCRO_27-CR-22-10565_Order-Evaluation for Competency to Proceed (Rule 20.01)_2022-11-08_20251126165641.pdf")</f>
        <v>MCRO_27-CR-22-10565_Order-Evaluation for Competency to Proceed (Rule 20.01)_2022-11-08_20251126165641.pdf</v>
      </c>
      <c r="I313" s="2" t="s">
        <v>1051</v>
      </c>
      <c r="J313" s="2" t="s">
        <v>1051</v>
      </c>
      <c r="K313" s="2" t="s">
        <v>1052</v>
      </c>
      <c r="L313" s="2" t="s">
        <v>469</v>
      </c>
      <c r="M313" s="8" t="n">
        <v>44873</v>
      </c>
      <c r="N313" s="1" t="s">
        <v>1053</v>
      </c>
      <c r="O313" s="1" t="n">
        <v>2</v>
      </c>
      <c r="P313" s="1" t="s">
        <v>1054</v>
      </c>
      <c r="Q313" s="1" t="n">
        <v>2</v>
      </c>
      <c r="R313" s="1" t="s">
        <v>1172</v>
      </c>
      <c r="S313" s="1" t="n">
        <v>20251126165641</v>
      </c>
      <c r="T313" s="2" t="s">
        <v>1056</v>
      </c>
      <c r="U313" s="2" t="s">
        <v>1057</v>
      </c>
      <c r="X313" s="2" t="n">
        <v>846096</v>
      </c>
      <c r="Y313" s="1" t="n">
        <v>1.6</v>
      </c>
      <c r="Z313" s="1" t="n">
        <v>3</v>
      </c>
    </row>
    <row r="314" customFormat="false" ht="18.7" hidden="false" customHeight="true" outlineLevel="0" collapsed="false">
      <c r="A314" s="1" t="n">
        <v>313</v>
      </c>
      <c r="B314" s="7" t="str">
        <f aca="false">HYPERLINK("https://mncourtfraud.com/file/27-CR-22-10565.pdf","27-CR-22-10565")</f>
        <v>27-CR-22-10565</v>
      </c>
      <c r="C314" s="1" t="n">
        <v>5</v>
      </c>
      <c r="D314" s="2" t="s">
        <v>267</v>
      </c>
      <c r="E314" s="8" t="n">
        <v>45023</v>
      </c>
      <c r="F314" s="2" t="s">
        <v>15</v>
      </c>
      <c r="G314" s="7" t="str">
        <f aca="false">HYPERLINK("https://mncourtfraud.com/file/MCRO_27-CR-22-10565_Order-Evaluation for Competency to Proceed (Rule 20.01)_2023-04-07_20251126165651.pdf","MCRO_27-CR-22-10565_Order-Evaluation for Competency to Proceed (Rule 20.01)_2023-04-07_20251126165651.pdf")</f>
        <v>MCRO_27-CR-22-10565_Order-Evaluation for Competency to Proceed (Rule 20.01)_2023-04-07_20251126165651.pdf</v>
      </c>
      <c r="J314" s="2" t="s">
        <v>498</v>
      </c>
      <c r="K314" s="2" t="s">
        <v>499</v>
      </c>
      <c r="L314" s="2" t="s">
        <v>469</v>
      </c>
      <c r="M314" s="8" t="n">
        <v>45023</v>
      </c>
      <c r="N314" s="1" t="s">
        <v>1173</v>
      </c>
      <c r="O314" s="1" t="n">
        <v>0</v>
      </c>
      <c r="P314" s="1" t="s">
        <v>1173</v>
      </c>
      <c r="Q314" s="1" t="n">
        <v>0</v>
      </c>
      <c r="R314" s="1" t="s">
        <v>1174</v>
      </c>
      <c r="S314" s="1" t="n">
        <v>20251126165651</v>
      </c>
      <c r="T314" s="2" t="s">
        <v>1175</v>
      </c>
      <c r="U314" s="2" t="s">
        <v>1175</v>
      </c>
      <c r="X314" s="2" t="n">
        <v>1127637</v>
      </c>
      <c r="Y314" s="1" t="n">
        <v>1.7</v>
      </c>
      <c r="Z314" s="1" t="n">
        <v>2</v>
      </c>
      <c r="AA314" s="9" t="s">
        <v>475</v>
      </c>
    </row>
    <row r="315" customFormat="false" ht="18.7" hidden="false" customHeight="true" outlineLevel="0" collapsed="false">
      <c r="A315" s="1" t="n">
        <v>314</v>
      </c>
      <c r="B315" s="7" t="str">
        <f aca="false">HYPERLINK("https://mncourtfraud.com/file/27-CR-22-10565.pdf","27-CR-22-10565")</f>
        <v>27-CR-22-10565</v>
      </c>
      <c r="C315" s="1" t="n">
        <v>5</v>
      </c>
      <c r="D315" s="2" t="s">
        <v>267</v>
      </c>
      <c r="E315" s="8" t="n">
        <v>45194</v>
      </c>
      <c r="F315" s="2" t="s">
        <v>15</v>
      </c>
      <c r="G315" s="7" t="str">
        <f aca="false">HYPERLINK("https://mncourtfraud.com/file/MCRO_27-CR-22-10565_Order-Evaluation for Competency to Proceed (Rule 20.01)_2023-09-25_20251126165659.pdf","MCRO_27-CR-22-10565_Order-Evaluation for Competency to Proceed (Rule 20.01)_2023-09-25_20251126165659.pdf")</f>
        <v>MCRO_27-CR-22-10565_Order-Evaluation for Competency to Proceed (Rule 20.01)_2023-09-25_20251126165659.pdf</v>
      </c>
      <c r="I315" s="2" t="s">
        <v>481</v>
      </c>
      <c r="J315" s="2" t="s">
        <v>481</v>
      </c>
      <c r="K315" s="2" t="s">
        <v>482</v>
      </c>
      <c r="L315" s="2" t="s">
        <v>469</v>
      </c>
      <c r="M315" s="8" t="n">
        <v>45194</v>
      </c>
      <c r="N315" s="1" t="s">
        <v>1176</v>
      </c>
      <c r="O315" s="1" t="n">
        <v>1</v>
      </c>
      <c r="P315" s="1" t="s">
        <v>1177</v>
      </c>
      <c r="Q315" s="1" t="n">
        <v>1</v>
      </c>
      <c r="R315" s="1" t="s">
        <v>1178</v>
      </c>
      <c r="S315" s="1" t="n">
        <v>20251126165659</v>
      </c>
      <c r="T315" s="2" t="s">
        <v>1179</v>
      </c>
      <c r="U315" s="2" t="s">
        <v>1180</v>
      </c>
      <c r="X315" s="2" t="n">
        <v>169916</v>
      </c>
      <c r="Y315" s="1" t="n">
        <v>1.5</v>
      </c>
      <c r="Z315" s="1" t="n">
        <v>2</v>
      </c>
    </row>
    <row r="316" customFormat="false" ht="18.7" hidden="false" customHeight="true" outlineLevel="0" collapsed="false">
      <c r="A316" s="1" t="n">
        <v>315</v>
      </c>
      <c r="B316" s="7" t="str">
        <f aca="false">HYPERLINK("https://mncourtfraud.com/file/27-CR-22-11847.pdf","27-CR-22-11847")</f>
        <v>27-CR-22-11847</v>
      </c>
      <c r="C316" s="1" t="n">
        <v>1</v>
      </c>
      <c r="D316" s="2" t="s">
        <v>12</v>
      </c>
      <c r="E316" s="8" t="n">
        <v>44761</v>
      </c>
      <c r="F316" s="2" t="s">
        <v>15</v>
      </c>
      <c r="G316" s="7" t="str">
        <f aca="false">HYPERLINK("https://mncourtfraud.com/file/MCRO_27-CR-22-11847_Order-Evaluation for Competency to Proceed (Rule 20.01)_2022-07-19_20251126184637.pdf","MCRO_27-CR-22-11847_Order-Evaluation for Competency to Proceed (Rule 20.01)_2022-07-19_20251126184637.pdf")</f>
        <v>MCRO_27-CR-22-11847_Order-Evaluation for Competency to Proceed (Rule 20.01)_2022-07-19_20251126184637.pdf</v>
      </c>
      <c r="I316" s="2" t="s">
        <v>1181</v>
      </c>
      <c r="J316" s="2" t="s">
        <v>1181</v>
      </c>
      <c r="K316" s="2" t="s">
        <v>1182</v>
      </c>
      <c r="L316" s="2" t="s">
        <v>469</v>
      </c>
      <c r="M316" s="8" t="n">
        <v>44761</v>
      </c>
      <c r="N316" s="1" t="s">
        <v>1183</v>
      </c>
      <c r="O316" s="1" t="n">
        <v>0</v>
      </c>
      <c r="P316" s="1" t="s">
        <v>1184</v>
      </c>
      <c r="Q316" s="1" t="n">
        <v>0</v>
      </c>
      <c r="R316" s="1" t="s">
        <v>1185</v>
      </c>
      <c r="S316" s="1" t="n">
        <v>20251126184637</v>
      </c>
      <c r="T316" s="2" t="s">
        <v>1186</v>
      </c>
      <c r="U316" s="2" t="s">
        <v>1187</v>
      </c>
      <c r="X316" s="2" t="n">
        <v>220513</v>
      </c>
      <c r="Y316" s="1" t="n">
        <v>1.6</v>
      </c>
      <c r="Z316" s="1" t="n">
        <v>2</v>
      </c>
    </row>
    <row r="317" customFormat="false" ht="18.7" hidden="false" customHeight="true" outlineLevel="0" collapsed="false">
      <c r="A317" s="1" t="n">
        <v>316</v>
      </c>
      <c r="B317" s="7" t="str">
        <f aca="false">HYPERLINK("https://mncourtfraud.com/file/27-CR-22-11847.pdf","27-CR-22-11847")</f>
        <v>27-CR-22-11847</v>
      </c>
      <c r="C317" s="1" t="n">
        <v>1</v>
      </c>
      <c r="D317" s="2" t="s">
        <v>12</v>
      </c>
      <c r="E317" s="8" t="n">
        <v>44895</v>
      </c>
      <c r="F317" s="2" t="s">
        <v>15</v>
      </c>
      <c r="G317" s="7" t="str">
        <f aca="false">HYPERLINK("https://mncourtfraud.com/file/MCRO_27-CR-22-11847_Order-Evaluation for Competency to Proceed (Rule 20.01)_2022-11-30_20251126184645.pdf","MCRO_27-CR-22-11847_Order-Evaluation for Competency to Proceed (Rule 20.01)_2022-11-30_20251126184645.pdf")</f>
        <v>MCRO_27-CR-22-11847_Order-Evaluation for Competency to Proceed (Rule 20.01)_2022-11-30_20251126184645.pdf</v>
      </c>
      <c r="H317" s="2" t="s">
        <v>543</v>
      </c>
      <c r="I317" s="2" t="s">
        <v>544</v>
      </c>
      <c r="J317" s="2" t="s">
        <v>519</v>
      </c>
      <c r="K317" s="2" t="s">
        <v>520</v>
      </c>
      <c r="L317" s="2" t="s">
        <v>469</v>
      </c>
      <c r="M317" s="8" t="n">
        <v>44895</v>
      </c>
      <c r="N317" s="1" t="s">
        <v>545</v>
      </c>
      <c r="O317" s="1" t="n">
        <v>0</v>
      </c>
      <c r="P317" s="1" t="s">
        <v>546</v>
      </c>
      <c r="Q317" s="1" t="n">
        <v>0</v>
      </c>
      <c r="R317" s="1" t="s">
        <v>1188</v>
      </c>
      <c r="S317" s="1" t="n">
        <v>20251126184645</v>
      </c>
      <c r="T317" s="2" t="s">
        <v>548</v>
      </c>
      <c r="U317" s="2" t="s">
        <v>549</v>
      </c>
      <c r="X317" s="2" t="n">
        <v>816996</v>
      </c>
      <c r="Y317" s="1" t="n">
        <v>1.7</v>
      </c>
      <c r="Z317" s="1" t="n">
        <v>2</v>
      </c>
      <c r="AA317" s="9" t="s">
        <v>475</v>
      </c>
    </row>
    <row r="318" customFormat="false" ht="18.7" hidden="false" customHeight="true" outlineLevel="0" collapsed="false">
      <c r="A318" s="1" t="n">
        <v>317</v>
      </c>
      <c r="B318" s="7" t="str">
        <f aca="false">HYPERLINK("https://mncourtfraud.com/file/27-CR-22-11847.pdf","27-CR-22-11847")</f>
        <v>27-CR-22-11847</v>
      </c>
      <c r="C318" s="1" t="n">
        <v>1</v>
      </c>
      <c r="D318" s="2" t="s">
        <v>12</v>
      </c>
      <c r="E318" s="8" t="n">
        <v>44999</v>
      </c>
      <c r="F318" s="2" t="s">
        <v>17</v>
      </c>
      <c r="G318" s="7" t="str">
        <f aca="false">HYPERLINK("https://mncourtfraud.com/file/MCRO_27-CR-22-11847_Returned Mail_2023-03-14_20251126184709.pdf","MCRO_27-CR-22-11847_Returned Mail_2023-03-14_20251126184709.pdf")</f>
        <v>MCRO_27-CR-22-11847_Returned Mail_2023-03-14_20251126184709.pdf</v>
      </c>
      <c r="J318" s="2" t="s">
        <v>498</v>
      </c>
      <c r="K318" s="2" t="s">
        <v>499</v>
      </c>
      <c r="L318" s="2" t="s">
        <v>469</v>
      </c>
      <c r="M318" s="8" t="n">
        <v>44999</v>
      </c>
      <c r="N318" s="1" t="s">
        <v>1189</v>
      </c>
      <c r="O318" s="1" t="n">
        <v>7</v>
      </c>
      <c r="P318" s="1" t="s">
        <v>1189</v>
      </c>
      <c r="Q318" s="1" t="n">
        <v>7</v>
      </c>
      <c r="R318" s="1" t="s">
        <v>1190</v>
      </c>
      <c r="S318" s="1" t="n">
        <v>20251126184709</v>
      </c>
      <c r="T318" s="2" t="s">
        <v>1191</v>
      </c>
      <c r="U318" s="2" t="s">
        <v>1191</v>
      </c>
      <c r="X318" s="2" t="n">
        <v>254034</v>
      </c>
      <c r="Y318" s="1" t="n">
        <v>1.7</v>
      </c>
      <c r="Z318" s="1" t="n">
        <v>1</v>
      </c>
      <c r="AA318" s="9" t="s">
        <v>475</v>
      </c>
    </row>
    <row r="319" customFormat="false" ht="18.7" hidden="false" customHeight="true" outlineLevel="0" collapsed="false">
      <c r="A319" s="1" t="n">
        <v>318</v>
      </c>
      <c r="B319" s="7" t="str">
        <f aca="false">HYPERLINK("https://mncourtfraud.com/file/27-CR-22-11847.pdf","27-CR-22-11847")</f>
        <v>27-CR-22-11847</v>
      </c>
      <c r="C319" s="1" t="n">
        <v>1</v>
      </c>
      <c r="D319" s="2" t="s">
        <v>12</v>
      </c>
      <c r="E319" s="8" t="n">
        <v>45048</v>
      </c>
      <c r="F319" s="2" t="s">
        <v>80</v>
      </c>
      <c r="G319" s="7" t="str">
        <f aca="false">HYPERLINK("https://mncourtfraud.com/file/MCRO_27-CR-22-11847_Finding of Incompetency and Order_2023-05-02_20251126184550.pdf","MCRO_27-CR-22-11847_Finding of Incompetency and Order_2023-05-02_20251126184550.pdf")</f>
        <v>MCRO_27-CR-22-11847_Finding of Incompetency and Order_2023-05-02_20251126184550.pdf</v>
      </c>
      <c r="H319" s="2" t="s">
        <v>644</v>
      </c>
      <c r="I319" s="2" t="s">
        <v>644</v>
      </c>
      <c r="J319" s="2" t="s">
        <v>519</v>
      </c>
      <c r="K319" s="2" t="s">
        <v>520</v>
      </c>
      <c r="L319" s="2" t="s">
        <v>469</v>
      </c>
      <c r="M319" s="8" t="n">
        <v>45048</v>
      </c>
      <c r="N319" s="1" t="s">
        <v>645</v>
      </c>
      <c r="O319" s="1" t="n">
        <v>0</v>
      </c>
      <c r="P319" s="1" t="s">
        <v>646</v>
      </c>
      <c r="Q319" s="1" t="n">
        <v>0</v>
      </c>
      <c r="R319" s="1" t="s">
        <v>1192</v>
      </c>
      <c r="S319" s="1" t="n">
        <v>20251126184550</v>
      </c>
      <c r="T319" s="2" t="s">
        <v>648</v>
      </c>
      <c r="U319" s="2" t="s">
        <v>649</v>
      </c>
      <c r="W319" s="2" t="s">
        <v>650</v>
      </c>
      <c r="X319" s="2" t="n">
        <v>976547</v>
      </c>
      <c r="Y319" s="1" t="n">
        <v>1.7</v>
      </c>
      <c r="Z319" s="1" t="n">
        <v>6</v>
      </c>
      <c r="AA319" s="9" t="s">
        <v>475</v>
      </c>
    </row>
    <row r="320" customFormat="false" ht="18.7" hidden="false" customHeight="true" outlineLevel="0" collapsed="false">
      <c r="A320" s="1" t="n">
        <v>319</v>
      </c>
      <c r="B320" s="7" t="str">
        <f aca="false">HYPERLINK("https://mncourtfraud.com/file/27-CR-22-11847.pdf","27-CR-22-11847")</f>
        <v>27-CR-22-11847</v>
      </c>
      <c r="C320" s="1" t="n">
        <v>1</v>
      </c>
      <c r="D320" s="2" t="s">
        <v>12</v>
      </c>
      <c r="E320" s="8" t="n">
        <v>45093</v>
      </c>
      <c r="F320" s="2" t="s">
        <v>82</v>
      </c>
      <c r="G320" s="7" t="str">
        <f aca="false">HYPERLINK("https://mncourtfraud.com/file/MCRO_27-CR-22-11847_Notice of Case Reassignment_2023-06-16_20251126184603.pdf","MCRO_27-CR-22-11847_Notice of Case Reassignment_2023-06-16_20251126184603.pdf")</f>
        <v>MCRO_27-CR-22-11847_Notice of Case Reassignment_2023-06-16_20251126184603.pdf</v>
      </c>
      <c r="H320" s="2" t="s">
        <v>651</v>
      </c>
      <c r="I320" s="2" t="s">
        <v>651</v>
      </c>
      <c r="J320" s="2" t="s">
        <v>535</v>
      </c>
      <c r="K320" s="2" t="s">
        <v>652</v>
      </c>
      <c r="L320" s="2" t="s">
        <v>469</v>
      </c>
      <c r="M320" s="8" t="n">
        <v>45093</v>
      </c>
      <c r="N320" s="1" t="s">
        <v>1001</v>
      </c>
      <c r="O320" s="1" t="n">
        <v>5</v>
      </c>
      <c r="P320" s="1" t="s">
        <v>1001</v>
      </c>
      <c r="Q320" s="1" t="n">
        <v>5</v>
      </c>
      <c r="R320" s="1" t="s">
        <v>1193</v>
      </c>
      <c r="S320" s="1" t="n">
        <v>20251126184603</v>
      </c>
      <c r="T320" s="2" t="s">
        <v>1194</v>
      </c>
      <c r="U320" s="2" t="s">
        <v>1195</v>
      </c>
      <c r="W320" s="2" t="s">
        <v>657</v>
      </c>
      <c r="X320" s="2" t="n">
        <v>113629</v>
      </c>
      <c r="Y320" s="1" t="n">
        <v>1.6</v>
      </c>
      <c r="Z320" s="1" t="n">
        <v>1</v>
      </c>
    </row>
    <row r="321" customFormat="false" ht="18.7" hidden="false" customHeight="true" outlineLevel="0" collapsed="false">
      <c r="A321" s="1" t="n">
        <v>320</v>
      </c>
      <c r="B321" s="7" t="str">
        <f aca="false">HYPERLINK("https://mncourtfraud.com/file/27-CR-22-11847.pdf","27-CR-22-11847")</f>
        <v>27-CR-22-11847</v>
      </c>
      <c r="C321" s="1" t="n">
        <v>1</v>
      </c>
      <c r="D321" s="2" t="s">
        <v>12</v>
      </c>
      <c r="E321" s="8" t="n">
        <v>45160</v>
      </c>
      <c r="F321" s="2" t="s">
        <v>15</v>
      </c>
      <c r="G321" s="7" t="str">
        <f aca="false">HYPERLINK("https://mncourtfraud.com/file/MCRO_27-CR-22-11847_Order-Evaluation for Competency to Proceed (Rule 20.01)_2023-08-22_20251126184653.pdf","MCRO_27-CR-22-11847_Order-Evaluation for Competency to Proceed (Rule 20.01)_2023-08-22_20251126184653.pdf")</f>
        <v>MCRO_27-CR-22-11847_Order-Evaluation for Competency to Proceed (Rule 20.01)_2023-08-22_20251126184653.pdf</v>
      </c>
      <c r="H321" s="2" t="s">
        <v>658</v>
      </c>
      <c r="I321" s="2" t="s">
        <v>659</v>
      </c>
      <c r="J321" s="2" t="s">
        <v>519</v>
      </c>
      <c r="K321" s="2" t="s">
        <v>520</v>
      </c>
      <c r="L321" s="2" t="s">
        <v>469</v>
      </c>
      <c r="M321" s="8" t="n">
        <v>45160</v>
      </c>
      <c r="N321" s="1" t="s">
        <v>660</v>
      </c>
      <c r="O321" s="1" t="n">
        <v>0</v>
      </c>
      <c r="P321" s="1" t="s">
        <v>661</v>
      </c>
      <c r="Q321" s="1" t="n">
        <v>0</v>
      </c>
      <c r="R321" s="1" t="s">
        <v>1196</v>
      </c>
      <c r="S321" s="1" t="n">
        <v>20251126184653</v>
      </c>
      <c r="T321" s="2" t="s">
        <v>663</v>
      </c>
      <c r="U321" s="2" t="s">
        <v>664</v>
      </c>
      <c r="X321" s="2" t="n">
        <v>876402</v>
      </c>
      <c r="Y321" s="1" t="n">
        <v>1.7</v>
      </c>
      <c r="Z321" s="1" t="n">
        <v>2</v>
      </c>
      <c r="AA321" s="9" t="s">
        <v>475</v>
      </c>
    </row>
    <row r="322" customFormat="false" ht="18.7" hidden="false" customHeight="true" outlineLevel="0" collapsed="false">
      <c r="A322" s="1" t="n">
        <v>321</v>
      </c>
      <c r="B322" s="7" t="str">
        <f aca="false">HYPERLINK("https://mncourtfraud.com/file/27-CR-22-11847.pdf","27-CR-22-11847")</f>
        <v>27-CR-22-11847</v>
      </c>
      <c r="C322" s="1" t="n">
        <v>1</v>
      </c>
      <c r="D322" s="2" t="s">
        <v>12</v>
      </c>
      <c r="E322" s="8" t="n">
        <v>45412</v>
      </c>
      <c r="F322" s="2" t="s">
        <v>24</v>
      </c>
      <c r="G322" s="7" t="str">
        <f aca="false">HYPERLINK("https://mncourtfraud.com/file/MCRO_27-CR-22-11847_Order for Conditional Release_2024-04-30_20251126184615.pdf","MCRO_27-CR-22-11847_Order for Conditional Release_2024-04-30_20251126184615.pdf")</f>
        <v>MCRO_27-CR-22-11847_Order for Conditional Release_2024-04-30_20251126184615.pdf</v>
      </c>
      <c r="I322" s="2" t="s">
        <v>481</v>
      </c>
      <c r="J322" s="2" t="s">
        <v>481</v>
      </c>
      <c r="K322" s="2" t="s">
        <v>482</v>
      </c>
      <c r="L322" s="2" t="s">
        <v>469</v>
      </c>
      <c r="M322" s="8" t="n">
        <v>45412</v>
      </c>
      <c r="N322" s="1" t="s">
        <v>665</v>
      </c>
      <c r="O322" s="1" t="n">
        <v>0</v>
      </c>
      <c r="P322" s="1" t="s">
        <v>665</v>
      </c>
      <c r="Q322" s="1" t="n">
        <v>0</v>
      </c>
      <c r="R322" s="1" t="s">
        <v>1197</v>
      </c>
      <c r="S322" s="1" t="n">
        <v>20251126184615</v>
      </c>
      <c r="T322" s="2" t="s">
        <v>667</v>
      </c>
      <c r="U322" s="2" t="s">
        <v>668</v>
      </c>
      <c r="X322" s="2" t="n">
        <v>150536</v>
      </c>
      <c r="Y322" s="1" t="n">
        <v>1.5</v>
      </c>
      <c r="Z322" s="1" t="n">
        <v>2</v>
      </c>
    </row>
    <row r="323" customFormat="false" ht="18.7" hidden="false" customHeight="true" outlineLevel="0" collapsed="false">
      <c r="A323" s="1" t="n">
        <v>322</v>
      </c>
      <c r="B323" s="7" t="str">
        <f aca="false">HYPERLINK("https://mncourtfraud.com/file/27-CR-22-11847.pdf","27-CR-22-11847")</f>
        <v>27-CR-22-11847</v>
      </c>
      <c r="C323" s="1" t="n">
        <v>1</v>
      </c>
      <c r="D323" s="2" t="s">
        <v>12</v>
      </c>
      <c r="E323" s="8" t="n">
        <v>45412</v>
      </c>
      <c r="F323" s="2" t="s">
        <v>15</v>
      </c>
      <c r="G323" s="7" t="str">
        <f aca="false">HYPERLINK("https://mncourtfraud.com/file/MCRO_27-CR-22-11847_Order-Evaluation for Competency to Proceed (Rule 20.01)_2024-04-30_20251126184629.pdf","MCRO_27-CR-22-11847_Order-Evaluation for Competency to Proceed (Rule 20.01)_2024-04-30_20251126184629.pdf")</f>
        <v>MCRO_27-CR-22-11847_Order-Evaluation for Competency to Proceed (Rule 20.01)_2024-04-30_20251126184629.pdf</v>
      </c>
      <c r="I323" s="2" t="s">
        <v>481</v>
      </c>
      <c r="J323" s="2" t="s">
        <v>481</v>
      </c>
      <c r="K323" s="2" t="s">
        <v>482</v>
      </c>
      <c r="L323" s="2" t="s">
        <v>469</v>
      </c>
      <c r="M323" s="8" t="n">
        <v>45412</v>
      </c>
      <c r="N323" s="1" t="s">
        <v>665</v>
      </c>
      <c r="O323" s="1" t="n">
        <v>0</v>
      </c>
      <c r="P323" s="1" t="s">
        <v>665</v>
      </c>
      <c r="Q323" s="1" t="n">
        <v>0</v>
      </c>
      <c r="R323" s="1" t="s">
        <v>1198</v>
      </c>
      <c r="S323" s="1" t="n">
        <v>20251126184629</v>
      </c>
      <c r="T323" s="2" t="s">
        <v>670</v>
      </c>
      <c r="U323" s="2" t="s">
        <v>671</v>
      </c>
      <c r="X323" s="2" t="n">
        <v>219518</v>
      </c>
      <c r="Y323" s="1" t="n">
        <v>1.5</v>
      </c>
      <c r="Z323" s="1" t="n">
        <v>3</v>
      </c>
    </row>
    <row r="324" customFormat="false" ht="18.7" hidden="false" customHeight="true" outlineLevel="0" collapsed="false">
      <c r="A324" s="1" t="n">
        <v>323</v>
      </c>
      <c r="B324" s="7" t="str">
        <f aca="false">HYPERLINK("https://mncourtfraud.com/file/27-CR-22-12695.pdf","27-CR-22-12695")</f>
        <v>27-CR-22-12695</v>
      </c>
      <c r="C324" s="1" t="n">
        <v>1</v>
      </c>
      <c r="D324" s="2" t="s">
        <v>12</v>
      </c>
      <c r="E324" s="8" t="n">
        <v>44761</v>
      </c>
      <c r="F324" s="2" t="s">
        <v>15</v>
      </c>
      <c r="G324" s="7" t="str">
        <f aca="false">HYPERLINK("https://mncourtfraud.com/file/MCRO_27-CR-22-12695_Order-Evaluation for Competency to Proceed (Rule 20.01)_2022-07-19_20251126184801.pdf","MCRO_27-CR-22-12695_Order-Evaluation for Competency to Proceed (Rule 20.01)_2022-07-19_20251126184801.pdf")</f>
        <v>MCRO_27-CR-22-12695_Order-Evaluation for Competency to Proceed (Rule 20.01)_2022-07-19_20251126184801.pdf</v>
      </c>
      <c r="I324" s="2" t="s">
        <v>1181</v>
      </c>
      <c r="J324" s="2" t="s">
        <v>1181</v>
      </c>
      <c r="K324" s="2" t="s">
        <v>1182</v>
      </c>
      <c r="L324" s="2" t="s">
        <v>469</v>
      </c>
      <c r="M324" s="8" t="n">
        <v>44761</v>
      </c>
      <c r="N324" s="1" t="s">
        <v>1183</v>
      </c>
      <c r="O324" s="1" t="n">
        <v>0</v>
      </c>
      <c r="P324" s="1" t="s">
        <v>1184</v>
      </c>
      <c r="Q324" s="1" t="n">
        <v>0</v>
      </c>
      <c r="R324" s="1" t="s">
        <v>1199</v>
      </c>
      <c r="S324" s="1" t="n">
        <v>20251126184801</v>
      </c>
      <c r="T324" s="2" t="s">
        <v>1186</v>
      </c>
      <c r="U324" s="2" t="s">
        <v>1187</v>
      </c>
      <c r="X324" s="2" t="n">
        <v>220512</v>
      </c>
      <c r="Y324" s="1" t="n">
        <v>1.6</v>
      </c>
      <c r="Z324" s="1" t="n">
        <v>2</v>
      </c>
    </row>
    <row r="325" customFormat="false" ht="18.7" hidden="false" customHeight="true" outlineLevel="0" collapsed="false">
      <c r="A325" s="1" t="n">
        <v>324</v>
      </c>
      <c r="B325" s="7" t="str">
        <f aca="false">HYPERLINK("https://mncourtfraud.com/file/27-CR-22-12695.pdf","27-CR-22-12695")</f>
        <v>27-CR-22-12695</v>
      </c>
      <c r="C325" s="1" t="n">
        <v>1</v>
      </c>
      <c r="D325" s="2" t="s">
        <v>12</v>
      </c>
      <c r="E325" s="8" t="n">
        <v>44895</v>
      </c>
      <c r="F325" s="2" t="s">
        <v>15</v>
      </c>
      <c r="G325" s="7" t="str">
        <f aca="false">HYPERLINK("https://mncourtfraud.com/file/MCRO_27-CR-22-12695_Order-Evaluation for Competency to Proceed (Rule 20.01)_2022-11-30_20251126184750.pdf","MCRO_27-CR-22-12695_Order-Evaluation for Competency to Proceed (Rule 20.01)_2022-11-30_20251126184750.pdf")</f>
        <v>MCRO_27-CR-22-12695_Order-Evaluation for Competency to Proceed (Rule 20.01)_2022-11-30_20251126184750.pdf</v>
      </c>
      <c r="H325" s="2" t="s">
        <v>543</v>
      </c>
      <c r="I325" s="2" t="s">
        <v>544</v>
      </c>
      <c r="J325" s="2" t="s">
        <v>519</v>
      </c>
      <c r="K325" s="2" t="s">
        <v>520</v>
      </c>
      <c r="L325" s="2" t="s">
        <v>469</v>
      </c>
      <c r="M325" s="8" t="n">
        <v>44895</v>
      </c>
      <c r="N325" s="1" t="s">
        <v>545</v>
      </c>
      <c r="O325" s="1" t="n">
        <v>0</v>
      </c>
      <c r="P325" s="1" t="s">
        <v>546</v>
      </c>
      <c r="Q325" s="1" t="n">
        <v>0</v>
      </c>
      <c r="R325" s="1" t="s">
        <v>1200</v>
      </c>
      <c r="S325" s="1" t="n">
        <v>20251126184750</v>
      </c>
      <c r="T325" s="2" t="s">
        <v>548</v>
      </c>
      <c r="U325" s="2" t="s">
        <v>549</v>
      </c>
      <c r="X325" s="2" t="n">
        <v>816996</v>
      </c>
      <c r="Y325" s="1" t="n">
        <v>1.7</v>
      </c>
      <c r="Z325" s="1" t="n">
        <v>2</v>
      </c>
      <c r="AA325" s="9" t="s">
        <v>475</v>
      </c>
    </row>
    <row r="326" customFormat="false" ht="18.7" hidden="false" customHeight="true" outlineLevel="0" collapsed="false">
      <c r="A326" s="1" t="n">
        <v>325</v>
      </c>
      <c r="B326" s="7" t="str">
        <f aca="false">HYPERLINK("https://mncourtfraud.com/file/27-CR-22-12695.pdf","27-CR-22-12695")</f>
        <v>27-CR-22-12695</v>
      </c>
      <c r="C326" s="1" t="n">
        <v>1</v>
      </c>
      <c r="D326" s="2" t="s">
        <v>12</v>
      </c>
      <c r="E326" s="8" t="n">
        <v>44999</v>
      </c>
      <c r="F326" s="2" t="s">
        <v>17</v>
      </c>
      <c r="G326" s="7" t="str">
        <f aca="false">HYPERLINK("https://mncourtfraud.com/file/MCRO_27-CR-22-12695_Returned Mail_2023-03-14_20251126184813.pdf","MCRO_27-CR-22-12695_Returned Mail_2023-03-14_20251126184813.pdf")</f>
        <v>MCRO_27-CR-22-12695_Returned Mail_2023-03-14_20251126184813.pdf</v>
      </c>
      <c r="J326" s="2" t="s">
        <v>498</v>
      </c>
      <c r="K326" s="2" t="s">
        <v>499</v>
      </c>
      <c r="L326" s="2" t="s">
        <v>469</v>
      </c>
      <c r="M326" s="8" t="n">
        <v>44999</v>
      </c>
      <c r="N326" s="1" t="s">
        <v>1201</v>
      </c>
      <c r="O326" s="1" t="n">
        <v>7</v>
      </c>
      <c r="P326" s="1" t="s">
        <v>1201</v>
      </c>
      <c r="Q326" s="1" t="n">
        <v>7</v>
      </c>
      <c r="R326" s="1" t="s">
        <v>1202</v>
      </c>
      <c r="S326" s="1" t="n">
        <v>20251126184813</v>
      </c>
      <c r="T326" s="2" t="s">
        <v>1203</v>
      </c>
      <c r="U326" s="2" t="s">
        <v>1203</v>
      </c>
      <c r="X326" s="2" t="n">
        <v>256240</v>
      </c>
      <c r="Y326" s="1" t="n">
        <v>1.7</v>
      </c>
      <c r="Z326" s="1" t="n">
        <v>1</v>
      </c>
      <c r="AA326" s="9" t="s">
        <v>475</v>
      </c>
    </row>
    <row r="327" customFormat="false" ht="18.7" hidden="false" customHeight="true" outlineLevel="0" collapsed="false">
      <c r="A327" s="1" t="n">
        <v>326</v>
      </c>
      <c r="B327" s="7" t="str">
        <f aca="false">HYPERLINK("https://mncourtfraud.com/file/27-CR-22-12695.pdf","27-CR-22-12695")</f>
        <v>27-CR-22-12695</v>
      </c>
      <c r="C327" s="1" t="n">
        <v>1</v>
      </c>
      <c r="D327" s="2" t="s">
        <v>12</v>
      </c>
      <c r="E327" s="8" t="n">
        <v>45048</v>
      </c>
      <c r="F327" s="2" t="s">
        <v>80</v>
      </c>
      <c r="G327" s="7" t="str">
        <f aca="false">HYPERLINK("https://mncourtfraud.com/file/MCRO_27-CR-22-12695_Finding of Incompetency and Order_2023-05-02_20251126184737.pdf","MCRO_27-CR-22-12695_Finding of Incompetency and Order_2023-05-02_20251126184737.pdf")</f>
        <v>MCRO_27-CR-22-12695_Finding of Incompetency and Order_2023-05-02_20251126184737.pdf</v>
      </c>
      <c r="H327" s="2" t="s">
        <v>644</v>
      </c>
      <c r="I327" s="2" t="s">
        <v>644</v>
      </c>
      <c r="J327" s="2" t="s">
        <v>519</v>
      </c>
      <c r="K327" s="2" t="s">
        <v>520</v>
      </c>
      <c r="L327" s="2" t="s">
        <v>469</v>
      </c>
      <c r="M327" s="8" t="n">
        <v>45048</v>
      </c>
      <c r="N327" s="1" t="s">
        <v>645</v>
      </c>
      <c r="O327" s="1" t="n">
        <v>0</v>
      </c>
      <c r="P327" s="1" t="s">
        <v>646</v>
      </c>
      <c r="Q327" s="1" t="n">
        <v>0</v>
      </c>
      <c r="R327" s="1" t="s">
        <v>1204</v>
      </c>
      <c r="S327" s="1" t="n">
        <v>20251126184737</v>
      </c>
      <c r="T327" s="2" t="s">
        <v>648</v>
      </c>
      <c r="U327" s="2" t="s">
        <v>649</v>
      </c>
      <c r="W327" s="2" t="s">
        <v>650</v>
      </c>
      <c r="X327" s="2" t="n">
        <v>976549</v>
      </c>
      <c r="Y327" s="1" t="n">
        <v>1.7</v>
      </c>
      <c r="Z327" s="1" t="n">
        <v>6</v>
      </c>
      <c r="AA327" s="9" t="s">
        <v>475</v>
      </c>
    </row>
    <row r="328" customFormat="false" ht="18.7" hidden="false" customHeight="true" outlineLevel="0" collapsed="false">
      <c r="A328" s="1" t="n">
        <v>327</v>
      </c>
      <c r="B328" s="7" t="str">
        <f aca="false">HYPERLINK("https://mncourtfraud.com/file/27-CR-22-13797.pdf","27-CR-22-13797")</f>
        <v>27-CR-22-13797</v>
      </c>
      <c r="C328" s="1" t="n">
        <v>1</v>
      </c>
      <c r="D328" s="2" t="s">
        <v>12</v>
      </c>
      <c r="E328" s="8" t="n">
        <v>44761</v>
      </c>
      <c r="F328" s="2" t="s">
        <v>15</v>
      </c>
      <c r="G328" s="7" t="str">
        <f aca="false">HYPERLINK("https://mncourtfraud.com/file/MCRO_27-CR-22-13797_Order-Evaluation for Competency to Proceed (Rule 20.01)_2022-07-19_20251126185033.pdf","MCRO_27-CR-22-13797_Order-Evaluation for Competency to Proceed (Rule 20.01)_2022-07-19_20251126185033.pdf")</f>
        <v>MCRO_27-CR-22-13797_Order-Evaluation for Competency to Proceed (Rule 20.01)_2022-07-19_20251126185033.pdf</v>
      </c>
      <c r="I328" s="2" t="s">
        <v>1181</v>
      </c>
      <c r="J328" s="2" t="s">
        <v>1181</v>
      </c>
      <c r="K328" s="2" t="s">
        <v>1182</v>
      </c>
      <c r="L328" s="2" t="s">
        <v>469</v>
      </c>
      <c r="M328" s="8" t="n">
        <v>44761</v>
      </c>
      <c r="N328" s="1" t="s">
        <v>1183</v>
      </c>
      <c r="O328" s="1" t="n">
        <v>0</v>
      </c>
      <c r="P328" s="1" t="s">
        <v>1184</v>
      </c>
      <c r="Q328" s="1" t="n">
        <v>0</v>
      </c>
      <c r="R328" s="1" t="s">
        <v>1205</v>
      </c>
      <c r="S328" s="1" t="n">
        <v>20251126185033</v>
      </c>
      <c r="T328" s="2" t="s">
        <v>1186</v>
      </c>
      <c r="U328" s="2" t="s">
        <v>1187</v>
      </c>
      <c r="X328" s="2" t="n">
        <v>220512</v>
      </c>
      <c r="Y328" s="1" t="n">
        <v>1.6</v>
      </c>
      <c r="Z328" s="1" t="n">
        <v>2</v>
      </c>
    </row>
    <row r="329" customFormat="false" ht="18.7" hidden="false" customHeight="true" outlineLevel="0" collapsed="false">
      <c r="A329" s="1" t="n">
        <v>328</v>
      </c>
      <c r="B329" s="7" t="str">
        <f aca="false">HYPERLINK("https://mncourtfraud.com/file/27-CR-22-13797.pdf","27-CR-22-13797")</f>
        <v>27-CR-22-13797</v>
      </c>
      <c r="C329" s="1" t="n">
        <v>1</v>
      </c>
      <c r="D329" s="2" t="s">
        <v>12</v>
      </c>
      <c r="E329" s="8" t="n">
        <v>44895</v>
      </c>
      <c r="F329" s="2" t="s">
        <v>15</v>
      </c>
      <c r="G329" s="7" t="str">
        <f aca="false">HYPERLINK("https://mncourtfraud.com/file/MCRO_27-CR-22-13797_Order-Evaluation for Competency to Proceed (Rule 20.01)_2022-11-30_20251126185022.pdf","MCRO_27-CR-22-13797_Order-Evaluation for Competency to Proceed (Rule 20.01)_2022-11-30_20251126185022.pdf")</f>
        <v>MCRO_27-CR-22-13797_Order-Evaluation for Competency to Proceed (Rule 20.01)_2022-11-30_20251126185022.pdf</v>
      </c>
      <c r="H329" s="2" t="s">
        <v>543</v>
      </c>
      <c r="I329" s="2" t="s">
        <v>544</v>
      </c>
      <c r="J329" s="2" t="s">
        <v>519</v>
      </c>
      <c r="K329" s="2" t="s">
        <v>520</v>
      </c>
      <c r="L329" s="2" t="s">
        <v>469</v>
      </c>
      <c r="M329" s="8" t="n">
        <v>44895</v>
      </c>
      <c r="N329" s="1" t="s">
        <v>545</v>
      </c>
      <c r="O329" s="1" t="n">
        <v>0</v>
      </c>
      <c r="P329" s="1" t="s">
        <v>546</v>
      </c>
      <c r="Q329" s="1" t="n">
        <v>0</v>
      </c>
      <c r="R329" s="1" t="s">
        <v>1206</v>
      </c>
      <c r="S329" s="1" t="n">
        <v>20251126185022</v>
      </c>
      <c r="T329" s="2" t="s">
        <v>548</v>
      </c>
      <c r="U329" s="2" t="s">
        <v>549</v>
      </c>
      <c r="X329" s="2" t="n">
        <v>816996</v>
      </c>
      <c r="Y329" s="1" t="n">
        <v>1.7</v>
      </c>
      <c r="Z329" s="1" t="n">
        <v>2</v>
      </c>
      <c r="AA329" s="9" t="s">
        <v>475</v>
      </c>
    </row>
    <row r="330" customFormat="false" ht="18.7" hidden="false" customHeight="true" outlineLevel="0" collapsed="false">
      <c r="A330" s="1" t="n">
        <v>329</v>
      </c>
      <c r="B330" s="7" t="str">
        <f aca="false">HYPERLINK("https://mncourtfraud.com/file/27-CR-22-13797.pdf","27-CR-22-13797")</f>
        <v>27-CR-22-13797</v>
      </c>
      <c r="C330" s="1" t="n">
        <v>1</v>
      </c>
      <c r="D330" s="2" t="s">
        <v>12</v>
      </c>
      <c r="E330" s="8" t="n">
        <v>45048</v>
      </c>
      <c r="F330" s="2" t="s">
        <v>80</v>
      </c>
      <c r="G330" s="7" t="str">
        <f aca="false">HYPERLINK("https://mncourtfraud.com/file/MCRO_27-CR-22-13797_Finding of Incompetency and Order_2023-05-02_20251126184840.pdf","MCRO_27-CR-22-13797_Finding of Incompetency and Order_2023-05-02_20251126184840.pdf")</f>
        <v>MCRO_27-CR-22-13797_Finding of Incompetency and Order_2023-05-02_20251126184840.pdf</v>
      </c>
      <c r="H330" s="2" t="s">
        <v>644</v>
      </c>
      <c r="I330" s="2" t="s">
        <v>644</v>
      </c>
      <c r="J330" s="2" t="s">
        <v>519</v>
      </c>
      <c r="K330" s="2" t="s">
        <v>520</v>
      </c>
      <c r="L330" s="2" t="s">
        <v>469</v>
      </c>
      <c r="M330" s="8" t="n">
        <v>45048</v>
      </c>
      <c r="N330" s="1" t="s">
        <v>645</v>
      </c>
      <c r="O330" s="1" t="n">
        <v>0</v>
      </c>
      <c r="P330" s="1" t="s">
        <v>646</v>
      </c>
      <c r="Q330" s="1" t="n">
        <v>0</v>
      </c>
      <c r="R330" s="1" t="s">
        <v>1207</v>
      </c>
      <c r="S330" s="1" t="n">
        <v>20251126184840</v>
      </c>
      <c r="T330" s="2" t="s">
        <v>648</v>
      </c>
      <c r="U330" s="2" t="s">
        <v>649</v>
      </c>
      <c r="W330" s="2" t="s">
        <v>650</v>
      </c>
      <c r="X330" s="2" t="n">
        <v>976548</v>
      </c>
      <c r="Y330" s="1" t="n">
        <v>1.7</v>
      </c>
      <c r="Z330" s="1" t="n">
        <v>6</v>
      </c>
      <c r="AA330" s="9" t="s">
        <v>475</v>
      </c>
    </row>
    <row r="331" customFormat="false" ht="18.7" hidden="false" customHeight="true" outlineLevel="0" collapsed="false">
      <c r="A331" s="1" t="n">
        <v>330</v>
      </c>
      <c r="B331" s="7" t="str">
        <f aca="false">HYPERLINK("https://mncourtfraud.com/file/27-CR-22-14239.pdf","27-CR-22-14239")</f>
        <v>27-CR-22-14239</v>
      </c>
      <c r="C331" s="1" t="n">
        <v>5</v>
      </c>
      <c r="D331" s="2" t="s">
        <v>267</v>
      </c>
      <c r="E331" s="8" t="n">
        <v>44837</v>
      </c>
      <c r="F331" s="2" t="s">
        <v>17</v>
      </c>
      <c r="G331" s="7" t="str">
        <f aca="false">HYPERLINK("https://mncourtfraud.com/file/MCRO_27-CR-22-14239_Returned Mail_2022-10-03_20251126165740.pdf","MCRO_27-CR-22-14239_Returned Mail_2022-10-03_20251126165740.pdf")</f>
        <v>MCRO_27-CR-22-14239_Returned Mail_2022-10-03_20251126165740.pdf</v>
      </c>
      <c r="I331" s="2" t="s">
        <v>1044</v>
      </c>
      <c r="J331" s="2" t="s">
        <v>1044</v>
      </c>
      <c r="K331" s="2" t="s">
        <v>1045</v>
      </c>
      <c r="L331" s="2" t="s">
        <v>469</v>
      </c>
      <c r="M331" s="8" t="n">
        <v>44837</v>
      </c>
      <c r="N331" s="1" t="s">
        <v>1046</v>
      </c>
      <c r="O331" s="1" t="n">
        <v>3</v>
      </c>
      <c r="P331" s="1" t="s">
        <v>1047</v>
      </c>
      <c r="Q331" s="1" t="n">
        <v>3</v>
      </c>
      <c r="R331" s="1" t="s">
        <v>1208</v>
      </c>
      <c r="S331" s="1" t="n">
        <v>20251126165740</v>
      </c>
      <c r="T331" s="2" t="s">
        <v>1049</v>
      </c>
      <c r="U331" s="2" t="s">
        <v>1050</v>
      </c>
      <c r="X331" s="2" t="n">
        <v>381219</v>
      </c>
      <c r="Y331" s="1" t="n">
        <v>1.6</v>
      </c>
      <c r="Z331" s="1" t="n">
        <v>1</v>
      </c>
    </row>
    <row r="332" customFormat="false" ht="18.7" hidden="false" customHeight="true" outlineLevel="0" collapsed="false">
      <c r="A332" s="1" t="n">
        <v>331</v>
      </c>
      <c r="B332" s="7" t="str">
        <f aca="false">HYPERLINK("https://mncourtfraud.com/file/27-CR-22-14239.pdf","27-CR-22-14239")</f>
        <v>27-CR-22-14239</v>
      </c>
      <c r="C332" s="1" t="n">
        <v>5</v>
      </c>
      <c r="D332" s="2" t="s">
        <v>267</v>
      </c>
      <c r="E332" s="8" t="n">
        <v>44873</v>
      </c>
      <c r="F332" s="2" t="s">
        <v>15</v>
      </c>
      <c r="G332" s="7" t="str">
        <f aca="false">HYPERLINK("https://mncourtfraud.com/file/MCRO_27-CR-22-14239_Order-Evaluation for Competency to Proceed (Rule 20.01)_2022-11-08_20251126165804.pdf","MCRO_27-CR-22-14239_Order-Evaluation for Competency to Proceed (Rule 20.01)_2022-11-08_20251126165804.pdf")</f>
        <v>MCRO_27-CR-22-14239_Order-Evaluation for Competency to Proceed (Rule 20.01)_2022-11-08_20251126165804.pdf</v>
      </c>
      <c r="I332" s="2" t="s">
        <v>1051</v>
      </c>
      <c r="J332" s="2" t="s">
        <v>1051</v>
      </c>
      <c r="K332" s="2" t="s">
        <v>1052</v>
      </c>
      <c r="L332" s="2" t="s">
        <v>469</v>
      </c>
      <c r="M332" s="8" t="n">
        <v>44873</v>
      </c>
      <c r="N332" s="1" t="s">
        <v>1053</v>
      </c>
      <c r="O332" s="1" t="n">
        <v>2</v>
      </c>
      <c r="P332" s="1" t="s">
        <v>1054</v>
      </c>
      <c r="Q332" s="1" t="n">
        <v>2</v>
      </c>
      <c r="R332" s="1" t="s">
        <v>1209</v>
      </c>
      <c r="S332" s="1" t="n">
        <v>20251126165804</v>
      </c>
      <c r="T332" s="2" t="s">
        <v>1056</v>
      </c>
      <c r="U332" s="2" t="s">
        <v>1057</v>
      </c>
      <c r="X332" s="2" t="n">
        <v>846096</v>
      </c>
      <c r="Y332" s="1" t="n">
        <v>1.6</v>
      </c>
      <c r="Z332" s="1" t="n">
        <v>3</v>
      </c>
    </row>
    <row r="333" customFormat="false" ht="18.7" hidden="false" customHeight="true" outlineLevel="0" collapsed="false">
      <c r="A333" s="1" t="n">
        <v>332</v>
      </c>
      <c r="B333" s="7" t="str">
        <f aca="false">HYPERLINK("https://mncourtfraud.com/file/27-CR-22-14239.pdf","27-CR-22-14239")</f>
        <v>27-CR-22-14239</v>
      </c>
      <c r="C333" s="1" t="n">
        <v>5</v>
      </c>
      <c r="D333" s="2" t="s">
        <v>267</v>
      </c>
      <c r="E333" s="8" t="n">
        <v>45023</v>
      </c>
      <c r="F333" s="2" t="s">
        <v>15</v>
      </c>
      <c r="G333" s="7" t="str">
        <f aca="false">HYPERLINK("https://mncourtfraud.com/file/MCRO_27-CR-22-14239_Order-Evaluation for Competency to Proceed (Rule 20.01)_2023-04-07_20251126165814.pdf","MCRO_27-CR-22-14239_Order-Evaluation for Competency to Proceed (Rule 20.01)_2023-04-07_20251126165814.pdf")</f>
        <v>MCRO_27-CR-22-14239_Order-Evaluation for Competency to Proceed (Rule 20.01)_2023-04-07_20251126165814.pdf</v>
      </c>
      <c r="J333" s="2" t="s">
        <v>498</v>
      </c>
      <c r="K333" s="2" t="s">
        <v>499</v>
      </c>
      <c r="L333" s="2" t="s">
        <v>469</v>
      </c>
      <c r="M333" s="8" t="n">
        <v>45023</v>
      </c>
      <c r="N333" s="1" t="s">
        <v>1210</v>
      </c>
      <c r="O333" s="1" t="n">
        <v>0</v>
      </c>
      <c r="P333" s="1" t="s">
        <v>1210</v>
      </c>
      <c r="Q333" s="1" t="n">
        <v>0</v>
      </c>
      <c r="R333" s="1" t="s">
        <v>1211</v>
      </c>
      <c r="S333" s="1" t="n">
        <v>20251126165814</v>
      </c>
      <c r="T333" s="2" t="s">
        <v>1212</v>
      </c>
      <c r="U333" s="2" t="s">
        <v>1212</v>
      </c>
      <c r="X333" s="2" t="n">
        <v>1127173</v>
      </c>
      <c r="Y333" s="1" t="n">
        <v>1.7</v>
      </c>
      <c r="Z333" s="1" t="n">
        <v>2</v>
      </c>
      <c r="AA333" s="9" t="s">
        <v>475</v>
      </c>
    </row>
    <row r="334" customFormat="false" ht="18.7" hidden="false" customHeight="true" outlineLevel="0" collapsed="false">
      <c r="A334" s="1" t="n">
        <v>333</v>
      </c>
      <c r="B334" s="7" t="str">
        <f aca="false">HYPERLINK("https://mncourtfraud.com/file/27-CR-22-14239.pdf","27-CR-22-14239")</f>
        <v>27-CR-22-14239</v>
      </c>
      <c r="C334" s="1" t="n">
        <v>5</v>
      </c>
      <c r="D334" s="2" t="s">
        <v>267</v>
      </c>
      <c r="E334" s="8" t="n">
        <v>45194</v>
      </c>
      <c r="F334" s="2" t="s">
        <v>15</v>
      </c>
      <c r="G334" s="7" t="str">
        <f aca="false">HYPERLINK("https://mncourtfraud.com/file/MCRO_27-CR-22-14239_Order-Evaluation for Competency to Proceed (Rule 20.01)_2023-09-25_20251126165753.pdf","MCRO_27-CR-22-14239_Order-Evaluation for Competency to Proceed (Rule 20.01)_2023-09-25_20251126165753.pdf")</f>
        <v>MCRO_27-CR-22-14239_Order-Evaluation for Competency to Proceed (Rule 20.01)_2023-09-25_20251126165753.pdf</v>
      </c>
      <c r="I334" s="2" t="s">
        <v>481</v>
      </c>
      <c r="J334" s="2" t="s">
        <v>481</v>
      </c>
      <c r="K334" s="2" t="s">
        <v>482</v>
      </c>
      <c r="L334" s="2" t="s">
        <v>469</v>
      </c>
      <c r="M334" s="8" t="n">
        <v>45194</v>
      </c>
      <c r="N334" s="1" t="s">
        <v>1061</v>
      </c>
      <c r="O334" s="1" t="n">
        <v>0</v>
      </c>
      <c r="P334" s="1" t="s">
        <v>1061</v>
      </c>
      <c r="Q334" s="1" t="n">
        <v>0</v>
      </c>
      <c r="R334" s="1" t="s">
        <v>1213</v>
      </c>
      <c r="S334" s="1" t="n">
        <v>20251126165753</v>
      </c>
      <c r="T334" s="2" t="s">
        <v>1063</v>
      </c>
      <c r="U334" s="2" t="s">
        <v>1064</v>
      </c>
      <c r="X334" s="2" t="n">
        <v>166642</v>
      </c>
      <c r="Y334" s="1" t="n">
        <v>1.5</v>
      </c>
      <c r="Z334" s="1" t="n">
        <v>2</v>
      </c>
    </row>
    <row r="335" customFormat="false" ht="18.7" hidden="false" customHeight="true" outlineLevel="0" collapsed="false">
      <c r="A335" s="1" t="n">
        <v>334</v>
      </c>
      <c r="B335" s="7" t="str">
        <f aca="false">HYPERLINK("https://mncourtfraud.com/file/27-CR-22-1664.pdf","27-CR-22-1664")</f>
        <v>27-CR-22-1664</v>
      </c>
      <c r="C335" s="1" t="n">
        <v>5</v>
      </c>
      <c r="D335" s="2" t="s">
        <v>267</v>
      </c>
      <c r="E335" s="8" t="n">
        <v>44733</v>
      </c>
      <c r="F335" s="2" t="s">
        <v>17</v>
      </c>
      <c r="G335" s="7" t="str">
        <f aca="false">HYPERLINK("https://mncourtfraud.com/file/MCRO_27-CR-22-1664_Returned Mail_2022-06-21_20251126170019.pdf","MCRO_27-CR-22-1664_Returned Mail_2022-06-21_20251126170019.pdf")</f>
        <v>MCRO_27-CR-22-1664_Returned Mail_2022-06-21_20251126170019.pdf</v>
      </c>
      <c r="J335" s="2" t="s">
        <v>498</v>
      </c>
      <c r="K335" s="2" t="s">
        <v>499</v>
      </c>
      <c r="L335" s="2" t="s">
        <v>469</v>
      </c>
      <c r="M335" s="8" t="n">
        <v>44733</v>
      </c>
      <c r="N335" s="1" t="s">
        <v>1214</v>
      </c>
      <c r="O335" s="1" t="n">
        <v>0</v>
      </c>
      <c r="P335" s="1" t="s">
        <v>1214</v>
      </c>
      <c r="Q335" s="1" t="n">
        <v>0</v>
      </c>
      <c r="R335" s="1" t="s">
        <v>1215</v>
      </c>
      <c r="S335" s="1" t="n">
        <v>20251126170019</v>
      </c>
      <c r="T335" s="2" t="s">
        <v>1216</v>
      </c>
      <c r="U335" s="2" t="s">
        <v>1216</v>
      </c>
      <c r="X335" s="2" t="n">
        <v>326825</v>
      </c>
      <c r="Y335" s="1" t="n">
        <v>1.7</v>
      </c>
      <c r="Z335" s="1" t="n">
        <v>1</v>
      </c>
      <c r="AA335" s="9" t="s">
        <v>475</v>
      </c>
    </row>
    <row r="336" customFormat="false" ht="18.7" hidden="false" customHeight="true" outlineLevel="0" collapsed="false">
      <c r="A336" s="1" t="n">
        <v>335</v>
      </c>
      <c r="B336" s="7" t="str">
        <f aca="false">HYPERLINK("https://mncourtfraud.com/file/27-CR-22-1664.pdf","27-CR-22-1664")</f>
        <v>27-CR-22-1664</v>
      </c>
      <c r="C336" s="1" t="n">
        <v>5</v>
      </c>
      <c r="D336" s="2" t="s">
        <v>267</v>
      </c>
      <c r="E336" s="8" t="n">
        <v>44733</v>
      </c>
      <c r="F336" s="2" t="s">
        <v>17</v>
      </c>
      <c r="G336" s="7" t="str">
        <f aca="false">HYPERLINK("https://mncourtfraud.com/file/MCRO_27-CR-22-1664_Returned Mail_2022-06-21_20251126170027.pdf","MCRO_27-CR-22-1664_Returned Mail_2022-06-21_20251126170027.pdf")</f>
        <v>MCRO_27-CR-22-1664_Returned Mail_2022-06-21_20251126170027.pdf</v>
      </c>
      <c r="I336" s="2" t="s">
        <v>1037</v>
      </c>
      <c r="J336" s="2" t="s">
        <v>1037</v>
      </c>
      <c r="K336" s="2" t="s">
        <v>1038</v>
      </c>
      <c r="L336" s="2" t="s">
        <v>469</v>
      </c>
      <c r="M336" s="8" t="n">
        <v>44733</v>
      </c>
      <c r="N336" s="1" t="s">
        <v>1039</v>
      </c>
      <c r="O336" s="1" t="n">
        <v>2</v>
      </c>
      <c r="P336" s="1" t="s">
        <v>1040</v>
      </c>
      <c r="Q336" s="1" t="n">
        <v>2</v>
      </c>
      <c r="R336" s="1" t="s">
        <v>1217</v>
      </c>
      <c r="S336" s="1" t="n">
        <v>20251126170027</v>
      </c>
      <c r="T336" s="2" t="s">
        <v>1042</v>
      </c>
      <c r="U336" s="2" t="s">
        <v>1043</v>
      </c>
      <c r="X336" s="2" t="n">
        <v>254464</v>
      </c>
      <c r="Y336" s="1" t="n">
        <v>1.6</v>
      </c>
      <c r="Z336" s="1" t="n">
        <v>1</v>
      </c>
    </row>
    <row r="337" customFormat="false" ht="18.7" hidden="false" customHeight="true" outlineLevel="0" collapsed="false">
      <c r="A337" s="1" t="n">
        <v>336</v>
      </c>
      <c r="B337" s="7" t="str">
        <f aca="false">HYPERLINK("https://mncourtfraud.com/file/27-CR-22-1664.pdf","27-CR-22-1664")</f>
        <v>27-CR-22-1664</v>
      </c>
      <c r="C337" s="1" t="n">
        <v>5</v>
      </c>
      <c r="D337" s="2" t="s">
        <v>267</v>
      </c>
      <c r="E337" s="8" t="n">
        <v>44733</v>
      </c>
      <c r="F337" s="2" t="s">
        <v>17</v>
      </c>
      <c r="G337" s="7" t="str">
        <f aca="false">HYPERLINK("https://mncourtfraud.com/file/MCRO_27-CR-22-1664_Returned Mail_2022-06-21_20251126170031.pdf","MCRO_27-CR-22-1664_Returned Mail_2022-06-21_20251126170031.pdf")</f>
        <v>MCRO_27-CR-22-1664_Returned Mail_2022-06-21_20251126170031.pdf</v>
      </c>
      <c r="J337" s="2" t="s">
        <v>498</v>
      </c>
      <c r="K337" s="2" t="s">
        <v>499</v>
      </c>
      <c r="L337" s="2" t="s">
        <v>469</v>
      </c>
      <c r="M337" s="8" t="n">
        <v>44733</v>
      </c>
      <c r="N337" s="1" t="s">
        <v>1218</v>
      </c>
      <c r="O337" s="1" t="n">
        <v>2</v>
      </c>
      <c r="P337" s="1" t="s">
        <v>1218</v>
      </c>
      <c r="Q337" s="1" t="n">
        <v>2</v>
      </c>
      <c r="R337" s="1" t="s">
        <v>1219</v>
      </c>
      <c r="S337" s="1" t="n">
        <v>20251126170031</v>
      </c>
      <c r="T337" s="2" t="s">
        <v>1220</v>
      </c>
      <c r="U337" s="2" t="s">
        <v>1220</v>
      </c>
      <c r="X337" s="2" t="n">
        <v>299196</v>
      </c>
      <c r="Y337" s="1" t="n">
        <v>1.7</v>
      </c>
      <c r="Z337" s="1" t="n">
        <v>1</v>
      </c>
      <c r="AA337" s="9" t="s">
        <v>475</v>
      </c>
    </row>
    <row r="338" customFormat="false" ht="18.7" hidden="false" customHeight="true" outlineLevel="0" collapsed="false">
      <c r="A338" s="1" t="n">
        <v>337</v>
      </c>
      <c r="B338" s="7" t="str">
        <f aca="false">HYPERLINK("https://mncourtfraud.com/file/27-CR-22-1664.pdf","27-CR-22-1664")</f>
        <v>27-CR-22-1664</v>
      </c>
      <c r="C338" s="1" t="n">
        <v>5</v>
      </c>
      <c r="D338" s="2" t="s">
        <v>267</v>
      </c>
      <c r="E338" s="8" t="n">
        <v>44837</v>
      </c>
      <c r="F338" s="2" t="s">
        <v>17</v>
      </c>
      <c r="G338" s="7" t="str">
        <f aca="false">HYPERLINK("https://mncourtfraud.com/file/MCRO_27-CR-22-1664_Returned Mail_2022-10-03_20251126165936.pdf","MCRO_27-CR-22-1664_Returned Mail_2022-10-03_20251126165936.pdf")</f>
        <v>MCRO_27-CR-22-1664_Returned Mail_2022-10-03_20251126165936.pdf</v>
      </c>
      <c r="I338" s="2" t="s">
        <v>1044</v>
      </c>
      <c r="J338" s="2" t="s">
        <v>1044</v>
      </c>
      <c r="K338" s="2" t="s">
        <v>1045</v>
      </c>
      <c r="L338" s="2" t="s">
        <v>469</v>
      </c>
      <c r="M338" s="8" t="n">
        <v>44837</v>
      </c>
      <c r="N338" s="1" t="s">
        <v>1046</v>
      </c>
      <c r="O338" s="1" t="n">
        <v>3</v>
      </c>
      <c r="P338" s="1" t="s">
        <v>1047</v>
      </c>
      <c r="Q338" s="1" t="n">
        <v>3</v>
      </c>
      <c r="R338" s="1" t="s">
        <v>1221</v>
      </c>
      <c r="S338" s="1" t="n">
        <v>20251126165936</v>
      </c>
      <c r="T338" s="2" t="s">
        <v>1049</v>
      </c>
      <c r="U338" s="2" t="s">
        <v>1050</v>
      </c>
      <c r="X338" s="2" t="n">
        <v>381219</v>
      </c>
      <c r="Y338" s="1" t="n">
        <v>1.6</v>
      </c>
      <c r="Z338" s="1" t="n">
        <v>1</v>
      </c>
    </row>
    <row r="339" customFormat="false" ht="18.7" hidden="false" customHeight="true" outlineLevel="0" collapsed="false">
      <c r="A339" s="1" t="n">
        <v>338</v>
      </c>
      <c r="B339" s="7" t="str">
        <f aca="false">HYPERLINK("https://mncourtfraud.com/file/27-CR-22-1664.pdf","27-CR-22-1664")</f>
        <v>27-CR-22-1664</v>
      </c>
      <c r="C339" s="1" t="n">
        <v>5</v>
      </c>
      <c r="D339" s="2" t="s">
        <v>267</v>
      </c>
      <c r="E339" s="8" t="n">
        <v>44873</v>
      </c>
      <c r="F339" s="2" t="s">
        <v>15</v>
      </c>
      <c r="G339" s="7" t="str">
        <f aca="false">HYPERLINK("https://mncourtfraud.com/file/MCRO_27-CR-22-1664_Order-Evaluation for Competency to Proceed (Rule 20.01)_2022-11-08_20251126165858.pdf","MCRO_27-CR-22-1664_Order-Evaluation for Competency to Proceed (Rule 20.01)_2022-11-08_20251126165858.pdf")</f>
        <v>MCRO_27-CR-22-1664_Order-Evaluation for Competency to Proceed (Rule 20.01)_2022-11-08_20251126165858.pdf</v>
      </c>
      <c r="I339" s="2" t="s">
        <v>1051</v>
      </c>
      <c r="J339" s="2" t="s">
        <v>1051</v>
      </c>
      <c r="K339" s="2" t="s">
        <v>1052</v>
      </c>
      <c r="L339" s="2" t="s">
        <v>469</v>
      </c>
      <c r="M339" s="8" t="n">
        <v>44873</v>
      </c>
      <c r="N339" s="1" t="s">
        <v>1053</v>
      </c>
      <c r="O339" s="1" t="n">
        <v>2</v>
      </c>
      <c r="P339" s="1" t="s">
        <v>1054</v>
      </c>
      <c r="Q339" s="1" t="n">
        <v>2</v>
      </c>
      <c r="R339" s="1" t="s">
        <v>1222</v>
      </c>
      <c r="S339" s="1" t="n">
        <v>20251126165858</v>
      </c>
      <c r="T339" s="2" t="s">
        <v>1056</v>
      </c>
      <c r="U339" s="2" t="s">
        <v>1057</v>
      </c>
      <c r="X339" s="2" t="n">
        <v>846092</v>
      </c>
      <c r="Y339" s="1" t="n">
        <v>1.6</v>
      </c>
      <c r="Z339" s="1" t="n">
        <v>3</v>
      </c>
    </row>
    <row r="340" customFormat="false" ht="18.7" hidden="false" customHeight="true" outlineLevel="0" collapsed="false">
      <c r="A340" s="1" t="n">
        <v>339</v>
      </c>
      <c r="B340" s="7" t="str">
        <f aca="false">HYPERLINK("https://mncourtfraud.com/file/27-CR-22-1664.pdf","27-CR-22-1664")</f>
        <v>27-CR-22-1664</v>
      </c>
      <c r="C340" s="1" t="n">
        <v>5</v>
      </c>
      <c r="D340" s="2" t="s">
        <v>267</v>
      </c>
      <c r="E340" s="8" t="n">
        <v>45023</v>
      </c>
      <c r="F340" s="2" t="s">
        <v>15</v>
      </c>
      <c r="G340" s="7" t="str">
        <f aca="false">HYPERLINK("https://mncourtfraud.com/file/MCRO_27-CR-22-1664_Order-Evaluation for Competency to Proceed (Rule 20.01)_2023-04-07_20251126165909.pdf","MCRO_27-CR-22-1664_Order-Evaluation for Competency to Proceed (Rule 20.01)_2023-04-07_20251126165909.pdf")</f>
        <v>MCRO_27-CR-22-1664_Order-Evaluation for Competency to Proceed (Rule 20.01)_2023-04-07_20251126165909.pdf</v>
      </c>
      <c r="J340" s="2" t="s">
        <v>498</v>
      </c>
      <c r="K340" s="2" t="s">
        <v>499</v>
      </c>
      <c r="L340" s="2" t="s">
        <v>469</v>
      </c>
      <c r="M340" s="8" t="n">
        <v>45023</v>
      </c>
      <c r="N340" s="1" t="s">
        <v>1223</v>
      </c>
      <c r="O340" s="1" t="n">
        <v>0</v>
      </c>
      <c r="P340" s="1" t="s">
        <v>1223</v>
      </c>
      <c r="Q340" s="1" t="n">
        <v>0</v>
      </c>
      <c r="R340" s="1" t="s">
        <v>1224</v>
      </c>
      <c r="S340" s="1" t="n">
        <v>20251126165909</v>
      </c>
      <c r="T340" s="2" t="s">
        <v>1225</v>
      </c>
      <c r="U340" s="2" t="s">
        <v>1225</v>
      </c>
      <c r="X340" s="2" t="n">
        <v>1131734</v>
      </c>
      <c r="Y340" s="1" t="n">
        <v>1.7</v>
      </c>
      <c r="Z340" s="1" t="n">
        <v>2</v>
      </c>
      <c r="AA340" s="9" t="s">
        <v>475</v>
      </c>
    </row>
    <row r="341" customFormat="false" ht="18.7" hidden="false" customHeight="true" outlineLevel="0" collapsed="false">
      <c r="A341" s="1" t="n">
        <v>340</v>
      </c>
      <c r="B341" s="7" t="str">
        <f aca="false">HYPERLINK("https://mncourtfraud.com/file/27-CR-22-1664.pdf","27-CR-22-1664")</f>
        <v>27-CR-22-1664</v>
      </c>
      <c r="C341" s="1" t="n">
        <v>5</v>
      </c>
      <c r="D341" s="2" t="s">
        <v>267</v>
      </c>
      <c r="E341" s="8" t="n">
        <v>45194</v>
      </c>
      <c r="F341" s="2" t="s">
        <v>15</v>
      </c>
      <c r="G341" s="7" t="str">
        <f aca="false">HYPERLINK("https://mncourtfraud.com/file/MCRO_27-CR-22-1664_Order-Evaluation for Competency to Proceed (Rule 20.01)_2023-09-25_20251126165920.pdf","MCRO_27-CR-22-1664_Order-Evaluation for Competency to Proceed (Rule 20.01)_2023-09-25_20251126165920.pdf")</f>
        <v>MCRO_27-CR-22-1664_Order-Evaluation for Competency to Proceed (Rule 20.01)_2023-09-25_20251126165920.pdf</v>
      </c>
      <c r="I341" s="2" t="s">
        <v>481</v>
      </c>
      <c r="J341" s="2" t="s">
        <v>481</v>
      </c>
      <c r="K341" s="2" t="s">
        <v>482</v>
      </c>
      <c r="L341" s="2" t="s">
        <v>469</v>
      </c>
      <c r="M341" s="8" t="n">
        <v>45194</v>
      </c>
      <c r="N341" s="1" t="s">
        <v>1061</v>
      </c>
      <c r="O341" s="1" t="n">
        <v>0</v>
      </c>
      <c r="P341" s="1" t="s">
        <v>1061</v>
      </c>
      <c r="Q341" s="1" t="n">
        <v>0</v>
      </c>
      <c r="R341" s="1" t="s">
        <v>1226</v>
      </c>
      <c r="S341" s="1" t="n">
        <v>20251126165920</v>
      </c>
      <c r="T341" s="2" t="s">
        <v>1063</v>
      </c>
      <c r="U341" s="2" t="s">
        <v>1064</v>
      </c>
      <c r="X341" s="2" t="n">
        <v>166641</v>
      </c>
      <c r="Y341" s="1" t="n">
        <v>1.5</v>
      </c>
      <c r="Z341" s="1" t="n">
        <v>2</v>
      </c>
    </row>
    <row r="342" customFormat="false" ht="18.7" hidden="false" customHeight="true" outlineLevel="0" collapsed="false">
      <c r="A342" s="1" t="n">
        <v>341</v>
      </c>
      <c r="B342" s="7" t="str">
        <f aca="false">HYPERLINK("https://mncourtfraud.com/file/27-CR-22-18472.pdf","27-CR-22-18472")</f>
        <v>27-CR-22-18472</v>
      </c>
      <c r="C342" s="1" t="n">
        <v>5</v>
      </c>
      <c r="D342" s="2" t="s">
        <v>267</v>
      </c>
      <c r="E342" s="8" t="n">
        <v>44873</v>
      </c>
      <c r="F342" s="2" t="s">
        <v>15</v>
      </c>
      <c r="G342" s="7" t="str">
        <f aca="false">HYPERLINK("https://mncourtfraud.com/file/MCRO_27-CR-22-18472_Order-Evaluation for Competency to Proceed (Rule 20.01)_2022-11-08_20251126170119.pdf","MCRO_27-CR-22-18472_Order-Evaluation for Competency to Proceed (Rule 20.01)_2022-11-08_20251126170119.pdf")</f>
        <v>MCRO_27-CR-22-18472_Order-Evaluation for Competency to Proceed (Rule 20.01)_2022-11-08_20251126170119.pdf</v>
      </c>
      <c r="I342" s="2" t="s">
        <v>1051</v>
      </c>
      <c r="J342" s="2" t="s">
        <v>1051</v>
      </c>
      <c r="K342" s="2" t="s">
        <v>1052</v>
      </c>
      <c r="L342" s="2" t="s">
        <v>469</v>
      </c>
      <c r="M342" s="8" t="n">
        <v>44873</v>
      </c>
      <c r="N342" s="1" t="s">
        <v>1053</v>
      </c>
      <c r="O342" s="1" t="n">
        <v>2</v>
      </c>
      <c r="P342" s="1" t="s">
        <v>1054</v>
      </c>
      <c r="Q342" s="1" t="n">
        <v>2</v>
      </c>
      <c r="R342" s="1" t="s">
        <v>1227</v>
      </c>
      <c r="S342" s="1" t="n">
        <v>20251126170119</v>
      </c>
      <c r="T342" s="2" t="s">
        <v>1056</v>
      </c>
      <c r="U342" s="2" t="s">
        <v>1057</v>
      </c>
      <c r="X342" s="2" t="n">
        <v>846098</v>
      </c>
      <c r="Y342" s="1" t="n">
        <v>1.6</v>
      </c>
      <c r="Z342" s="1" t="n">
        <v>3</v>
      </c>
    </row>
    <row r="343" customFormat="false" ht="18.7" hidden="false" customHeight="true" outlineLevel="0" collapsed="false">
      <c r="A343" s="1" t="n">
        <v>342</v>
      </c>
      <c r="B343" s="7" t="str">
        <f aca="false">HYPERLINK("https://mncourtfraud.com/file/27-CR-22-18472.pdf","27-CR-22-18472")</f>
        <v>27-CR-22-18472</v>
      </c>
      <c r="C343" s="1" t="n">
        <v>5</v>
      </c>
      <c r="D343" s="2" t="s">
        <v>267</v>
      </c>
      <c r="E343" s="8" t="n">
        <v>45023</v>
      </c>
      <c r="F343" s="2" t="s">
        <v>15</v>
      </c>
      <c r="G343" s="7" t="str">
        <f aca="false">HYPERLINK("https://mncourtfraud.com/file/MCRO_27-CR-22-18472_Order-Evaluation for Competency to Proceed (Rule 20.01)_2023-04-07_20251126170128.pdf","MCRO_27-CR-22-18472_Order-Evaluation for Competency to Proceed (Rule 20.01)_2023-04-07_20251126170128.pdf")</f>
        <v>MCRO_27-CR-22-18472_Order-Evaluation for Competency to Proceed (Rule 20.01)_2023-04-07_20251126170128.pdf</v>
      </c>
      <c r="J343" s="2" t="s">
        <v>498</v>
      </c>
      <c r="K343" s="2" t="s">
        <v>499</v>
      </c>
      <c r="L343" s="2" t="s">
        <v>469</v>
      </c>
      <c r="M343" s="8" t="n">
        <v>45023</v>
      </c>
      <c r="N343" s="1" t="s">
        <v>1228</v>
      </c>
      <c r="O343" s="1" t="n">
        <v>0</v>
      </c>
      <c r="P343" s="1" t="s">
        <v>1228</v>
      </c>
      <c r="Q343" s="1" t="n">
        <v>0</v>
      </c>
      <c r="R343" s="1" t="s">
        <v>1229</v>
      </c>
      <c r="S343" s="1" t="n">
        <v>20251126170128</v>
      </c>
      <c r="T343" s="2" t="s">
        <v>1230</v>
      </c>
      <c r="U343" s="2" t="s">
        <v>1230</v>
      </c>
      <c r="X343" s="2" t="n">
        <v>1117494</v>
      </c>
      <c r="Y343" s="1" t="n">
        <v>1.7</v>
      </c>
      <c r="Z343" s="1" t="n">
        <v>2</v>
      </c>
      <c r="AA343" s="9" t="s">
        <v>475</v>
      </c>
    </row>
    <row r="344" customFormat="false" ht="18.7" hidden="false" customHeight="true" outlineLevel="0" collapsed="false">
      <c r="A344" s="1" t="n">
        <v>343</v>
      </c>
      <c r="B344" s="7" t="str">
        <f aca="false">HYPERLINK("https://mncourtfraud.com/file/27-CR-22-18472.pdf","27-CR-22-18472")</f>
        <v>27-CR-22-18472</v>
      </c>
      <c r="C344" s="1" t="n">
        <v>5</v>
      </c>
      <c r="D344" s="2" t="s">
        <v>267</v>
      </c>
      <c r="E344" s="8" t="n">
        <v>45194</v>
      </c>
      <c r="F344" s="2" t="s">
        <v>15</v>
      </c>
      <c r="G344" s="7" t="str">
        <f aca="false">HYPERLINK("https://mncourtfraud.com/file/MCRO_27-CR-22-18472_Order-Evaluation for Competency to Proceed (Rule 20.01)_2023-09-25_20251126170110.pdf","MCRO_27-CR-22-18472_Order-Evaluation for Competency to Proceed (Rule 20.01)_2023-09-25_20251126170110.pdf")</f>
        <v>MCRO_27-CR-22-18472_Order-Evaluation for Competency to Proceed (Rule 20.01)_2023-09-25_20251126170110.pdf</v>
      </c>
      <c r="I344" s="2" t="s">
        <v>481</v>
      </c>
      <c r="J344" s="2" t="s">
        <v>481</v>
      </c>
      <c r="K344" s="2" t="s">
        <v>482</v>
      </c>
      <c r="L344" s="2" t="s">
        <v>469</v>
      </c>
      <c r="M344" s="8" t="n">
        <v>45194</v>
      </c>
      <c r="N344" s="1" t="s">
        <v>1061</v>
      </c>
      <c r="O344" s="1" t="n">
        <v>0</v>
      </c>
      <c r="P344" s="1" t="s">
        <v>1061</v>
      </c>
      <c r="Q344" s="1" t="n">
        <v>0</v>
      </c>
      <c r="R344" s="1" t="s">
        <v>1231</v>
      </c>
      <c r="S344" s="1" t="n">
        <v>20251126170110</v>
      </c>
      <c r="T344" s="2" t="s">
        <v>1063</v>
      </c>
      <c r="U344" s="2" t="s">
        <v>1064</v>
      </c>
      <c r="X344" s="2" t="n">
        <v>166644</v>
      </c>
      <c r="Y344" s="1" t="n">
        <v>1.5</v>
      </c>
      <c r="Z344" s="1" t="n">
        <v>2</v>
      </c>
    </row>
    <row r="345" customFormat="false" ht="18.7" hidden="false" customHeight="true" outlineLevel="0" collapsed="false">
      <c r="A345" s="1" t="n">
        <v>344</v>
      </c>
      <c r="B345" s="7" t="str">
        <f aca="false">HYPERLINK("https://mncourtfraud.com/file/27-CR-22-2444.pdf","27-CR-22-2444")</f>
        <v>27-CR-22-2444</v>
      </c>
      <c r="C345" s="1" t="n">
        <v>5</v>
      </c>
      <c r="D345" s="2" t="s">
        <v>267</v>
      </c>
      <c r="E345" s="8" t="n">
        <v>44733</v>
      </c>
      <c r="F345" s="2" t="s">
        <v>17</v>
      </c>
      <c r="G345" s="7" t="str">
        <f aca="false">HYPERLINK("https://mncourtfraud.com/file/MCRO_27-CR-22-2444_Returned Mail_2022-06-21_20251126170235.pdf","MCRO_27-CR-22-2444_Returned Mail_2022-06-21_20251126170235.pdf")</f>
        <v>MCRO_27-CR-22-2444_Returned Mail_2022-06-21_20251126170235.pdf</v>
      </c>
      <c r="I345" s="2" t="s">
        <v>1037</v>
      </c>
      <c r="J345" s="2" t="s">
        <v>1037</v>
      </c>
      <c r="K345" s="2" t="s">
        <v>1038</v>
      </c>
      <c r="L345" s="2" t="s">
        <v>469</v>
      </c>
      <c r="M345" s="8" t="n">
        <v>44733</v>
      </c>
      <c r="N345" s="1" t="s">
        <v>1039</v>
      </c>
      <c r="O345" s="1" t="n">
        <v>2</v>
      </c>
      <c r="P345" s="1" t="s">
        <v>1040</v>
      </c>
      <c r="Q345" s="1" t="n">
        <v>2</v>
      </c>
      <c r="R345" s="1" t="s">
        <v>1232</v>
      </c>
      <c r="S345" s="1" t="n">
        <v>20251126170235</v>
      </c>
      <c r="T345" s="2" t="s">
        <v>1042</v>
      </c>
      <c r="U345" s="2" t="s">
        <v>1043</v>
      </c>
      <c r="X345" s="2" t="n">
        <v>254465</v>
      </c>
      <c r="Y345" s="1" t="n">
        <v>1.6</v>
      </c>
      <c r="Z345" s="1" t="n">
        <v>1</v>
      </c>
    </row>
    <row r="346" customFormat="false" ht="18.7" hidden="false" customHeight="true" outlineLevel="0" collapsed="false">
      <c r="A346" s="1" t="n">
        <v>345</v>
      </c>
      <c r="B346" s="7" t="str">
        <f aca="false">HYPERLINK("https://mncourtfraud.com/file/27-CR-22-2444.pdf","27-CR-22-2444")</f>
        <v>27-CR-22-2444</v>
      </c>
      <c r="C346" s="1" t="n">
        <v>5</v>
      </c>
      <c r="D346" s="2" t="s">
        <v>267</v>
      </c>
      <c r="E346" s="8" t="n">
        <v>44837</v>
      </c>
      <c r="F346" s="2" t="s">
        <v>17</v>
      </c>
      <c r="G346" s="7" t="str">
        <f aca="false">HYPERLINK("https://mncourtfraud.com/file/MCRO_27-CR-22-2444_Returned Mail_2022-10-03_20251126170225.pdf","MCRO_27-CR-22-2444_Returned Mail_2022-10-03_20251126170225.pdf")</f>
        <v>MCRO_27-CR-22-2444_Returned Mail_2022-10-03_20251126170225.pdf</v>
      </c>
      <c r="I346" s="2" t="s">
        <v>1044</v>
      </c>
      <c r="J346" s="2" t="s">
        <v>1044</v>
      </c>
      <c r="K346" s="2" t="s">
        <v>1045</v>
      </c>
      <c r="L346" s="2" t="s">
        <v>469</v>
      </c>
      <c r="M346" s="8" t="n">
        <v>44837</v>
      </c>
      <c r="N346" s="1" t="s">
        <v>1046</v>
      </c>
      <c r="O346" s="1" t="n">
        <v>3</v>
      </c>
      <c r="P346" s="1" t="s">
        <v>1047</v>
      </c>
      <c r="Q346" s="1" t="n">
        <v>3</v>
      </c>
      <c r="R346" s="1" t="s">
        <v>1233</v>
      </c>
      <c r="S346" s="1" t="n">
        <v>20251126170225</v>
      </c>
      <c r="T346" s="2" t="s">
        <v>1049</v>
      </c>
      <c r="U346" s="2" t="s">
        <v>1050</v>
      </c>
      <c r="X346" s="2" t="n">
        <v>381219</v>
      </c>
      <c r="Y346" s="1" t="n">
        <v>1.6</v>
      </c>
      <c r="Z346" s="1" t="n">
        <v>1</v>
      </c>
    </row>
    <row r="347" customFormat="false" ht="18.7" hidden="false" customHeight="true" outlineLevel="0" collapsed="false">
      <c r="A347" s="1" t="n">
        <v>346</v>
      </c>
      <c r="B347" s="7" t="str">
        <f aca="false">HYPERLINK("https://mncourtfraud.com/file/27-CR-22-2444.pdf","27-CR-22-2444")</f>
        <v>27-CR-22-2444</v>
      </c>
      <c r="C347" s="1" t="n">
        <v>5</v>
      </c>
      <c r="D347" s="2" t="s">
        <v>267</v>
      </c>
      <c r="E347" s="8" t="n">
        <v>44873</v>
      </c>
      <c r="F347" s="2" t="s">
        <v>15</v>
      </c>
      <c r="G347" s="7" t="str">
        <f aca="false">HYPERLINK("https://mncourtfraud.com/file/MCRO_27-CR-22-2444_Order-Evaluation for Competency to Proceed (Rule 20.01)_2022-11-08_20251126170154.pdf","MCRO_27-CR-22-2444_Order-Evaluation for Competency to Proceed (Rule 20.01)_2022-11-08_20251126170154.pdf")</f>
        <v>MCRO_27-CR-22-2444_Order-Evaluation for Competency to Proceed (Rule 20.01)_2022-11-08_20251126170154.pdf</v>
      </c>
      <c r="J347" s="2" t="s">
        <v>498</v>
      </c>
      <c r="K347" s="2" t="s">
        <v>499</v>
      </c>
      <c r="L347" s="2" t="s">
        <v>469</v>
      </c>
      <c r="M347" s="8" t="n">
        <v>44873</v>
      </c>
      <c r="N347" s="1" t="s">
        <v>1234</v>
      </c>
      <c r="O347" s="1" t="n">
        <v>2</v>
      </c>
      <c r="P347" s="1" t="s">
        <v>1234</v>
      </c>
      <c r="Q347" s="1" t="n">
        <v>2</v>
      </c>
      <c r="R347" s="1" t="s">
        <v>1235</v>
      </c>
      <c r="S347" s="1" t="n">
        <v>20251126170154</v>
      </c>
      <c r="T347" s="2" t="s">
        <v>1236</v>
      </c>
      <c r="U347" s="2" t="s">
        <v>1236</v>
      </c>
      <c r="X347" s="2" t="n">
        <v>964626</v>
      </c>
      <c r="Y347" s="1" t="n">
        <v>1.7</v>
      </c>
      <c r="Z347" s="1" t="n">
        <v>3</v>
      </c>
      <c r="AA347" s="9" t="s">
        <v>475</v>
      </c>
    </row>
    <row r="348" customFormat="false" ht="18.7" hidden="false" customHeight="true" outlineLevel="0" collapsed="false">
      <c r="A348" s="1" t="n">
        <v>347</v>
      </c>
      <c r="B348" s="7" t="str">
        <f aca="false">HYPERLINK("https://mncourtfraud.com/file/27-CR-22-2444.pdf","27-CR-22-2444")</f>
        <v>27-CR-22-2444</v>
      </c>
      <c r="C348" s="1" t="n">
        <v>5</v>
      </c>
      <c r="D348" s="2" t="s">
        <v>267</v>
      </c>
      <c r="E348" s="8" t="n">
        <v>45023</v>
      </c>
      <c r="F348" s="2" t="s">
        <v>15</v>
      </c>
      <c r="G348" s="7" t="str">
        <f aca="false">HYPERLINK("https://mncourtfraud.com/file/MCRO_27-CR-22-2444_Order-Evaluation for Competency to Proceed (Rule 20.01)_2023-04-07_20251126170204.pdf","MCRO_27-CR-22-2444_Order-Evaluation for Competency to Proceed (Rule 20.01)_2023-04-07_20251126170204.pdf")</f>
        <v>MCRO_27-CR-22-2444_Order-Evaluation for Competency to Proceed (Rule 20.01)_2023-04-07_20251126170204.pdf</v>
      </c>
      <c r="J348" s="2" t="s">
        <v>498</v>
      </c>
      <c r="K348" s="2" t="s">
        <v>499</v>
      </c>
      <c r="L348" s="2" t="s">
        <v>469</v>
      </c>
      <c r="M348" s="8" t="n">
        <v>45023</v>
      </c>
      <c r="N348" s="1" t="s">
        <v>1237</v>
      </c>
      <c r="O348" s="1" t="n">
        <v>0</v>
      </c>
      <c r="P348" s="1" t="s">
        <v>1237</v>
      </c>
      <c r="Q348" s="1" t="n">
        <v>0</v>
      </c>
      <c r="R348" s="1" t="s">
        <v>1238</v>
      </c>
      <c r="S348" s="1" t="n">
        <v>20251126170204</v>
      </c>
      <c r="T348" s="2" t="s">
        <v>1239</v>
      </c>
      <c r="U348" s="2" t="s">
        <v>1239</v>
      </c>
      <c r="X348" s="2" t="n">
        <v>1121754</v>
      </c>
      <c r="Y348" s="1" t="n">
        <v>1.7</v>
      </c>
      <c r="Z348" s="1" t="n">
        <v>2</v>
      </c>
      <c r="AA348" s="9" t="s">
        <v>475</v>
      </c>
    </row>
    <row r="349" customFormat="false" ht="18.7" hidden="false" customHeight="true" outlineLevel="0" collapsed="false">
      <c r="A349" s="1" t="n">
        <v>348</v>
      </c>
      <c r="B349" s="7" t="str">
        <f aca="false">HYPERLINK("https://mncourtfraud.com/file/27-CR-22-2444.pdf","27-CR-22-2444")</f>
        <v>27-CR-22-2444</v>
      </c>
      <c r="C349" s="1" t="n">
        <v>5</v>
      </c>
      <c r="D349" s="2" t="s">
        <v>267</v>
      </c>
      <c r="E349" s="8" t="n">
        <v>45194</v>
      </c>
      <c r="F349" s="2" t="s">
        <v>15</v>
      </c>
      <c r="G349" s="7" t="str">
        <f aca="false">HYPERLINK("https://mncourtfraud.com/file/MCRO_27-CR-22-2444_Order-Evaluation for Competency to Proceed (Rule 20.01)_2023-09-25_20251126170213.pdf","MCRO_27-CR-22-2444_Order-Evaluation for Competency to Proceed (Rule 20.01)_2023-09-25_20251126170213.pdf")</f>
        <v>MCRO_27-CR-22-2444_Order-Evaluation for Competency to Proceed (Rule 20.01)_2023-09-25_20251126170213.pdf</v>
      </c>
      <c r="I349" s="2" t="s">
        <v>481</v>
      </c>
      <c r="J349" s="2" t="s">
        <v>481</v>
      </c>
      <c r="K349" s="2" t="s">
        <v>482</v>
      </c>
      <c r="L349" s="2" t="s">
        <v>469</v>
      </c>
      <c r="M349" s="8" t="n">
        <v>45194</v>
      </c>
      <c r="N349" s="1" t="s">
        <v>1061</v>
      </c>
      <c r="O349" s="1" t="n">
        <v>0</v>
      </c>
      <c r="P349" s="1" t="s">
        <v>1061</v>
      </c>
      <c r="Q349" s="1" t="n">
        <v>0</v>
      </c>
      <c r="R349" s="1" t="s">
        <v>1240</v>
      </c>
      <c r="S349" s="1" t="n">
        <v>20251126170213</v>
      </c>
      <c r="T349" s="2" t="s">
        <v>1063</v>
      </c>
      <c r="U349" s="2" t="s">
        <v>1064</v>
      </c>
      <c r="X349" s="2" t="n">
        <v>166643</v>
      </c>
      <c r="Y349" s="1" t="n">
        <v>1.5</v>
      </c>
      <c r="Z349" s="1" t="n">
        <v>2</v>
      </c>
    </row>
    <row r="350" customFormat="false" ht="18.7" hidden="false" customHeight="true" outlineLevel="0" collapsed="false">
      <c r="A350" s="1" t="n">
        <v>349</v>
      </c>
      <c r="B350" s="7" t="str">
        <f aca="false">HYPERLINK("https://mncourtfraud.com/file/27-CR-22-25069.pdf","27-CR-22-25069")</f>
        <v>27-CR-22-25069</v>
      </c>
      <c r="C350" s="1" t="n">
        <v>1</v>
      </c>
      <c r="D350" s="2" t="s">
        <v>12</v>
      </c>
      <c r="E350" s="8" t="n">
        <v>44999</v>
      </c>
      <c r="F350" s="2" t="s">
        <v>17</v>
      </c>
      <c r="G350" s="7" t="str">
        <f aca="false">HYPERLINK("https://mncourtfraud.com/file/MCRO_27-CR-22-25069_Returned Mail_2023-03-14_20251126185437.pdf","MCRO_27-CR-22-25069_Returned Mail_2023-03-14_20251126185437.pdf")</f>
        <v>MCRO_27-CR-22-25069_Returned Mail_2023-03-14_20251126185437.pdf</v>
      </c>
      <c r="J350" s="2" t="s">
        <v>498</v>
      </c>
      <c r="K350" s="2" t="s">
        <v>499</v>
      </c>
      <c r="L350" s="2" t="s">
        <v>469</v>
      </c>
      <c r="M350" s="8" t="n">
        <v>44999</v>
      </c>
      <c r="N350" s="1" t="s">
        <v>1241</v>
      </c>
      <c r="O350" s="1" t="n">
        <v>7</v>
      </c>
      <c r="P350" s="1" t="s">
        <v>1241</v>
      </c>
      <c r="Q350" s="1" t="n">
        <v>7</v>
      </c>
      <c r="R350" s="1" t="s">
        <v>1242</v>
      </c>
      <c r="S350" s="1" t="n">
        <v>20251126185437</v>
      </c>
      <c r="T350" s="2" t="s">
        <v>1243</v>
      </c>
      <c r="U350" s="2" t="s">
        <v>1243</v>
      </c>
      <c r="X350" s="2" t="n">
        <v>276935</v>
      </c>
      <c r="Y350" s="1" t="n">
        <v>1.7</v>
      </c>
      <c r="Z350" s="1" t="n">
        <v>1</v>
      </c>
      <c r="AA350" s="9" t="s">
        <v>475</v>
      </c>
    </row>
    <row r="351" customFormat="false" ht="18.7" hidden="false" customHeight="true" outlineLevel="0" collapsed="false">
      <c r="A351" s="1" t="n">
        <v>350</v>
      </c>
      <c r="B351" s="7" t="str">
        <f aca="false">HYPERLINK("https://mncourtfraud.com/file/27-CR-22-25069.pdf","27-CR-22-25069")</f>
        <v>27-CR-22-25069</v>
      </c>
      <c r="C351" s="1" t="n">
        <v>1</v>
      </c>
      <c r="D351" s="2" t="s">
        <v>12</v>
      </c>
      <c r="E351" s="8" t="n">
        <v>45048</v>
      </c>
      <c r="F351" s="2" t="s">
        <v>80</v>
      </c>
      <c r="G351" s="7" t="str">
        <f aca="false">HYPERLINK("https://mncourtfraud.com/file/MCRO_27-CR-22-25069_Finding of Incompetency and Order_2023-05-02_20251126185303.pdf","MCRO_27-CR-22-25069_Finding of Incompetency and Order_2023-05-02_20251126185303.pdf")</f>
        <v>MCRO_27-CR-22-25069_Finding of Incompetency and Order_2023-05-02_20251126185303.pdf</v>
      </c>
      <c r="H351" s="2" t="s">
        <v>644</v>
      </c>
      <c r="I351" s="2" t="s">
        <v>644</v>
      </c>
      <c r="J351" s="2" t="s">
        <v>519</v>
      </c>
      <c r="K351" s="2" t="s">
        <v>520</v>
      </c>
      <c r="L351" s="2" t="s">
        <v>469</v>
      </c>
      <c r="M351" s="8" t="n">
        <v>45048</v>
      </c>
      <c r="N351" s="1" t="s">
        <v>645</v>
      </c>
      <c r="O351" s="1" t="n">
        <v>0</v>
      </c>
      <c r="P351" s="1" t="s">
        <v>646</v>
      </c>
      <c r="Q351" s="1" t="n">
        <v>0</v>
      </c>
      <c r="R351" s="1" t="s">
        <v>1244</v>
      </c>
      <c r="S351" s="1" t="n">
        <v>20251126185303</v>
      </c>
      <c r="T351" s="2" t="s">
        <v>648</v>
      </c>
      <c r="U351" s="2" t="s">
        <v>649</v>
      </c>
      <c r="W351" s="2" t="s">
        <v>650</v>
      </c>
      <c r="X351" s="2" t="n">
        <v>976541</v>
      </c>
      <c r="Y351" s="1" t="n">
        <v>1.7</v>
      </c>
      <c r="Z351" s="1" t="n">
        <v>6</v>
      </c>
      <c r="AA351" s="9" t="s">
        <v>475</v>
      </c>
    </row>
    <row r="352" customFormat="false" ht="18.7" hidden="false" customHeight="true" outlineLevel="0" collapsed="false">
      <c r="A352" s="1" t="n">
        <v>351</v>
      </c>
      <c r="B352" s="7" t="str">
        <f aca="false">HYPERLINK("https://mncourtfraud.com/file/27-CR-22-25069.pdf","27-CR-22-25069")</f>
        <v>27-CR-22-25069</v>
      </c>
      <c r="C352" s="1" t="n">
        <v>1</v>
      </c>
      <c r="D352" s="2" t="s">
        <v>12</v>
      </c>
      <c r="E352" s="8" t="n">
        <v>45093</v>
      </c>
      <c r="F352" s="2" t="s">
        <v>82</v>
      </c>
      <c r="G352" s="7" t="str">
        <f aca="false">HYPERLINK("https://mncourtfraud.com/file/MCRO_27-CR-22-25069_Notice of Case Reassignment_2023-06-16_20251126185315.pdf","MCRO_27-CR-22-25069_Notice of Case Reassignment_2023-06-16_20251126185315.pdf")</f>
        <v>MCRO_27-CR-22-25069_Notice of Case Reassignment_2023-06-16_20251126185315.pdf</v>
      </c>
      <c r="H352" s="2" t="s">
        <v>651</v>
      </c>
      <c r="I352" s="2" t="s">
        <v>651</v>
      </c>
      <c r="J352" s="2" t="s">
        <v>535</v>
      </c>
      <c r="K352" s="2" t="s">
        <v>652</v>
      </c>
      <c r="L352" s="2" t="s">
        <v>469</v>
      </c>
      <c r="M352" s="8" t="n">
        <v>45093</v>
      </c>
      <c r="N352" s="1" t="s">
        <v>1001</v>
      </c>
      <c r="O352" s="1" t="n">
        <v>5</v>
      </c>
      <c r="P352" s="1" t="s">
        <v>1001</v>
      </c>
      <c r="Q352" s="1" t="n">
        <v>5</v>
      </c>
      <c r="R352" s="1" t="s">
        <v>1245</v>
      </c>
      <c r="S352" s="1" t="n">
        <v>20251126185315</v>
      </c>
      <c r="T352" s="2" t="s">
        <v>1246</v>
      </c>
      <c r="U352" s="2" t="s">
        <v>1247</v>
      </c>
      <c r="W352" s="2" t="s">
        <v>657</v>
      </c>
      <c r="X352" s="2" t="n">
        <v>113630</v>
      </c>
      <c r="Y352" s="1" t="n">
        <v>1.6</v>
      </c>
      <c r="Z352" s="1" t="n">
        <v>1</v>
      </c>
    </row>
    <row r="353" customFormat="false" ht="18.7" hidden="false" customHeight="true" outlineLevel="0" collapsed="false">
      <c r="A353" s="1" t="n">
        <v>352</v>
      </c>
      <c r="B353" s="7" t="str">
        <f aca="false">HYPERLINK("https://mncourtfraud.com/file/27-CR-22-25069.pdf","27-CR-22-25069")</f>
        <v>27-CR-22-25069</v>
      </c>
      <c r="C353" s="1" t="n">
        <v>1</v>
      </c>
      <c r="D353" s="2" t="s">
        <v>12</v>
      </c>
      <c r="E353" s="8" t="n">
        <v>45160</v>
      </c>
      <c r="F353" s="2" t="s">
        <v>15</v>
      </c>
      <c r="G353" s="7" t="str">
        <f aca="false">HYPERLINK("https://mncourtfraud.com/file/MCRO_27-CR-22-25069_Order-Evaluation for Competency to Proceed (Rule 20.01)_2023-08-22_20251126185424.pdf","MCRO_27-CR-22-25069_Order-Evaluation for Competency to Proceed (Rule 20.01)_2023-08-22_20251126185424.pdf")</f>
        <v>MCRO_27-CR-22-25069_Order-Evaluation for Competency to Proceed (Rule 20.01)_2023-08-22_20251126185424.pdf</v>
      </c>
      <c r="H353" s="2" t="s">
        <v>658</v>
      </c>
      <c r="I353" s="2" t="s">
        <v>659</v>
      </c>
      <c r="J353" s="2" t="s">
        <v>519</v>
      </c>
      <c r="K353" s="2" t="s">
        <v>520</v>
      </c>
      <c r="L353" s="2" t="s">
        <v>469</v>
      </c>
      <c r="M353" s="8" t="n">
        <v>45160</v>
      </c>
      <c r="N353" s="1" t="s">
        <v>660</v>
      </c>
      <c r="O353" s="1" t="n">
        <v>0</v>
      </c>
      <c r="P353" s="1" t="s">
        <v>661</v>
      </c>
      <c r="Q353" s="1" t="n">
        <v>0</v>
      </c>
      <c r="R353" s="1" t="s">
        <v>1248</v>
      </c>
      <c r="S353" s="1" t="n">
        <v>20251126185424</v>
      </c>
      <c r="T353" s="2" t="s">
        <v>663</v>
      </c>
      <c r="U353" s="2" t="s">
        <v>664</v>
      </c>
      <c r="X353" s="2" t="n">
        <v>876402</v>
      </c>
      <c r="Y353" s="1" t="n">
        <v>1.7</v>
      </c>
      <c r="Z353" s="1" t="n">
        <v>2</v>
      </c>
      <c r="AA353" s="9" t="s">
        <v>475</v>
      </c>
    </row>
    <row r="354" customFormat="false" ht="18.7" hidden="false" customHeight="true" outlineLevel="0" collapsed="false">
      <c r="A354" s="1" t="n">
        <v>353</v>
      </c>
      <c r="B354" s="7" t="str">
        <f aca="false">HYPERLINK("https://mncourtfraud.com/file/27-CR-22-25069.pdf","27-CR-22-25069")</f>
        <v>27-CR-22-25069</v>
      </c>
      <c r="C354" s="1" t="n">
        <v>1</v>
      </c>
      <c r="D354" s="2" t="s">
        <v>12</v>
      </c>
      <c r="E354" s="8" t="n">
        <v>45412</v>
      </c>
      <c r="F354" s="2" t="s">
        <v>24</v>
      </c>
      <c r="G354" s="7" t="str">
        <f aca="false">HYPERLINK("https://mncourtfraud.com/file/MCRO_27-CR-22-25069_Order for Conditional Release_2024-04-30_20251126185327.pdf","MCRO_27-CR-22-25069_Order for Conditional Release_2024-04-30_20251126185327.pdf")</f>
        <v>MCRO_27-CR-22-25069_Order for Conditional Release_2024-04-30_20251126185327.pdf</v>
      </c>
      <c r="I354" s="2" t="s">
        <v>481</v>
      </c>
      <c r="J354" s="2" t="s">
        <v>481</v>
      </c>
      <c r="K354" s="2" t="s">
        <v>482</v>
      </c>
      <c r="L354" s="2" t="s">
        <v>469</v>
      </c>
      <c r="M354" s="8" t="n">
        <v>45412</v>
      </c>
      <c r="N354" s="1" t="s">
        <v>665</v>
      </c>
      <c r="O354" s="1" t="n">
        <v>0</v>
      </c>
      <c r="P354" s="1" t="s">
        <v>665</v>
      </c>
      <c r="Q354" s="1" t="n">
        <v>0</v>
      </c>
      <c r="R354" s="1" t="s">
        <v>1249</v>
      </c>
      <c r="S354" s="1" t="n">
        <v>20251126185327</v>
      </c>
      <c r="T354" s="2" t="s">
        <v>667</v>
      </c>
      <c r="U354" s="2" t="s">
        <v>668</v>
      </c>
      <c r="X354" s="2" t="n">
        <v>150535</v>
      </c>
      <c r="Y354" s="1" t="n">
        <v>1.5</v>
      </c>
      <c r="Z354" s="1" t="n">
        <v>2</v>
      </c>
    </row>
    <row r="355" customFormat="false" ht="18.7" hidden="false" customHeight="true" outlineLevel="0" collapsed="false">
      <c r="A355" s="1" t="n">
        <v>354</v>
      </c>
      <c r="B355" s="7" t="str">
        <f aca="false">HYPERLINK("https://mncourtfraud.com/file/27-CR-22-25069.pdf","27-CR-22-25069")</f>
        <v>27-CR-22-25069</v>
      </c>
      <c r="C355" s="1" t="n">
        <v>1</v>
      </c>
      <c r="D355" s="2" t="s">
        <v>12</v>
      </c>
      <c r="E355" s="8" t="n">
        <v>45412</v>
      </c>
      <c r="F355" s="2" t="s">
        <v>15</v>
      </c>
      <c r="G355" s="7" t="str">
        <f aca="false">HYPERLINK("https://mncourtfraud.com/file/MCRO_27-CR-22-25069_Order-Evaluation for Competency to Proceed (Rule 20.01)_2024-04-30_20251126185403.pdf","MCRO_27-CR-22-25069_Order-Evaluation for Competency to Proceed (Rule 20.01)_2024-04-30_20251126185403.pdf")</f>
        <v>MCRO_27-CR-22-25069_Order-Evaluation for Competency to Proceed (Rule 20.01)_2024-04-30_20251126185403.pdf</v>
      </c>
      <c r="I355" s="2" t="s">
        <v>481</v>
      </c>
      <c r="J355" s="2" t="s">
        <v>481</v>
      </c>
      <c r="K355" s="2" t="s">
        <v>482</v>
      </c>
      <c r="L355" s="2" t="s">
        <v>469</v>
      </c>
      <c r="M355" s="8" t="n">
        <v>45412</v>
      </c>
      <c r="N355" s="1" t="s">
        <v>665</v>
      </c>
      <c r="O355" s="1" t="n">
        <v>0</v>
      </c>
      <c r="P355" s="1" t="s">
        <v>665</v>
      </c>
      <c r="Q355" s="1" t="n">
        <v>0</v>
      </c>
      <c r="R355" s="1" t="s">
        <v>1250</v>
      </c>
      <c r="S355" s="1" t="n">
        <v>20251126185403</v>
      </c>
      <c r="T355" s="2" t="s">
        <v>670</v>
      </c>
      <c r="U355" s="2" t="s">
        <v>671</v>
      </c>
      <c r="X355" s="2" t="n">
        <v>219522</v>
      </c>
      <c r="Y355" s="1" t="n">
        <v>1.5</v>
      </c>
      <c r="Z355" s="1" t="n">
        <v>3</v>
      </c>
    </row>
    <row r="356" customFormat="false" ht="18.7" hidden="false" customHeight="true" outlineLevel="0" collapsed="false">
      <c r="A356" s="1" t="n">
        <v>355</v>
      </c>
      <c r="B356" s="7" t="str">
        <f aca="false">HYPERLINK("https://mncourtfraud.com/file/27-CR-22-3864.pdf","27-CR-22-3864")</f>
        <v>27-CR-22-3864</v>
      </c>
      <c r="C356" s="1" t="n">
        <v>1</v>
      </c>
      <c r="D356" s="2" t="s">
        <v>12</v>
      </c>
      <c r="E356" s="8" t="n">
        <v>44761</v>
      </c>
      <c r="F356" s="2" t="s">
        <v>15</v>
      </c>
      <c r="G356" s="7" t="str">
        <f aca="false">HYPERLINK("https://mncourtfraud.com/file/MCRO_27-CR-22-3864_Order-Evaluation for Competency to Proceed (Rule 20.01)_2022-07-19_20251126185540.pdf","MCRO_27-CR-22-3864_Order-Evaluation for Competency to Proceed (Rule 20.01)_2022-07-19_20251126185540.pdf")</f>
        <v>MCRO_27-CR-22-3864_Order-Evaluation for Competency to Proceed (Rule 20.01)_2022-07-19_20251126185540.pdf</v>
      </c>
      <c r="I356" s="2" t="s">
        <v>1181</v>
      </c>
      <c r="J356" s="2" t="s">
        <v>1181</v>
      </c>
      <c r="K356" s="2" t="s">
        <v>1182</v>
      </c>
      <c r="L356" s="2" t="s">
        <v>469</v>
      </c>
      <c r="M356" s="8" t="n">
        <v>44761</v>
      </c>
      <c r="N356" s="1" t="s">
        <v>1183</v>
      </c>
      <c r="O356" s="1" t="n">
        <v>0</v>
      </c>
      <c r="P356" s="1" t="s">
        <v>1184</v>
      </c>
      <c r="Q356" s="1" t="n">
        <v>0</v>
      </c>
      <c r="R356" s="1" t="s">
        <v>1251</v>
      </c>
      <c r="S356" s="1" t="n">
        <v>20251126185540</v>
      </c>
      <c r="T356" s="2" t="s">
        <v>1186</v>
      </c>
      <c r="U356" s="2" t="s">
        <v>1187</v>
      </c>
      <c r="X356" s="2" t="n">
        <v>220512</v>
      </c>
      <c r="Y356" s="1" t="n">
        <v>1.6</v>
      </c>
      <c r="Z356" s="1" t="n">
        <v>2</v>
      </c>
    </row>
    <row r="357" customFormat="false" ht="18.7" hidden="false" customHeight="true" outlineLevel="0" collapsed="false">
      <c r="A357" s="1" t="n">
        <v>356</v>
      </c>
      <c r="B357" s="7" t="str">
        <f aca="false">HYPERLINK("https://mncourtfraud.com/file/27-CR-22-3864.pdf","27-CR-22-3864")</f>
        <v>27-CR-22-3864</v>
      </c>
      <c r="C357" s="1" t="n">
        <v>1</v>
      </c>
      <c r="D357" s="2" t="s">
        <v>12</v>
      </c>
      <c r="E357" s="8" t="n">
        <v>44895</v>
      </c>
      <c r="F357" s="2" t="s">
        <v>15</v>
      </c>
      <c r="G357" s="7" t="str">
        <f aca="false">HYPERLINK("https://mncourtfraud.com/file/MCRO_27-CR-22-3864_Order-Evaluation for Competency to Proceed (Rule 20.01)_2022-11-30_20251126185532.pdf","MCRO_27-CR-22-3864_Order-Evaluation for Competency to Proceed (Rule 20.01)_2022-11-30_20251126185532.pdf")</f>
        <v>MCRO_27-CR-22-3864_Order-Evaluation for Competency to Proceed (Rule 20.01)_2022-11-30_20251126185532.pdf</v>
      </c>
      <c r="H357" s="2" t="s">
        <v>543</v>
      </c>
      <c r="I357" s="2" t="s">
        <v>544</v>
      </c>
      <c r="J357" s="2" t="s">
        <v>519</v>
      </c>
      <c r="K357" s="2" t="s">
        <v>520</v>
      </c>
      <c r="L357" s="2" t="s">
        <v>469</v>
      </c>
      <c r="M357" s="8" t="n">
        <v>44895</v>
      </c>
      <c r="N357" s="1" t="s">
        <v>545</v>
      </c>
      <c r="O357" s="1" t="n">
        <v>0</v>
      </c>
      <c r="P357" s="1" t="s">
        <v>546</v>
      </c>
      <c r="Q357" s="1" t="n">
        <v>0</v>
      </c>
      <c r="R357" s="1" t="s">
        <v>1252</v>
      </c>
      <c r="S357" s="1" t="n">
        <v>20251126185532</v>
      </c>
      <c r="T357" s="2" t="s">
        <v>548</v>
      </c>
      <c r="U357" s="2" t="s">
        <v>549</v>
      </c>
      <c r="X357" s="2" t="n">
        <v>816997</v>
      </c>
      <c r="Y357" s="1" t="n">
        <v>1.7</v>
      </c>
      <c r="Z357" s="1" t="n">
        <v>2</v>
      </c>
      <c r="AA357" s="9" t="s">
        <v>475</v>
      </c>
    </row>
    <row r="358" customFormat="false" ht="18.7" hidden="false" customHeight="true" outlineLevel="0" collapsed="false">
      <c r="A358" s="1" t="n">
        <v>357</v>
      </c>
      <c r="B358" s="7" t="str">
        <f aca="false">HYPERLINK("https://mncourtfraud.com/file/27-CR-22-3864.pdf","27-CR-22-3864")</f>
        <v>27-CR-22-3864</v>
      </c>
      <c r="C358" s="1" t="n">
        <v>1</v>
      </c>
      <c r="D358" s="2" t="s">
        <v>12</v>
      </c>
      <c r="E358" s="8" t="n">
        <v>44999</v>
      </c>
      <c r="F358" s="2" t="s">
        <v>17</v>
      </c>
      <c r="G358" s="7" t="str">
        <f aca="false">HYPERLINK("https://mncourtfraud.com/file/MCRO_27-CR-22-3864_Returned Mail_2023-03-14_20251126185557.pdf","MCRO_27-CR-22-3864_Returned Mail_2023-03-14_20251126185557.pdf")</f>
        <v>MCRO_27-CR-22-3864_Returned Mail_2023-03-14_20251126185557.pdf</v>
      </c>
      <c r="J358" s="2" t="s">
        <v>498</v>
      </c>
      <c r="K358" s="2" t="s">
        <v>499</v>
      </c>
      <c r="L358" s="2" t="s">
        <v>469</v>
      </c>
      <c r="M358" s="8" t="n">
        <v>44999</v>
      </c>
      <c r="N358" s="1" t="s">
        <v>1253</v>
      </c>
      <c r="O358" s="1" t="n">
        <v>7</v>
      </c>
      <c r="P358" s="1" t="s">
        <v>1253</v>
      </c>
      <c r="Q358" s="1" t="n">
        <v>7</v>
      </c>
      <c r="R358" s="1" t="s">
        <v>1254</v>
      </c>
      <c r="S358" s="1" t="n">
        <v>20251126185557</v>
      </c>
      <c r="T358" s="2" t="s">
        <v>1255</v>
      </c>
      <c r="U358" s="2" t="s">
        <v>1255</v>
      </c>
      <c r="X358" s="2" t="n">
        <v>265030</v>
      </c>
      <c r="Y358" s="1" t="n">
        <v>1.7</v>
      </c>
      <c r="Z358" s="1" t="n">
        <v>1</v>
      </c>
      <c r="AA358" s="9" t="s">
        <v>475</v>
      </c>
    </row>
    <row r="359" customFormat="false" ht="18.7" hidden="false" customHeight="true" outlineLevel="0" collapsed="false">
      <c r="A359" s="1" t="n">
        <v>358</v>
      </c>
      <c r="B359" s="7" t="str">
        <f aca="false">HYPERLINK("https://mncourtfraud.com/file/27-CR-22-3864.pdf","27-CR-22-3864")</f>
        <v>27-CR-22-3864</v>
      </c>
      <c r="C359" s="1" t="n">
        <v>1</v>
      </c>
      <c r="D359" s="2" t="s">
        <v>12</v>
      </c>
      <c r="E359" s="8" t="n">
        <v>45048</v>
      </c>
      <c r="F359" s="2" t="s">
        <v>80</v>
      </c>
      <c r="G359" s="7" t="str">
        <f aca="false">HYPERLINK("https://mncourtfraud.com/file/MCRO_27-CR-22-3864_Finding of Incompetency and Order_2023-05-02_20251126185519.pdf","MCRO_27-CR-22-3864_Finding of Incompetency and Order_2023-05-02_20251126185519.pdf")</f>
        <v>MCRO_27-CR-22-3864_Finding of Incompetency and Order_2023-05-02_20251126185519.pdf</v>
      </c>
      <c r="H359" s="2" t="s">
        <v>644</v>
      </c>
      <c r="I359" s="2" t="s">
        <v>644</v>
      </c>
      <c r="J359" s="2" t="s">
        <v>519</v>
      </c>
      <c r="K359" s="2" t="s">
        <v>520</v>
      </c>
      <c r="L359" s="2" t="s">
        <v>469</v>
      </c>
      <c r="M359" s="8" t="n">
        <v>45048</v>
      </c>
      <c r="N359" s="1" t="s">
        <v>645</v>
      </c>
      <c r="O359" s="1" t="n">
        <v>0</v>
      </c>
      <c r="P359" s="1" t="s">
        <v>646</v>
      </c>
      <c r="Q359" s="1" t="n">
        <v>0</v>
      </c>
      <c r="R359" s="1" t="s">
        <v>1256</v>
      </c>
      <c r="S359" s="1" t="n">
        <v>20251126185519</v>
      </c>
      <c r="T359" s="2" t="s">
        <v>648</v>
      </c>
      <c r="U359" s="2" t="s">
        <v>649</v>
      </c>
      <c r="W359" s="2" t="s">
        <v>650</v>
      </c>
      <c r="X359" s="2" t="n">
        <v>976549</v>
      </c>
      <c r="Y359" s="1" t="n">
        <v>1.7</v>
      </c>
      <c r="Z359" s="1" t="n">
        <v>6</v>
      </c>
      <c r="AA359" s="9" t="s">
        <v>475</v>
      </c>
    </row>
    <row r="360" customFormat="false" ht="18.7" hidden="false" customHeight="true" outlineLevel="0" collapsed="false">
      <c r="A360" s="1" t="n">
        <v>359</v>
      </c>
      <c r="B360" s="7" t="str">
        <f aca="false">HYPERLINK("https://mncourtfraud.com/file/27-CR-22-6512.pdf","27-CR-22-6512")</f>
        <v>27-CR-22-6512</v>
      </c>
      <c r="C360" s="1" t="n">
        <v>5</v>
      </c>
      <c r="D360" s="2" t="s">
        <v>267</v>
      </c>
      <c r="E360" s="8" t="n">
        <v>44837</v>
      </c>
      <c r="F360" s="2" t="s">
        <v>17</v>
      </c>
      <c r="G360" s="7" t="str">
        <f aca="false">HYPERLINK("https://mncourtfraud.com/file/MCRO_27-CR-22-6512_Returned Mail_2022-10-03_20251126170305.pdf","MCRO_27-CR-22-6512_Returned Mail_2022-10-03_20251126170305.pdf")</f>
        <v>MCRO_27-CR-22-6512_Returned Mail_2022-10-03_20251126170305.pdf</v>
      </c>
      <c r="I360" s="2" t="s">
        <v>1044</v>
      </c>
      <c r="J360" s="2" t="s">
        <v>1044</v>
      </c>
      <c r="K360" s="2" t="s">
        <v>1045</v>
      </c>
      <c r="L360" s="2" t="s">
        <v>469</v>
      </c>
      <c r="M360" s="8" t="n">
        <v>44837</v>
      </c>
      <c r="N360" s="1" t="s">
        <v>1046</v>
      </c>
      <c r="O360" s="1" t="n">
        <v>3</v>
      </c>
      <c r="P360" s="1" t="s">
        <v>1047</v>
      </c>
      <c r="Q360" s="1" t="n">
        <v>3</v>
      </c>
      <c r="R360" s="1" t="s">
        <v>1257</v>
      </c>
      <c r="S360" s="1" t="n">
        <v>20251126170305</v>
      </c>
      <c r="T360" s="2" t="s">
        <v>1049</v>
      </c>
      <c r="U360" s="2" t="s">
        <v>1050</v>
      </c>
      <c r="X360" s="2" t="n">
        <v>381218</v>
      </c>
      <c r="Y360" s="1" t="n">
        <v>1.6</v>
      </c>
      <c r="Z360" s="1" t="n">
        <v>1</v>
      </c>
    </row>
    <row r="361" customFormat="false" ht="18.7" hidden="false" customHeight="true" outlineLevel="0" collapsed="false">
      <c r="A361" s="1" t="n">
        <v>360</v>
      </c>
      <c r="B361" s="7" t="str">
        <f aca="false">HYPERLINK("https://mncourtfraud.com/file/27-CR-22-6512.pdf","27-CR-22-6512")</f>
        <v>27-CR-22-6512</v>
      </c>
      <c r="C361" s="1" t="n">
        <v>5</v>
      </c>
      <c r="D361" s="2" t="s">
        <v>267</v>
      </c>
      <c r="E361" s="8" t="n">
        <v>44873</v>
      </c>
      <c r="F361" s="2" t="s">
        <v>15</v>
      </c>
      <c r="G361" s="7" t="str">
        <f aca="false">HYPERLINK("https://mncourtfraud.com/file/MCRO_27-CR-22-6512_Order-Evaluation for Competency to Proceed (Rule 20.01)_2022-11-08_20251126170328.pdf","MCRO_27-CR-22-6512_Order-Evaluation for Competency to Proceed (Rule 20.01)_2022-11-08_20251126170328.pdf")</f>
        <v>MCRO_27-CR-22-6512_Order-Evaluation for Competency to Proceed (Rule 20.01)_2022-11-08_20251126170328.pdf</v>
      </c>
      <c r="I361" s="2" t="s">
        <v>1051</v>
      </c>
      <c r="J361" s="2" t="s">
        <v>1051</v>
      </c>
      <c r="K361" s="2" t="s">
        <v>1052</v>
      </c>
      <c r="L361" s="2" t="s">
        <v>469</v>
      </c>
      <c r="M361" s="8" t="n">
        <v>44873</v>
      </c>
      <c r="N361" s="1" t="s">
        <v>1053</v>
      </c>
      <c r="O361" s="1" t="n">
        <v>2</v>
      </c>
      <c r="P361" s="1" t="s">
        <v>1054</v>
      </c>
      <c r="Q361" s="1" t="n">
        <v>2</v>
      </c>
      <c r="R361" s="1" t="s">
        <v>1258</v>
      </c>
      <c r="S361" s="1" t="n">
        <v>20251126170328</v>
      </c>
      <c r="T361" s="2" t="s">
        <v>1056</v>
      </c>
      <c r="U361" s="2" t="s">
        <v>1057</v>
      </c>
      <c r="X361" s="2" t="n">
        <v>846097</v>
      </c>
      <c r="Y361" s="1" t="n">
        <v>1.6</v>
      </c>
      <c r="Z361" s="1" t="n">
        <v>3</v>
      </c>
    </row>
    <row r="362" customFormat="false" ht="18.7" hidden="false" customHeight="true" outlineLevel="0" collapsed="false">
      <c r="A362" s="1" t="n">
        <v>361</v>
      </c>
      <c r="B362" s="7" t="str">
        <f aca="false">HYPERLINK("https://mncourtfraud.com/file/27-CR-22-6512.pdf","27-CR-22-6512")</f>
        <v>27-CR-22-6512</v>
      </c>
      <c r="C362" s="1" t="n">
        <v>5</v>
      </c>
      <c r="D362" s="2" t="s">
        <v>267</v>
      </c>
      <c r="E362" s="8" t="n">
        <v>45023</v>
      </c>
      <c r="F362" s="2" t="s">
        <v>15</v>
      </c>
      <c r="G362" s="7" t="str">
        <f aca="false">HYPERLINK("https://mncourtfraud.com/file/MCRO_27-CR-22-6512_Order-Evaluation for Competency to Proceed (Rule 20.01)_2023-04-07_20251126170337.pdf","MCRO_27-CR-22-6512_Order-Evaluation for Competency to Proceed (Rule 20.01)_2023-04-07_20251126170337.pdf")</f>
        <v>MCRO_27-CR-22-6512_Order-Evaluation for Competency to Proceed (Rule 20.01)_2023-04-07_20251126170337.pdf</v>
      </c>
      <c r="J362" s="2" t="s">
        <v>498</v>
      </c>
      <c r="K362" s="2" t="s">
        <v>499</v>
      </c>
      <c r="L362" s="2" t="s">
        <v>469</v>
      </c>
      <c r="M362" s="8" t="n">
        <v>45023</v>
      </c>
      <c r="N362" s="1" t="s">
        <v>1259</v>
      </c>
      <c r="O362" s="1" t="n">
        <v>0</v>
      </c>
      <c r="P362" s="1" t="s">
        <v>1259</v>
      </c>
      <c r="Q362" s="1" t="n">
        <v>0</v>
      </c>
      <c r="R362" s="1" t="s">
        <v>1260</v>
      </c>
      <c r="S362" s="1" t="n">
        <v>20251126170337</v>
      </c>
      <c r="T362" s="2" t="s">
        <v>1261</v>
      </c>
      <c r="U362" s="2" t="s">
        <v>1261</v>
      </c>
      <c r="X362" s="2" t="n">
        <v>1123463</v>
      </c>
      <c r="Y362" s="1" t="n">
        <v>1.7</v>
      </c>
      <c r="Z362" s="1" t="n">
        <v>2</v>
      </c>
      <c r="AA362" s="9" t="s">
        <v>475</v>
      </c>
    </row>
    <row r="363" customFormat="false" ht="18.7" hidden="false" customHeight="true" outlineLevel="0" collapsed="false">
      <c r="A363" s="1" t="n">
        <v>362</v>
      </c>
      <c r="B363" s="7" t="str">
        <f aca="false">HYPERLINK("https://mncourtfraud.com/file/27-CR-22-6512.pdf","27-CR-22-6512")</f>
        <v>27-CR-22-6512</v>
      </c>
      <c r="C363" s="1" t="n">
        <v>5</v>
      </c>
      <c r="D363" s="2" t="s">
        <v>267</v>
      </c>
      <c r="E363" s="8" t="n">
        <v>45194</v>
      </c>
      <c r="F363" s="2" t="s">
        <v>15</v>
      </c>
      <c r="G363" s="7" t="str">
        <f aca="false">HYPERLINK("https://mncourtfraud.com/file/MCRO_27-CR-22-6512_Order-Evaluation for Competency to Proceed (Rule 20.01)_2023-09-25_20251126170316.pdf","MCRO_27-CR-22-6512_Order-Evaluation for Competency to Proceed (Rule 20.01)_2023-09-25_20251126170316.pdf")</f>
        <v>MCRO_27-CR-22-6512_Order-Evaluation for Competency to Proceed (Rule 20.01)_2023-09-25_20251126170316.pdf</v>
      </c>
      <c r="I363" s="2" t="s">
        <v>481</v>
      </c>
      <c r="J363" s="2" t="s">
        <v>481</v>
      </c>
      <c r="K363" s="2" t="s">
        <v>482</v>
      </c>
      <c r="L363" s="2" t="s">
        <v>469</v>
      </c>
      <c r="M363" s="8" t="n">
        <v>45194</v>
      </c>
      <c r="N363" s="1" t="s">
        <v>1061</v>
      </c>
      <c r="O363" s="1" t="n">
        <v>0</v>
      </c>
      <c r="P363" s="1" t="s">
        <v>1061</v>
      </c>
      <c r="Q363" s="1" t="n">
        <v>0</v>
      </c>
      <c r="R363" s="1" t="s">
        <v>1262</v>
      </c>
      <c r="S363" s="1" t="n">
        <v>20251126170316</v>
      </c>
      <c r="T363" s="2" t="s">
        <v>1063</v>
      </c>
      <c r="U363" s="2" t="s">
        <v>1064</v>
      </c>
      <c r="X363" s="2" t="n">
        <v>166643</v>
      </c>
      <c r="Y363" s="1" t="n">
        <v>1.5</v>
      </c>
      <c r="Z363" s="1" t="n">
        <v>2</v>
      </c>
    </row>
    <row r="364" customFormat="false" ht="18.7" hidden="false" customHeight="true" outlineLevel="0" collapsed="false">
      <c r="A364" s="1" t="n">
        <v>363</v>
      </c>
      <c r="B364" s="7" t="str">
        <f aca="false">HYPERLINK("https://mncourtfraud.com/file/27-CR-22-6895.pdf","27-CR-22-6895")</f>
        <v>27-CR-22-6895</v>
      </c>
      <c r="C364" s="1" t="n">
        <v>5</v>
      </c>
      <c r="D364" s="2" t="s">
        <v>267</v>
      </c>
      <c r="E364" s="8" t="n">
        <v>44837</v>
      </c>
      <c r="F364" s="2" t="s">
        <v>17</v>
      </c>
      <c r="G364" s="7" t="str">
        <f aca="false">HYPERLINK("https://mncourtfraud.com/file/MCRO_27-CR-22-6895_Returned Mail_2022-10-03_20251126170447.pdf","MCRO_27-CR-22-6895_Returned Mail_2022-10-03_20251126170447.pdf")</f>
        <v>MCRO_27-CR-22-6895_Returned Mail_2022-10-03_20251126170447.pdf</v>
      </c>
      <c r="I364" s="2" t="s">
        <v>1044</v>
      </c>
      <c r="J364" s="2" t="s">
        <v>1044</v>
      </c>
      <c r="K364" s="2" t="s">
        <v>1045</v>
      </c>
      <c r="L364" s="2" t="s">
        <v>469</v>
      </c>
      <c r="M364" s="8" t="n">
        <v>44837</v>
      </c>
      <c r="N364" s="1" t="s">
        <v>1046</v>
      </c>
      <c r="O364" s="1" t="n">
        <v>3</v>
      </c>
      <c r="P364" s="1" t="s">
        <v>1047</v>
      </c>
      <c r="Q364" s="1" t="n">
        <v>3</v>
      </c>
      <c r="R364" s="1" t="s">
        <v>1263</v>
      </c>
      <c r="S364" s="1" t="n">
        <v>20251126170447</v>
      </c>
      <c r="T364" s="2" t="s">
        <v>1049</v>
      </c>
      <c r="U364" s="2" t="s">
        <v>1050</v>
      </c>
      <c r="X364" s="2" t="n">
        <v>381219</v>
      </c>
      <c r="Y364" s="1" t="n">
        <v>1.6</v>
      </c>
      <c r="Z364" s="1" t="n">
        <v>1</v>
      </c>
    </row>
    <row r="365" customFormat="false" ht="18.7" hidden="false" customHeight="true" outlineLevel="0" collapsed="false">
      <c r="A365" s="1" t="n">
        <v>364</v>
      </c>
      <c r="B365" s="7" t="str">
        <f aca="false">HYPERLINK("https://mncourtfraud.com/file/27-CR-22-6895.pdf","27-CR-22-6895")</f>
        <v>27-CR-22-6895</v>
      </c>
      <c r="C365" s="1" t="n">
        <v>5</v>
      </c>
      <c r="D365" s="2" t="s">
        <v>267</v>
      </c>
      <c r="E365" s="8" t="n">
        <v>44873</v>
      </c>
      <c r="F365" s="2" t="s">
        <v>15</v>
      </c>
      <c r="G365" s="7" t="str">
        <f aca="false">HYPERLINK("https://mncourtfraud.com/file/MCRO_27-CR-22-6895_Order-Evaluation for Competency to Proceed (Rule 20.01)_2022-11-08_20251126170402.pdf","MCRO_27-CR-22-6895_Order-Evaluation for Competency to Proceed (Rule 20.01)_2022-11-08_20251126170402.pdf")</f>
        <v>MCRO_27-CR-22-6895_Order-Evaluation for Competency to Proceed (Rule 20.01)_2022-11-08_20251126170402.pdf</v>
      </c>
      <c r="I365" s="2" t="s">
        <v>1051</v>
      </c>
      <c r="J365" s="2" t="s">
        <v>1051</v>
      </c>
      <c r="K365" s="2" t="s">
        <v>1052</v>
      </c>
      <c r="L365" s="2" t="s">
        <v>469</v>
      </c>
      <c r="M365" s="8" t="n">
        <v>44873</v>
      </c>
      <c r="N365" s="1" t="s">
        <v>1053</v>
      </c>
      <c r="O365" s="1" t="n">
        <v>2</v>
      </c>
      <c r="P365" s="1" t="s">
        <v>1054</v>
      </c>
      <c r="Q365" s="1" t="n">
        <v>2</v>
      </c>
      <c r="R365" s="1" t="s">
        <v>1264</v>
      </c>
      <c r="S365" s="1" t="n">
        <v>20251126170402</v>
      </c>
      <c r="T365" s="2" t="s">
        <v>1056</v>
      </c>
      <c r="U365" s="2" t="s">
        <v>1057</v>
      </c>
      <c r="X365" s="2" t="n">
        <v>846095</v>
      </c>
      <c r="Y365" s="1" t="n">
        <v>1.6</v>
      </c>
      <c r="Z365" s="1" t="n">
        <v>3</v>
      </c>
    </row>
    <row r="366" customFormat="false" ht="18.7" hidden="false" customHeight="true" outlineLevel="0" collapsed="false">
      <c r="A366" s="1" t="n">
        <v>365</v>
      </c>
      <c r="B366" s="7" t="str">
        <f aca="false">HYPERLINK("https://mncourtfraud.com/file/27-CR-22-6895.pdf","27-CR-22-6895")</f>
        <v>27-CR-22-6895</v>
      </c>
      <c r="C366" s="1" t="n">
        <v>5</v>
      </c>
      <c r="D366" s="2" t="s">
        <v>267</v>
      </c>
      <c r="E366" s="8" t="n">
        <v>45023</v>
      </c>
      <c r="F366" s="2" t="s">
        <v>15</v>
      </c>
      <c r="G366" s="7" t="str">
        <f aca="false">HYPERLINK("https://mncourtfraud.com/file/MCRO_27-CR-22-6895_Order-Evaluation for Competency to Proceed (Rule 20.01)_2023-04-07_20251126170421.pdf","MCRO_27-CR-22-6895_Order-Evaluation for Competency to Proceed (Rule 20.01)_2023-04-07_20251126170421.pdf")</f>
        <v>MCRO_27-CR-22-6895_Order-Evaluation for Competency to Proceed (Rule 20.01)_2023-04-07_20251126170421.pdf</v>
      </c>
      <c r="J366" s="2" t="s">
        <v>498</v>
      </c>
      <c r="K366" s="2" t="s">
        <v>499</v>
      </c>
      <c r="L366" s="2" t="s">
        <v>469</v>
      </c>
      <c r="M366" s="8" t="n">
        <v>45023</v>
      </c>
      <c r="N366" s="1" t="s">
        <v>1265</v>
      </c>
      <c r="O366" s="1" t="n">
        <v>0</v>
      </c>
      <c r="P366" s="1" t="s">
        <v>1265</v>
      </c>
      <c r="Q366" s="1" t="n">
        <v>0</v>
      </c>
      <c r="R366" s="1" t="s">
        <v>1266</v>
      </c>
      <c r="S366" s="1" t="n">
        <v>20251126170421</v>
      </c>
      <c r="T366" s="2" t="s">
        <v>1267</v>
      </c>
      <c r="U366" s="2" t="s">
        <v>1267</v>
      </c>
      <c r="X366" s="2" t="n">
        <v>1125693</v>
      </c>
      <c r="Y366" s="1" t="n">
        <v>1.7</v>
      </c>
      <c r="Z366" s="1" t="n">
        <v>2</v>
      </c>
      <c r="AA366" s="9" t="s">
        <v>475</v>
      </c>
    </row>
    <row r="367" customFormat="false" ht="18.7" hidden="false" customHeight="true" outlineLevel="0" collapsed="false">
      <c r="A367" s="1" t="n">
        <v>366</v>
      </c>
      <c r="B367" s="7" t="str">
        <f aca="false">HYPERLINK("https://mncourtfraud.com/file/27-CR-22-6895.pdf","27-CR-22-6895")</f>
        <v>27-CR-22-6895</v>
      </c>
      <c r="C367" s="1" t="n">
        <v>5</v>
      </c>
      <c r="D367" s="2" t="s">
        <v>267</v>
      </c>
      <c r="E367" s="8" t="n">
        <v>45194</v>
      </c>
      <c r="F367" s="2" t="s">
        <v>15</v>
      </c>
      <c r="G367" s="7" t="str">
        <f aca="false">HYPERLINK("https://mncourtfraud.com/file/MCRO_27-CR-22-6895_Order-Evaluation for Competency to Proceed (Rule 20.01)_2023-09-25_20251126170434.pdf","MCRO_27-CR-22-6895_Order-Evaluation for Competency to Proceed (Rule 20.01)_2023-09-25_20251126170434.pdf")</f>
        <v>MCRO_27-CR-22-6895_Order-Evaluation for Competency to Proceed (Rule 20.01)_2023-09-25_20251126170434.pdf</v>
      </c>
      <c r="I367" s="2" t="s">
        <v>481</v>
      </c>
      <c r="J367" s="2" t="s">
        <v>481</v>
      </c>
      <c r="K367" s="2" t="s">
        <v>482</v>
      </c>
      <c r="L367" s="2" t="s">
        <v>469</v>
      </c>
      <c r="M367" s="8" t="n">
        <v>45194</v>
      </c>
      <c r="N367" s="1" t="s">
        <v>1061</v>
      </c>
      <c r="O367" s="1" t="n">
        <v>0</v>
      </c>
      <c r="P367" s="1" t="s">
        <v>1061</v>
      </c>
      <c r="Q367" s="1" t="n">
        <v>0</v>
      </c>
      <c r="R367" s="1" t="s">
        <v>1268</v>
      </c>
      <c r="S367" s="1" t="n">
        <v>20251126170434</v>
      </c>
      <c r="T367" s="2" t="s">
        <v>1063</v>
      </c>
      <c r="U367" s="2" t="s">
        <v>1064</v>
      </c>
      <c r="X367" s="2" t="n">
        <v>166642</v>
      </c>
      <c r="Y367" s="1" t="n">
        <v>1.5</v>
      </c>
      <c r="Z367" s="1" t="n">
        <v>2</v>
      </c>
    </row>
    <row r="368" customFormat="false" ht="18.7" hidden="false" customHeight="true" outlineLevel="0" collapsed="false">
      <c r="A368" s="1" t="n">
        <v>367</v>
      </c>
      <c r="B368" s="7" t="str">
        <f aca="false">HYPERLINK("https://mncourtfraud.com/file/27-CR-22-7520.pdf","27-CR-22-7520")</f>
        <v>27-CR-22-7520</v>
      </c>
      <c r="C368" s="1" t="n">
        <v>5</v>
      </c>
      <c r="D368" s="2" t="s">
        <v>267</v>
      </c>
      <c r="E368" s="8" t="n">
        <v>44837</v>
      </c>
      <c r="F368" s="2" t="s">
        <v>17</v>
      </c>
      <c r="G368" s="7" t="str">
        <f aca="false">HYPERLINK("https://mncourtfraud.com/file/MCRO_27-CR-22-7520_Returned Mail_2022-10-03_20251126170511.pdf","MCRO_27-CR-22-7520_Returned Mail_2022-10-03_20251126170511.pdf")</f>
        <v>MCRO_27-CR-22-7520_Returned Mail_2022-10-03_20251126170511.pdf</v>
      </c>
      <c r="J368" s="2" t="s">
        <v>498</v>
      </c>
      <c r="K368" s="2" t="s">
        <v>499</v>
      </c>
      <c r="L368" s="2" t="s">
        <v>469</v>
      </c>
      <c r="M368" s="8" t="n">
        <v>44837</v>
      </c>
      <c r="N368" s="1" t="s">
        <v>1269</v>
      </c>
      <c r="O368" s="1" t="n">
        <v>3</v>
      </c>
      <c r="P368" s="1" t="s">
        <v>1269</v>
      </c>
      <c r="Q368" s="1" t="n">
        <v>3</v>
      </c>
      <c r="R368" s="1" t="s">
        <v>1270</v>
      </c>
      <c r="S368" s="1" t="n">
        <v>20251126170511</v>
      </c>
      <c r="T368" s="2" t="s">
        <v>1271</v>
      </c>
      <c r="U368" s="2" t="s">
        <v>1271</v>
      </c>
      <c r="X368" s="2" t="n">
        <v>408345</v>
      </c>
      <c r="Y368" s="1" t="n">
        <v>1.7</v>
      </c>
      <c r="Z368" s="1" t="n">
        <v>1</v>
      </c>
      <c r="AA368" s="9" t="s">
        <v>475</v>
      </c>
    </row>
    <row r="369" customFormat="false" ht="18.7" hidden="false" customHeight="true" outlineLevel="0" collapsed="false">
      <c r="A369" s="1" t="n">
        <v>368</v>
      </c>
      <c r="B369" s="7" t="str">
        <f aca="false">HYPERLINK("https://mncourtfraud.com/file/27-CR-22-7520.pdf","27-CR-22-7520")</f>
        <v>27-CR-22-7520</v>
      </c>
      <c r="C369" s="1" t="n">
        <v>5</v>
      </c>
      <c r="D369" s="2" t="s">
        <v>267</v>
      </c>
      <c r="E369" s="8" t="n">
        <v>44873</v>
      </c>
      <c r="F369" s="2" t="s">
        <v>15</v>
      </c>
      <c r="G369" s="7" t="str">
        <f aca="false">HYPERLINK("https://mncourtfraud.com/file/MCRO_27-CR-22-7520_Order-Evaluation for Competency to Proceed (Rule 20.01)_2022-11-08_20251126170532.pdf","MCRO_27-CR-22-7520_Order-Evaluation for Competency to Proceed (Rule 20.01)_2022-11-08_20251126170532.pdf")</f>
        <v>MCRO_27-CR-22-7520_Order-Evaluation for Competency to Proceed (Rule 20.01)_2022-11-08_20251126170532.pdf</v>
      </c>
      <c r="I369" s="2" t="s">
        <v>1051</v>
      </c>
      <c r="J369" s="2" t="s">
        <v>1051</v>
      </c>
      <c r="K369" s="2" t="s">
        <v>1052</v>
      </c>
      <c r="L369" s="2" t="s">
        <v>469</v>
      </c>
      <c r="M369" s="8" t="n">
        <v>44873</v>
      </c>
      <c r="N369" s="1" t="s">
        <v>1053</v>
      </c>
      <c r="O369" s="1" t="n">
        <v>2</v>
      </c>
      <c r="P369" s="1" t="s">
        <v>1054</v>
      </c>
      <c r="Q369" s="1" t="n">
        <v>2</v>
      </c>
      <c r="R369" s="1" t="s">
        <v>1272</v>
      </c>
      <c r="S369" s="1" t="n">
        <v>20251126170532</v>
      </c>
      <c r="T369" s="2" t="s">
        <v>1056</v>
      </c>
      <c r="U369" s="2" t="s">
        <v>1057</v>
      </c>
      <c r="X369" s="2" t="n">
        <v>846095</v>
      </c>
      <c r="Y369" s="1" t="n">
        <v>1.6</v>
      </c>
      <c r="Z369" s="1" t="n">
        <v>3</v>
      </c>
    </row>
    <row r="370" customFormat="false" ht="18.7" hidden="false" customHeight="true" outlineLevel="0" collapsed="false">
      <c r="A370" s="1" t="n">
        <v>369</v>
      </c>
      <c r="B370" s="7" t="str">
        <f aca="false">HYPERLINK("https://mncourtfraud.com/file/27-CR-22-7520.pdf","27-CR-22-7520")</f>
        <v>27-CR-22-7520</v>
      </c>
      <c r="C370" s="1" t="n">
        <v>5</v>
      </c>
      <c r="D370" s="2" t="s">
        <v>267</v>
      </c>
      <c r="E370" s="8" t="n">
        <v>45023</v>
      </c>
      <c r="F370" s="2" t="s">
        <v>15</v>
      </c>
      <c r="G370" s="7" t="str">
        <f aca="false">HYPERLINK("https://mncourtfraud.com/file/MCRO_27-CR-22-7520_Order-Evaluation for Competency to Proceed (Rule 20.01)_2023-04-07_20251126170542.pdf","MCRO_27-CR-22-7520_Order-Evaluation for Competency to Proceed (Rule 20.01)_2023-04-07_20251126170542.pdf")</f>
        <v>MCRO_27-CR-22-7520_Order-Evaluation for Competency to Proceed (Rule 20.01)_2023-04-07_20251126170542.pdf</v>
      </c>
      <c r="J370" s="2" t="s">
        <v>498</v>
      </c>
      <c r="K370" s="2" t="s">
        <v>499</v>
      </c>
      <c r="L370" s="2" t="s">
        <v>469</v>
      </c>
      <c r="M370" s="8" t="n">
        <v>45023</v>
      </c>
      <c r="N370" s="1" t="s">
        <v>1273</v>
      </c>
      <c r="O370" s="1" t="n">
        <v>0</v>
      </c>
      <c r="P370" s="1" t="s">
        <v>1273</v>
      </c>
      <c r="Q370" s="1" t="n">
        <v>0</v>
      </c>
      <c r="R370" s="1" t="s">
        <v>1274</v>
      </c>
      <c r="S370" s="1" t="n">
        <v>20251126170542</v>
      </c>
      <c r="T370" s="2" t="s">
        <v>1275</v>
      </c>
      <c r="U370" s="2" t="s">
        <v>1275</v>
      </c>
      <c r="X370" s="2" t="n">
        <v>1130527</v>
      </c>
      <c r="Y370" s="1" t="n">
        <v>1.7</v>
      </c>
      <c r="Z370" s="1" t="n">
        <v>2</v>
      </c>
      <c r="AA370" s="9" t="s">
        <v>475</v>
      </c>
    </row>
    <row r="371" customFormat="false" ht="18.7" hidden="false" customHeight="true" outlineLevel="0" collapsed="false">
      <c r="A371" s="1" t="n">
        <v>370</v>
      </c>
      <c r="B371" s="7" t="str">
        <f aca="false">HYPERLINK("https://mncourtfraud.com/file/27-CR-22-7520.pdf","27-CR-22-7520")</f>
        <v>27-CR-22-7520</v>
      </c>
      <c r="C371" s="1" t="n">
        <v>5</v>
      </c>
      <c r="D371" s="2" t="s">
        <v>267</v>
      </c>
      <c r="E371" s="8" t="n">
        <v>45194</v>
      </c>
      <c r="F371" s="2" t="s">
        <v>15</v>
      </c>
      <c r="G371" s="7" t="str">
        <f aca="false">HYPERLINK("https://mncourtfraud.com/file/MCRO_27-CR-22-7520_Order-Evaluation for Competency to Proceed (Rule 20.01)_2023-09-25_20251126170523.pdf","MCRO_27-CR-22-7520_Order-Evaluation for Competency to Proceed (Rule 20.01)_2023-09-25_20251126170523.pdf")</f>
        <v>MCRO_27-CR-22-7520_Order-Evaluation for Competency to Proceed (Rule 20.01)_2023-09-25_20251126170523.pdf</v>
      </c>
      <c r="I371" s="2" t="s">
        <v>481</v>
      </c>
      <c r="J371" s="2" t="s">
        <v>481</v>
      </c>
      <c r="K371" s="2" t="s">
        <v>482</v>
      </c>
      <c r="L371" s="2" t="s">
        <v>469</v>
      </c>
      <c r="M371" s="8" t="n">
        <v>45194</v>
      </c>
      <c r="N371" s="1" t="s">
        <v>1061</v>
      </c>
      <c r="O371" s="1" t="n">
        <v>0</v>
      </c>
      <c r="P371" s="1" t="s">
        <v>1061</v>
      </c>
      <c r="Q371" s="1" t="n">
        <v>0</v>
      </c>
      <c r="R371" s="1" t="s">
        <v>1276</v>
      </c>
      <c r="S371" s="1" t="n">
        <v>20251126170523</v>
      </c>
      <c r="T371" s="2" t="s">
        <v>1063</v>
      </c>
      <c r="U371" s="2" t="s">
        <v>1064</v>
      </c>
      <c r="X371" s="2" t="n">
        <v>166643</v>
      </c>
      <c r="Y371" s="1" t="n">
        <v>1.5</v>
      </c>
      <c r="Z371" s="1" t="n">
        <v>2</v>
      </c>
    </row>
    <row r="372" customFormat="false" ht="18.7" hidden="false" customHeight="true" outlineLevel="0" collapsed="false">
      <c r="A372" s="1" t="n">
        <v>371</v>
      </c>
      <c r="B372" s="7" t="str">
        <f aca="false">HYPERLINK("https://mncourtfraud.com/file/27-CR-22-8126.pdf","27-CR-22-8126")</f>
        <v>27-CR-22-8126</v>
      </c>
      <c r="C372" s="1" t="n">
        <v>1</v>
      </c>
      <c r="D372" s="2" t="s">
        <v>12</v>
      </c>
      <c r="E372" s="8" t="n">
        <v>44761</v>
      </c>
      <c r="F372" s="2" t="s">
        <v>15</v>
      </c>
      <c r="G372" s="7" t="str">
        <f aca="false">HYPERLINK("https://mncourtfraud.com/file/MCRO_27-CR-22-8126_Order-Evaluation for Competency to Proceed (Rule 20.01)_2022-07-19_20251126185733.pdf","MCRO_27-CR-22-8126_Order-Evaluation for Competency to Proceed (Rule 20.01)_2022-07-19_20251126185733.pdf")</f>
        <v>MCRO_27-CR-22-8126_Order-Evaluation for Competency to Proceed (Rule 20.01)_2022-07-19_20251126185733.pdf</v>
      </c>
      <c r="I372" s="2" t="s">
        <v>1181</v>
      </c>
      <c r="J372" s="2" t="s">
        <v>1181</v>
      </c>
      <c r="K372" s="2" t="s">
        <v>1182</v>
      </c>
      <c r="L372" s="2" t="s">
        <v>469</v>
      </c>
      <c r="M372" s="8" t="n">
        <v>44761</v>
      </c>
      <c r="N372" s="1" t="s">
        <v>1183</v>
      </c>
      <c r="O372" s="1" t="n">
        <v>0</v>
      </c>
      <c r="P372" s="1" t="s">
        <v>1184</v>
      </c>
      <c r="Q372" s="1" t="n">
        <v>0</v>
      </c>
      <c r="R372" s="1" t="s">
        <v>1277</v>
      </c>
      <c r="S372" s="1" t="n">
        <v>20251126185733</v>
      </c>
      <c r="T372" s="2" t="s">
        <v>1186</v>
      </c>
      <c r="U372" s="2" t="s">
        <v>1187</v>
      </c>
      <c r="X372" s="2" t="n">
        <v>220512</v>
      </c>
      <c r="Y372" s="1" t="n">
        <v>1.6</v>
      </c>
      <c r="Z372" s="1" t="n">
        <v>2</v>
      </c>
    </row>
    <row r="373" customFormat="false" ht="18.7" hidden="false" customHeight="true" outlineLevel="0" collapsed="false">
      <c r="A373" s="1" t="n">
        <v>372</v>
      </c>
      <c r="B373" s="7" t="str">
        <f aca="false">HYPERLINK("https://mncourtfraud.com/file/27-CR-22-8126.pdf","27-CR-22-8126")</f>
        <v>27-CR-22-8126</v>
      </c>
      <c r="C373" s="1" t="n">
        <v>1</v>
      </c>
      <c r="D373" s="2" t="s">
        <v>12</v>
      </c>
      <c r="E373" s="8" t="n">
        <v>44895</v>
      </c>
      <c r="F373" s="2" t="s">
        <v>15</v>
      </c>
      <c r="G373" s="7" t="str">
        <f aca="false">HYPERLINK("https://mncourtfraud.com/file/MCRO_27-CR-22-8126_Order-Evaluation for Competency to Proceed (Rule 20.01)_2022-11-30_20251126185703.pdf","MCRO_27-CR-22-8126_Order-Evaluation for Competency to Proceed (Rule 20.01)_2022-11-30_20251126185703.pdf")</f>
        <v>MCRO_27-CR-22-8126_Order-Evaluation for Competency to Proceed (Rule 20.01)_2022-11-30_20251126185703.pdf</v>
      </c>
      <c r="H373" s="2" t="s">
        <v>543</v>
      </c>
      <c r="I373" s="2" t="s">
        <v>544</v>
      </c>
      <c r="J373" s="2" t="s">
        <v>519</v>
      </c>
      <c r="K373" s="2" t="s">
        <v>520</v>
      </c>
      <c r="L373" s="2" t="s">
        <v>469</v>
      </c>
      <c r="M373" s="8" t="n">
        <v>44895</v>
      </c>
      <c r="N373" s="1" t="s">
        <v>545</v>
      </c>
      <c r="O373" s="1" t="n">
        <v>0</v>
      </c>
      <c r="P373" s="1" t="s">
        <v>546</v>
      </c>
      <c r="Q373" s="1" t="n">
        <v>0</v>
      </c>
      <c r="R373" s="1" t="s">
        <v>1278</v>
      </c>
      <c r="S373" s="1" t="n">
        <v>20251126185703</v>
      </c>
      <c r="T373" s="2" t="s">
        <v>548</v>
      </c>
      <c r="U373" s="2" t="s">
        <v>549</v>
      </c>
      <c r="X373" s="2" t="n">
        <v>816996</v>
      </c>
      <c r="Y373" s="1" t="n">
        <v>1.7</v>
      </c>
      <c r="Z373" s="1" t="n">
        <v>2</v>
      </c>
      <c r="AA373" s="9" t="s">
        <v>475</v>
      </c>
    </row>
    <row r="374" customFormat="false" ht="18.7" hidden="false" customHeight="true" outlineLevel="0" collapsed="false">
      <c r="A374" s="1" t="n">
        <v>373</v>
      </c>
      <c r="B374" s="7" t="str">
        <f aca="false">HYPERLINK("https://mncourtfraud.com/file/27-CR-22-8126.pdf","27-CR-22-8126")</f>
        <v>27-CR-22-8126</v>
      </c>
      <c r="C374" s="1" t="n">
        <v>1</v>
      </c>
      <c r="D374" s="2" t="s">
        <v>12</v>
      </c>
      <c r="E374" s="8" t="n">
        <v>44999</v>
      </c>
      <c r="F374" s="2" t="s">
        <v>17</v>
      </c>
      <c r="G374" s="7" t="str">
        <f aca="false">HYPERLINK("https://mncourtfraud.com/file/MCRO_27-CR-22-8126_Returned Mail_2023-03-14_20251126185747.pdf","MCRO_27-CR-22-8126_Returned Mail_2023-03-14_20251126185747.pdf")</f>
        <v>MCRO_27-CR-22-8126_Returned Mail_2023-03-14_20251126185747.pdf</v>
      </c>
      <c r="J374" s="2" t="s">
        <v>498</v>
      </c>
      <c r="K374" s="2" t="s">
        <v>499</v>
      </c>
      <c r="L374" s="2" t="s">
        <v>469</v>
      </c>
      <c r="M374" s="8" t="n">
        <v>44999</v>
      </c>
      <c r="N374" s="1" t="s">
        <v>1279</v>
      </c>
      <c r="O374" s="1" t="n">
        <v>7</v>
      </c>
      <c r="P374" s="1" t="s">
        <v>1279</v>
      </c>
      <c r="Q374" s="1" t="n">
        <v>7</v>
      </c>
      <c r="R374" s="1" t="s">
        <v>1280</v>
      </c>
      <c r="S374" s="1" t="n">
        <v>20251126185747</v>
      </c>
      <c r="T374" s="2" t="s">
        <v>1281</v>
      </c>
      <c r="U374" s="2" t="s">
        <v>1281</v>
      </c>
      <c r="X374" s="2" t="n">
        <v>267897</v>
      </c>
      <c r="Y374" s="1" t="n">
        <v>1.7</v>
      </c>
      <c r="Z374" s="1" t="n">
        <v>1</v>
      </c>
      <c r="AA374" s="9" t="s">
        <v>475</v>
      </c>
    </row>
    <row r="375" customFormat="false" ht="18.7" hidden="false" customHeight="true" outlineLevel="0" collapsed="false">
      <c r="A375" s="1" t="n">
        <v>374</v>
      </c>
      <c r="B375" s="7" t="str">
        <f aca="false">HYPERLINK("https://mncourtfraud.com/file/27-CR-22-8126.pdf","27-CR-22-8126")</f>
        <v>27-CR-22-8126</v>
      </c>
      <c r="C375" s="1" t="n">
        <v>1</v>
      </c>
      <c r="D375" s="2" t="s">
        <v>12</v>
      </c>
      <c r="E375" s="8" t="n">
        <v>45048</v>
      </c>
      <c r="F375" s="2" t="s">
        <v>80</v>
      </c>
      <c r="G375" s="7" t="str">
        <f aca="false">HYPERLINK("https://mncourtfraud.com/file/MCRO_27-CR-22-8126_Finding of Incompetency and Order_2023-05-02_20251126185621.pdf","MCRO_27-CR-22-8126_Finding of Incompetency and Order_2023-05-02_20251126185621.pdf")</f>
        <v>MCRO_27-CR-22-8126_Finding of Incompetency and Order_2023-05-02_20251126185621.pdf</v>
      </c>
      <c r="H375" s="2" t="s">
        <v>644</v>
      </c>
      <c r="I375" s="2" t="s">
        <v>644</v>
      </c>
      <c r="J375" s="2" t="s">
        <v>519</v>
      </c>
      <c r="K375" s="2" t="s">
        <v>520</v>
      </c>
      <c r="L375" s="2" t="s">
        <v>469</v>
      </c>
      <c r="M375" s="8" t="n">
        <v>45048</v>
      </c>
      <c r="N375" s="1" t="s">
        <v>645</v>
      </c>
      <c r="O375" s="1" t="n">
        <v>0</v>
      </c>
      <c r="P375" s="1" t="s">
        <v>646</v>
      </c>
      <c r="Q375" s="1" t="n">
        <v>0</v>
      </c>
      <c r="R375" s="1" t="s">
        <v>1282</v>
      </c>
      <c r="S375" s="1" t="n">
        <v>20251126185621</v>
      </c>
      <c r="T375" s="2" t="s">
        <v>648</v>
      </c>
      <c r="U375" s="2" t="s">
        <v>649</v>
      </c>
      <c r="W375" s="2" t="s">
        <v>650</v>
      </c>
      <c r="X375" s="2" t="n">
        <v>976543</v>
      </c>
      <c r="Y375" s="1" t="n">
        <v>1.7</v>
      </c>
      <c r="Z375" s="1" t="n">
        <v>6</v>
      </c>
      <c r="AA375" s="9" t="s">
        <v>475</v>
      </c>
    </row>
    <row r="376" customFormat="false" ht="18.7" hidden="false" customHeight="true" outlineLevel="0" collapsed="false">
      <c r="A376" s="1" t="n">
        <v>375</v>
      </c>
      <c r="B376" s="7" t="str">
        <f aca="false">HYPERLINK("https://mncourtfraud.com/file/27-CR-22-8126.pdf","27-CR-22-8126")</f>
        <v>27-CR-22-8126</v>
      </c>
      <c r="C376" s="1" t="n">
        <v>1</v>
      </c>
      <c r="D376" s="2" t="s">
        <v>12</v>
      </c>
      <c r="E376" s="8" t="n">
        <v>45093</v>
      </c>
      <c r="F376" s="2" t="s">
        <v>82</v>
      </c>
      <c r="G376" s="7" t="str">
        <f aca="false">HYPERLINK("https://mncourtfraud.com/file/MCRO_27-CR-22-8126_Notice of Case Reassignment_2023-06-16_20251126185641.pdf","MCRO_27-CR-22-8126_Notice of Case Reassignment_2023-06-16_20251126185641.pdf")</f>
        <v>MCRO_27-CR-22-8126_Notice of Case Reassignment_2023-06-16_20251126185641.pdf</v>
      </c>
      <c r="H376" s="2" t="s">
        <v>651</v>
      </c>
      <c r="I376" s="2" t="s">
        <v>651</v>
      </c>
      <c r="J376" s="2" t="s">
        <v>535</v>
      </c>
      <c r="K376" s="2" t="s">
        <v>652</v>
      </c>
      <c r="L376" s="2" t="s">
        <v>469</v>
      </c>
      <c r="M376" s="8" t="n">
        <v>45093</v>
      </c>
      <c r="N376" s="1" t="s">
        <v>1001</v>
      </c>
      <c r="O376" s="1" t="n">
        <v>5</v>
      </c>
      <c r="P376" s="1" t="s">
        <v>1001</v>
      </c>
      <c r="Q376" s="1" t="n">
        <v>5</v>
      </c>
      <c r="R376" s="1" t="s">
        <v>1283</v>
      </c>
      <c r="S376" s="1" t="n">
        <v>20251126185641</v>
      </c>
      <c r="T376" s="2" t="s">
        <v>1284</v>
      </c>
      <c r="U376" s="2" t="s">
        <v>1285</v>
      </c>
      <c r="W376" s="2" t="s">
        <v>657</v>
      </c>
      <c r="X376" s="2" t="n">
        <v>113628</v>
      </c>
      <c r="Y376" s="1" t="n">
        <v>1.6</v>
      </c>
      <c r="Z376" s="1" t="n">
        <v>1</v>
      </c>
    </row>
    <row r="377" customFormat="false" ht="18.7" hidden="false" customHeight="true" outlineLevel="0" collapsed="false">
      <c r="A377" s="1" t="n">
        <v>376</v>
      </c>
      <c r="B377" s="7" t="str">
        <f aca="false">HYPERLINK("https://mncourtfraud.com/file/27-CR-22-8126.pdf","27-CR-22-8126")</f>
        <v>27-CR-22-8126</v>
      </c>
      <c r="C377" s="1" t="n">
        <v>1</v>
      </c>
      <c r="D377" s="2" t="s">
        <v>12</v>
      </c>
      <c r="E377" s="8" t="n">
        <v>45160</v>
      </c>
      <c r="F377" s="2" t="s">
        <v>15</v>
      </c>
      <c r="G377" s="7" t="str">
        <f aca="false">HYPERLINK("https://mncourtfraud.com/file/MCRO_27-CR-22-8126_Order-Evaluation for Competency to Proceed (Rule 20.01)_2023-08-22_20251126185711.pdf","MCRO_27-CR-22-8126_Order-Evaluation for Competency to Proceed (Rule 20.01)_2023-08-22_20251126185711.pdf")</f>
        <v>MCRO_27-CR-22-8126_Order-Evaluation for Competency to Proceed (Rule 20.01)_2023-08-22_20251126185711.pdf</v>
      </c>
      <c r="H377" s="2" t="s">
        <v>658</v>
      </c>
      <c r="I377" s="2" t="s">
        <v>659</v>
      </c>
      <c r="J377" s="2" t="s">
        <v>519</v>
      </c>
      <c r="K377" s="2" t="s">
        <v>520</v>
      </c>
      <c r="L377" s="2" t="s">
        <v>469</v>
      </c>
      <c r="M377" s="8" t="n">
        <v>45160</v>
      </c>
      <c r="N377" s="1" t="s">
        <v>660</v>
      </c>
      <c r="O377" s="1" t="n">
        <v>0</v>
      </c>
      <c r="P377" s="1" t="s">
        <v>661</v>
      </c>
      <c r="Q377" s="1" t="n">
        <v>0</v>
      </c>
      <c r="R377" s="1" t="s">
        <v>1286</v>
      </c>
      <c r="S377" s="1" t="n">
        <v>20251126185711</v>
      </c>
      <c r="T377" s="2" t="s">
        <v>663</v>
      </c>
      <c r="U377" s="2" t="s">
        <v>664</v>
      </c>
      <c r="X377" s="2" t="n">
        <v>876400</v>
      </c>
      <c r="Y377" s="1" t="n">
        <v>1.7</v>
      </c>
      <c r="Z377" s="1" t="n">
        <v>2</v>
      </c>
      <c r="AA377" s="9" t="s">
        <v>475</v>
      </c>
    </row>
    <row r="378" customFormat="false" ht="18.7" hidden="false" customHeight="true" outlineLevel="0" collapsed="false">
      <c r="A378" s="1" t="n">
        <v>377</v>
      </c>
      <c r="B378" s="7" t="str">
        <f aca="false">HYPERLINK("https://mncourtfraud.com/file/27-CR-22-8126.pdf","27-CR-22-8126")</f>
        <v>27-CR-22-8126</v>
      </c>
      <c r="C378" s="1" t="n">
        <v>1</v>
      </c>
      <c r="D378" s="2" t="s">
        <v>12</v>
      </c>
      <c r="E378" s="8" t="n">
        <v>45412</v>
      </c>
      <c r="F378" s="2" t="s">
        <v>24</v>
      </c>
      <c r="G378" s="7" t="str">
        <f aca="false">HYPERLINK("https://mncourtfraud.com/file/MCRO_27-CR-22-8126_Order for Conditional Release_2024-04-30_20251126185651.pdf","MCRO_27-CR-22-8126_Order for Conditional Release_2024-04-30_20251126185651.pdf")</f>
        <v>MCRO_27-CR-22-8126_Order for Conditional Release_2024-04-30_20251126185651.pdf</v>
      </c>
      <c r="I378" s="2" t="s">
        <v>481</v>
      </c>
      <c r="J378" s="2" t="s">
        <v>481</v>
      </c>
      <c r="K378" s="2" t="s">
        <v>482</v>
      </c>
      <c r="L378" s="2" t="s">
        <v>469</v>
      </c>
      <c r="M378" s="8" t="n">
        <v>45412</v>
      </c>
      <c r="N378" s="1" t="s">
        <v>665</v>
      </c>
      <c r="O378" s="1" t="n">
        <v>0</v>
      </c>
      <c r="P378" s="1" t="s">
        <v>665</v>
      </c>
      <c r="Q378" s="1" t="n">
        <v>0</v>
      </c>
      <c r="R378" s="1" t="s">
        <v>1287</v>
      </c>
      <c r="S378" s="1" t="n">
        <v>20251126185651</v>
      </c>
      <c r="T378" s="2" t="s">
        <v>667</v>
      </c>
      <c r="U378" s="2" t="s">
        <v>668</v>
      </c>
      <c r="X378" s="2" t="n">
        <v>150533</v>
      </c>
      <c r="Y378" s="1" t="n">
        <v>1.5</v>
      </c>
      <c r="Z378" s="1" t="n">
        <v>2</v>
      </c>
    </row>
    <row r="379" customFormat="false" ht="18.7" hidden="false" customHeight="true" outlineLevel="0" collapsed="false">
      <c r="A379" s="1" t="n">
        <v>378</v>
      </c>
      <c r="B379" s="7" t="str">
        <f aca="false">HYPERLINK("https://mncourtfraud.com/file/27-CR-22-8126.pdf","27-CR-22-8126")</f>
        <v>27-CR-22-8126</v>
      </c>
      <c r="C379" s="1" t="n">
        <v>1</v>
      </c>
      <c r="D379" s="2" t="s">
        <v>12</v>
      </c>
      <c r="E379" s="8" t="n">
        <v>45412</v>
      </c>
      <c r="F379" s="2" t="s">
        <v>15</v>
      </c>
      <c r="G379" s="7" t="str">
        <f aca="false">HYPERLINK("https://mncourtfraud.com/file/MCRO_27-CR-22-8126_Order-Evaluation for Competency to Proceed (Rule 20.01)_2024-04-30_20251126185722.pdf","MCRO_27-CR-22-8126_Order-Evaluation for Competency to Proceed (Rule 20.01)_2024-04-30_20251126185722.pdf")</f>
        <v>MCRO_27-CR-22-8126_Order-Evaluation for Competency to Proceed (Rule 20.01)_2024-04-30_20251126185722.pdf</v>
      </c>
      <c r="I379" s="2" t="s">
        <v>481</v>
      </c>
      <c r="J379" s="2" t="s">
        <v>481</v>
      </c>
      <c r="K379" s="2" t="s">
        <v>482</v>
      </c>
      <c r="L379" s="2" t="s">
        <v>469</v>
      </c>
      <c r="M379" s="8" t="n">
        <v>45412</v>
      </c>
      <c r="N379" s="1" t="s">
        <v>665</v>
      </c>
      <c r="O379" s="1" t="n">
        <v>0</v>
      </c>
      <c r="P379" s="1" t="s">
        <v>665</v>
      </c>
      <c r="Q379" s="1" t="n">
        <v>0</v>
      </c>
      <c r="R379" s="1" t="s">
        <v>1288</v>
      </c>
      <c r="S379" s="1" t="n">
        <v>20251126185722</v>
      </c>
      <c r="T379" s="2" t="s">
        <v>670</v>
      </c>
      <c r="U379" s="2" t="s">
        <v>671</v>
      </c>
      <c r="X379" s="2" t="n">
        <v>219523</v>
      </c>
      <c r="Y379" s="1" t="n">
        <v>1.5</v>
      </c>
      <c r="Z379" s="1" t="n">
        <v>3</v>
      </c>
    </row>
    <row r="380" customFormat="false" ht="18.7" hidden="false" customHeight="true" outlineLevel="0" collapsed="false">
      <c r="A380" s="1" t="n">
        <v>379</v>
      </c>
      <c r="B380" s="7" t="str">
        <f aca="false">HYPERLINK("https://mncourtfraud.com/file/27-CR-22-8226.pdf","27-CR-22-8226")</f>
        <v>27-CR-22-8226</v>
      </c>
      <c r="C380" s="1" t="n">
        <v>5</v>
      </c>
      <c r="D380" s="2" t="s">
        <v>267</v>
      </c>
      <c r="E380" s="8" t="n">
        <v>44837</v>
      </c>
      <c r="F380" s="2" t="s">
        <v>17</v>
      </c>
      <c r="G380" s="7" t="str">
        <f aca="false">HYPERLINK("https://mncourtfraud.com/file/MCRO_27-CR-22-8226_Returned Mail_2022-10-03_20251126170634.pdf","MCRO_27-CR-22-8226_Returned Mail_2022-10-03_20251126170634.pdf")</f>
        <v>MCRO_27-CR-22-8226_Returned Mail_2022-10-03_20251126170634.pdf</v>
      </c>
      <c r="I380" s="2" t="s">
        <v>1044</v>
      </c>
      <c r="J380" s="2" t="s">
        <v>1044</v>
      </c>
      <c r="K380" s="2" t="s">
        <v>1045</v>
      </c>
      <c r="L380" s="2" t="s">
        <v>469</v>
      </c>
      <c r="M380" s="8" t="n">
        <v>44837</v>
      </c>
      <c r="N380" s="1" t="s">
        <v>1046</v>
      </c>
      <c r="O380" s="1" t="n">
        <v>3</v>
      </c>
      <c r="P380" s="1" t="s">
        <v>1047</v>
      </c>
      <c r="Q380" s="1" t="n">
        <v>3</v>
      </c>
      <c r="R380" s="1" t="s">
        <v>1289</v>
      </c>
      <c r="S380" s="1" t="n">
        <v>20251126170634</v>
      </c>
      <c r="T380" s="2" t="s">
        <v>1049</v>
      </c>
      <c r="U380" s="2" t="s">
        <v>1050</v>
      </c>
      <c r="X380" s="2" t="n">
        <v>381219</v>
      </c>
      <c r="Y380" s="1" t="n">
        <v>1.6</v>
      </c>
      <c r="Z380" s="1" t="n">
        <v>1</v>
      </c>
    </row>
    <row r="381" customFormat="false" ht="18.7" hidden="false" customHeight="true" outlineLevel="0" collapsed="false">
      <c r="A381" s="1" t="n">
        <v>380</v>
      </c>
      <c r="B381" s="7" t="str">
        <f aca="false">HYPERLINK("https://mncourtfraud.com/file/27-CR-22-8226.pdf","27-CR-22-8226")</f>
        <v>27-CR-22-8226</v>
      </c>
      <c r="C381" s="1" t="n">
        <v>5</v>
      </c>
      <c r="D381" s="2" t="s">
        <v>267</v>
      </c>
      <c r="E381" s="8" t="n">
        <v>44873</v>
      </c>
      <c r="F381" s="2" t="s">
        <v>15</v>
      </c>
      <c r="G381" s="7" t="str">
        <f aca="false">HYPERLINK("https://mncourtfraud.com/file/MCRO_27-CR-22-8226_Order-Evaluation for Competency to Proceed (Rule 20.01)_2022-11-08_20251126170603.pdf","MCRO_27-CR-22-8226_Order-Evaluation for Competency to Proceed (Rule 20.01)_2022-11-08_20251126170603.pdf")</f>
        <v>MCRO_27-CR-22-8226_Order-Evaluation for Competency to Proceed (Rule 20.01)_2022-11-08_20251126170603.pdf</v>
      </c>
      <c r="I381" s="2" t="s">
        <v>1051</v>
      </c>
      <c r="J381" s="2" t="s">
        <v>1051</v>
      </c>
      <c r="K381" s="2" t="s">
        <v>1052</v>
      </c>
      <c r="L381" s="2" t="s">
        <v>469</v>
      </c>
      <c r="M381" s="8" t="n">
        <v>44873</v>
      </c>
      <c r="N381" s="1" t="s">
        <v>1053</v>
      </c>
      <c r="O381" s="1" t="n">
        <v>2</v>
      </c>
      <c r="P381" s="1" t="s">
        <v>1054</v>
      </c>
      <c r="Q381" s="1" t="n">
        <v>2</v>
      </c>
      <c r="R381" s="1" t="s">
        <v>1290</v>
      </c>
      <c r="S381" s="1" t="n">
        <v>20251126170603</v>
      </c>
      <c r="T381" s="2" t="s">
        <v>1056</v>
      </c>
      <c r="U381" s="2" t="s">
        <v>1057</v>
      </c>
      <c r="X381" s="2" t="n">
        <v>846098</v>
      </c>
      <c r="Y381" s="1" t="n">
        <v>1.6</v>
      </c>
      <c r="Z381" s="1" t="n">
        <v>3</v>
      </c>
    </row>
    <row r="382" customFormat="false" ht="18.7" hidden="false" customHeight="true" outlineLevel="0" collapsed="false">
      <c r="A382" s="1" t="n">
        <v>381</v>
      </c>
      <c r="B382" s="7" t="str">
        <f aca="false">HYPERLINK("https://mncourtfraud.com/file/27-CR-22-8226.pdf","27-CR-22-8226")</f>
        <v>27-CR-22-8226</v>
      </c>
      <c r="C382" s="1" t="n">
        <v>5</v>
      </c>
      <c r="D382" s="2" t="s">
        <v>267</v>
      </c>
      <c r="E382" s="8" t="n">
        <v>45023</v>
      </c>
      <c r="F382" s="2" t="s">
        <v>15</v>
      </c>
      <c r="G382" s="7" t="str">
        <f aca="false">HYPERLINK("https://mncourtfraud.com/file/MCRO_27-CR-22-8226_Order-Evaluation for Competency to Proceed (Rule 20.01)_2023-04-07_20251126170613.pdf","MCRO_27-CR-22-8226_Order-Evaluation for Competency to Proceed (Rule 20.01)_2023-04-07_20251126170613.pdf")</f>
        <v>MCRO_27-CR-22-8226_Order-Evaluation for Competency to Proceed (Rule 20.01)_2023-04-07_20251126170613.pdf</v>
      </c>
      <c r="J382" s="2" t="s">
        <v>498</v>
      </c>
      <c r="K382" s="2" t="s">
        <v>499</v>
      </c>
      <c r="L382" s="2" t="s">
        <v>469</v>
      </c>
      <c r="M382" s="8" t="n">
        <v>45023</v>
      </c>
      <c r="N382" s="1" t="s">
        <v>1291</v>
      </c>
      <c r="O382" s="1" t="n">
        <v>0</v>
      </c>
      <c r="P382" s="1" t="s">
        <v>1291</v>
      </c>
      <c r="Q382" s="1" t="n">
        <v>0</v>
      </c>
      <c r="R382" s="1" t="s">
        <v>1292</v>
      </c>
      <c r="S382" s="1" t="n">
        <v>20251126170613</v>
      </c>
      <c r="T382" s="2" t="s">
        <v>1293</v>
      </c>
      <c r="U382" s="2" t="s">
        <v>1293</v>
      </c>
      <c r="X382" s="2" t="n">
        <v>1126063</v>
      </c>
      <c r="Y382" s="1" t="n">
        <v>1.7</v>
      </c>
      <c r="Z382" s="1" t="n">
        <v>2</v>
      </c>
      <c r="AA382" s="9" t="s">
        <v>475</v>
      </c>
    </row>
    <row r="383" customFormat="false" ht="18.7" hidden="false" customHeight="true" outlineLevel="0" collapsed="false">
      <c r="A383" s="1" t="n">
        <v>382</v>
      </c>
      <c r="B383" s="7" t="str">
        <f aca="false">HYPERLINK("https://mncourtfraud.com/file/27-CR-22-8226.pdf","27-CR-22-8226")</f>
        <v>27-CR-22-8226</v>
      </c>
      <c r="C383" s="1" t="n">
        <v>5</v>
      </c>
      <c r="D383" s="2" t="s">
        <v>267</v>
      </c>
      <c r="E383" s="8" t="n">
        <v>45194</v>
      </c>
      <c r="F383" s="2" t="s">
        <v>15</v>
      </c>
      <c r="G383" s="7" t="str">
        <f aca="false">HYPERLINK("https://mncourtfraud.com/file/MCRO_27-CR-22-8226_Order-Evaluation for Competency to Proceed (Rule 20.01)_2023-09-25_20251126170623.pdf","MCRO_27-CR-22-8226_Order-Evaluation for Competency to Proceed (Rule 20.01)_2023-09-25_20251126170623.pdf")</f>
        <v>MCRO_27-CR-22-8226_Order-Evaluation for Competency to Proceed (Rule 20.01)_2023-09-25_20251126170623.pdf</v>
      </c>
      <c r="I383" s="2" t="s">
        <v>481</v>
      </c>
      <c r="J383" s="2" t="s">
        <v>481</v>
      </c>
      <c r="K383" s="2" t="s">
        <v>482</v>
      </c>
      <c r="L383" s="2" t="s">
        <v>469</v>
      </c>
      <c r="M383" s="8" t="n">
        <v>45194</v>
      </c>
      <c r="N383" s="1" t="s">
        <v>1061</v>
      </c>
      <c r="O383" s="1" t="n">
        <v>0</v>
      </c>
      <c r="P383" s="1" t="s">
        <v>1061</v>
      </c>
      <c r="Q383" s="1" t="n">
        <v>0</v>
      </c>
      <c r="R383" s="1" t="s">
        <v>1294</v>
      </c>
      <c r="S383" s="1" t="n">
        <v>20251126170623</v>
      </c>
      <c r="T383" s="2" t="s">
        <v>1063</v>
      </c>
      <c r="U383" s="2" t="s">
        <v>1064</v>
      </c>
      <c r="X383" s="2" t="n">
        <v>166643</v>
      </c>
      <c r="Y383" s="1" t="n">
        <v>1.5</v>
      </c>
      <c r="Z383" s="1" t="n">
        <v>2</v>
      </c>
    </row>
    <row r="384" customFormat="false" ht="18.7" hidden="false" customHeight="true" outlineLevel="0" collapsed="false">
      <c r="A384" s="1" t="n">
        <v>383</v>
      </c>
      <c r="B384" s="7" t="str">
        <f aca="false">HYPERLINK("https://mncourtfraud.com/file/27-CR-22-8378.pdf","27-CR-22-8378")</f>
        <v>27-CR-22-8378</v>
      </c>
      <c r="C384" s="1" t="n">
        <v>1</v>
      </c>
      <c r="D384" s="2" t="s">
        <v>12</v>
      </c>
      <c r="E384" s="8" t="n">
        <v>44761</v>
      </c>
      <c r="F384" s="2" t="s">
        <v>15</v>
      </c>
      <c r="G384" s="7" t="str">
        <f aca="false">HYPERLINK("https://mncourtfraud.com/file/MCRO_27-CR-22-8378_Order-Evaluation for Competency to Proceed (Rule 20.01)_2022-07-19_20251126185857.pdf","MCRO_27-CR-22-8378_Order-Evaluation for Competency to Proceed (Rule 20.01)_2022-07-19_20251126185857.pdf")</f>
        <v>MCRO_27-CR-22-8378_Order-Evaluation for Competency to Proceed (Rule 20.01)_2022-07-19_20251126185857.pdf</v>
      </c>
      <c r="I384" s="2" t="s">
        <v>1181</v>
      </c>
      <c r="J384" s="2" t="s">
        <v>1181</v>
      </c>
      <c r="K384" s="2" t="s">
        <v>1182</v>
      </c>
      <c r="L384" s="2" t="s">
        <v>469</v>
      </c>
      <c r="M384" s="8" t="n">
        <v>44761</v>
      </c>
      <c r="N384" s="1" t="s">
        <v>1183</v>
      </c>
      <c r="O384" s="1" t="n">
        <v>0</v>
      </c>
      <c r="P384" s="1" t="s">
        <v>1184</v>
      </c>
      <c r="Q384" s="1" t="n">
        <v>0</v>
      </c>
      <c r="R384" s="1" t="s">
        <v>1295</v>
      </c>
      <c r="S384" s="1" t="n">
        <v>20251126185857</v>
      </c>
      <c r="T384" s="2" t="s">
        <v>1186</v>
      </c>
      <c r="U384" s="2" t="s">
        <v>1187</v>
      </c>
      <c r="X384" s="2" t="n">
        <v>220514</v>
      </c>
      <c r="Y384" s="1" t="n">
        <v>1.6</v>
      </c>
      <c r="Z384" s="1" t="n">
        <v>2</v>
      </c>
    </row>
    <row r="385" customFormat="false" ht="18.7" hidden="false" customHeight="true" outlineLevel="0" collapsed="false">
      <c r="A385" s="1" t="n">
        <v>384</v>
      </c>
      <c r="B385" s="7" t="str">
        <f aca="false">HYPERLINK("https://mncourtfraud.com/file/27-CR-22-8378.pdf","27-CR-22-8378")</f>
        <v>27-CR-22-8378</v>
      </c>
      <c r="C385" s="1" t="n">
        <v>1</v>
      </c>
      <c r="D385" s="2" t="s">
        <v>12</v>
      </c>
      <c r="E385" s="8" t="n">
        <v>44895</v>
      </c>
      <c r="F385" s="2" t="s">
        <v>15</v>
      </c>
      <c r="G385" s="7" t="str">
        <f aca="false">HYPERLINK("https://mncourtfraud.com/file/MCRO_27-CR-22-8378_Order-Evaluation for Competency to Proceed (Rule 20.01)_2022-11-30_20251126185908.pdf","MCRO_27-CR-22-8378_Order-Evaluation for Competency to Proceed (Rule 20.01)_2022-11-30_20251126185908.pdf")</f>
        <v>MCRO_27-CR-22-8378_Order-Evaluation for Competency to Proceed (Rule 20.01)_2022-11-30_20251126185908.pdf</v>
      </c>
      <c r="H385" s="2" t="s">
        <v>543</v>
      </c>
      <c r="I385" s="2" t="s">
        <v>544</v>
      </c>
      <c r="J385" s="2" t="s">
        <v>519</v>
      </c>
      <c r="K385" s="2" t="s">
        <v>520</v>
      </c>
      <c r="L385" s="2" t="s">
        <v>469</v>
      </c>
      <c r="M385" s="8" t="n">
        <v>44895</v>
      </c>
      <c r="N385" s="1" t="s">
        <v>545</v>
      </c>
      <c r="O385" s="1" t="n">
        <v>0</v>
      </c>
      <c r="P385" s="1" t="s">
        <v>546</v>
      </c>
      <c r="Q385" s="1" t="n">
        <v>0</v>
      </c>
      <c r="R385" s="1" t="s">
        <v>1296</v>
      </c>
      <c r="S385" s="1" t="n">
        <v>20251126185908</v>
      </c>
      <c r="T385" s="2" t="s">
        <v>548</v>
      </c>
      <c r="U385" s="2" t="s">
        <v>549</v>
      </c>
      <c r="X385" s="2" t="n">
        <v>816998</v>
      </c>
      <c r="Y385" s="1" t="n">
        <v>1.7</v>
      </c>
      <c r="Z385" s="1" t="n">
        <v>2</v>
      </c>
      <c r="AA385" s="9" t="s">
        <v>475</v>
      </c>
    </row>
    <row r="386" customFormat="false" ht="18.7" hidden="false" customHeight="true" outlineLevel="0" collapsed="false">
      <c r="A386" s="1" t="n">
        <v>385</v>
      </c>
      <c r="B386" s="7" t="str">
        <f aca="false">HYPERLINK("https://mncourtfraud.com/file/27-CR-22-8378.pdf","27-CR-22-8378")</f>
        <v>27-CR-22-8378</v>
      </c>
      <c r="C386" s="1" t="n">
        <v>1</v>
      </c>
      <c r="D386" s="2" t="s">
        <v>12</v>
      </c>
      <c r="E386" s="8" t="n">
        <v>45048</v>
      </c>
      <c r="F386" s="2" t="s">
        <v>80</v>
      </c>
      <c r="G386" s="7" t="str">
        <f aca="false">HYPERLINK("https://mncourtfraud.com/file/MCRO_27-CR-22-8378_Finding of Incompetency and Order_2023-05-02_20251126185812.pdf","MCRO_27-CR-22-8378_Finding of Incompetency and Order_2023-05-02_20251126185812.pdf")</f>
        <v>MCRO_27-CR-22-8378_Finding of Incompetency and Order_2023-05-02_20251126185812.pdf</v>
      </c>
      <c r="H386" s="2" t="s">
        <v>644</v>
      </c>
      <c r="I386" s="2" t="s">
        <v>644</v>
      </c>
      <c r="J386" s="2" t="s">
        <v>519</v>
      </c>
      <c r="K386" s="2" t="s">
        <v>520</v>
      </c>
      <c r="L386" s="2" t="s">
        <v>469</v>
      </c>
      <c r="M386" s="8" t="n">
        <v>45048</v>
      </c>
      <c r="N386" s="1" t="s">
        <v>645</v>
      </c>
      <c r="O386" s="1" t="n">
        <v>0</v>
      </c>
      <c r="P386" s="1" t="s">
        <v>646</v>
      </c>
      <c r="Q386" s="1" t="n">
        <v>0</v>
      </c>
      <c r="R386" s="1" t="s">
        <v>1297</v>
      </c>
      <c r="S386" s="1" t="n">
        <v>20251126185812</v>
      </c>
      <c r="T386" s="2" t="s">
        <v>648</v>
      </c>
      <c r="U386" s="2" t="s">
        <v>649</v>
      </c>
      <c r="W386" s="2" t="s">
        <v>650</v>
      </c>
      <c r="X386" s="2" t="n">
        <v>976548</v>
      </c>
      <c r="Y386" s="1" t="n">
        <v>1.7</v>
      </c>
      <c r="Z386" s="1" t="n">
        <v>6</v>
      </c>
      <c r="AA386" s="9" t="s">
        <v>475</v>
      </c>
    </row>
    <row r="387" customFormat="false" ht="18.7" hidden="false" customHeight="true" outlineLevel="0" collapsed="false">
      <c r="A387" s="1" t="n">
        <v>386</v>
      </c>
      <c r="B387" s="7" t="str">
        <f aca="false">HYPERLINK("https://mncourtfraud.com/file/27-CR-22-8378.pdf","27-CR-22-8378")</f>
        <v>27-CR-22-8378</v>
      </c>
      <c r="C387" s="1" t="n">
        <v>1</v>
      </c>
      <c r="D387" s="2" t="s">
        <v>12</v>
      </c>
      <c r="E387" s="8" t="n">
        <v>45093</v>
      </c>
      <c r="F387" s="2" t="s">
        <v>82</v>
      </c>
      <c r="G387" s="7" t="str">
        <f aca="false">HYPERLINK("https://mncourtfraud.com/file/MCRO_27-CR-22-8378_Notice of Case Reassignment_2023-06-16_20251126185824.pdf","MCRO_27-CR-22-8378_Notice of Case Reassignment_2023-06-16_20251126185824.pdf")</f>
        <v>MCRO_27-CR-22-8378_Notice of Case Reassignment_2023-06-16_20251126185824.pdf</v>
      </c>
      <c r="H387" s="2" t="s">
        <v>651</v>
      </c>
      <c r="I387" s="2" t="s">
        <v>651</v>
      </c>
      <c r="J387" s="2" t="s">
        <v>535</v>
      </c>
      <c r="K387" s="2" t="s">
        <v>652</v>
      </c>
      <c r="L387" s="2" t="s">
        <v>469</v>
      </c>
      <c r="M387" s="8" t="n">
        <v>45093</v>
      </c>
      <c r="N387" s="1" t="s">
        <v>1001</v>
      </c>
      <c r="O387" s="1" t="n">
        <v>5</v>
      </c>
      <c r="P387" s="1" t="s">
        <v>1001</v>
      </c>
      <c r="Q387" s="1" t="n">
        <v>5</v>
      </c>
      <c r="R387" s="1" t="s">
        <v>1298</v>
      </c>
      <c r="S387" s="1" t="n">
        <v>20251126185824</v>
      </c>
      <c r="T387" s="2" t="s">
        <v>1299</v>
      </c>
      <c r="U387" s="2" t="s">
        <v>1300</v>
      </c>
      <c r="W387" s="2" t="s">
        <v>657</v>
      </c>
      <c r="X387" s="2" t="n">
        <v>113628</v>
      </c>
      <c r="Y387" s="1" t="n">
        <v>1.6</v>
      </c>
      <c r="Z387" s="1" t="n">
        <v>1</v>
      </c>
    </row>
    <row r="388" customFormat="false" ht="18.7" hidden="false" customHeight="true" outlineLevel="0" collapsed="false">
      <c r="A388" s="1" t="n">
        <v>387</v>
      </c>
      <c r="B388" s="7" t="str">
        <f aca="false">HYPERLINK("https://mncourtfraud.com/file/27-CR-22-8378.pdf","27-CR-22-8378")</f>
        <v>27-CR-22-8378</v>
      </c>
      <c r="C388" s="1" t="n">
        <v>1</v>
      </c>
      <c r="D388" s="2" t="s">
        <v>12</v>
      </c>
      <c r="E388" s="8" t="n">
        <v>45160</v>
      </c>
      <c r="F388" s="2" t="s">
        <v>15</v>
      </c>
      <c r="G388" s="7" t="str">
        <f aca="false">HYPERLINK("https://mncourtfraud.com/file/MCRO_27-CR-22-8378_Order-Evaluation for Competency to Proceed (Rule 20.01)_2023-08-22_20251126185920.pdf","MCRO_27-CR-22-8378_Order-Evaluation for Competency to Proceed (Rule 20.01)_2023-08-22_20251126185920.pdf")</f>
        <v>MCRO_27-CR-22-8378_Order-Evaluation for Competency to Proceed (Rule 20.01)_2023-08-22_20251126185920.pdf</v>
      </c>
      <c r="H388" s="2" t="s">
        <v>658</v>
      </c>
      <c r="I388" s="2" t="s">
        <v>659</v>
      </c>
      <c r="J388" s="2" t="s">
        <v>519</v>
      </c>
      <c r="K388" s="2" t="s">
        <v>520</v>
      </c>
      <c r="L388" s="2" t="s">
        <v>469</v>
      </c>
      <c r="M388" s="8" t="n">
        <v>45160</v>
      </c>
      <c r="N388" s="1" t="s">
        <v>660</v>
      </c>
      <c r="O388" s="1" t="n">
        <v>0</v>
      </c>
      <c r="P388" s="1" t="s">
        <v>661</v>
      </c>
      <c r="Q388" s="1" t="n">
        <v>0</v>
      </c>
      <c r="R388" s="1" t="s">
        <v>1301</v>
      </c>
      <c r="S388" s="1" t="n">
        <v>20251126185920</v>
      </c>
      <c r="T388" s="2" t="s">
        <v>663</v>
      </c>
      <c r="U388" s="2" t="s">
        <v>664</v>
      </c>
      <c r="X388" s="2" t="n">
        <v>876402</v>
      </c>
      <c r="Y388" s="1" t="n">
        <v>1.7</v>
      </c>
      <c r="Z388" s="1" t="n">
        <v>2</v>
      </c>
      <c r="AA388" s="9" t="s">
        <v>475</v>
      </c>
    </row>
    <row r="389" customFormat="false" ht="18.7" hidden="false" customHeight="true" outlineLevel="0" collapsed="false">
      <c r="A389" s="1" t="n">
        <v>388</v>
      </c>
      <c r="B389" s="7" t="str">
        <f aca="false">HYPERLINK("https://mncourtfraud.com/file/27-CR-22-8378.pdf","27-CR-22-8378")</f>
        <v>27-CR-22-8378</v>
      </c>
      <c r="C389" s="1" t="n">
        <v>1</v>
      </c>
      <c r="D389" s="2" t="s">
        <v>12</v>
      </c>
      <c r="E389" s="8" t="n">
        <v>45412</v>
      </c>
      <c r="F389" s="2" t="s">
        <v>24</v>
      </c>
      <c r="G389" s="7" t="str">
        <f aca="false">HYPERLINK("https://mncourtfraud.com/file/MCRO_27-CR-22-8378_Order for Conditional Release_2024-04-30_20251126185838.pdf","MCRO_27-CR-22-8378_Order for Conditional Release_2024-04-30_20251126185838.pdf")</f>
        <v>MCRO_27-CR-22-8378_Order for Conditional Release_2024-04-30_20251126185838.pdf</v>
      </c>
      <c r="I389" s="2" t="s">
        <v>481</v>
      </c>
      <c r="J389" s="2" t="s">
        <v>481</v>
      </c>
      <c r="K389" s="2" t="s">
        <v>482</v>
      </c>
      <c r="L389" s="2" t="s">
        <v>469</v>
      </c>
      <c r="M389" s="8" t="n">
        <v>45412</v>
      </c>
      <c r="N389" s="1" t="s">
        <v>665</v>
      </c>
      <c r="O389" s="1" t="n">
        <v>0</v>
      </c>
      <c r="P389" s="1" t="s">
        <v>665</v>
      </c>
      <c r="Q389" s="1" t="n">
        <v>0</v>
      </c>
      <c r="R389" s="1" t="s">
        <v>1302</v>
      </c>
      <c r="S389" s="1" t="n">
        <v>20251126185838</v>
      </c>
      <c r="T389" s="2" t="s">
        <v>667</v>
      </c>
      <c r="U389" s="2" t="s">
        <v>668</v>
      </c>
      <c r="X389" s="2" t="n">
        <v>150532</v>
      </c>
      <c r="Y389" s="1" t="n">
        <v>1.5</v>
      </c>
      <c r="Z389" s="1" t="n">
        <v>2</v>
      </c>
    </row>
    <row r="390" customFormat="false" ht="18.7" hidden="false" customHeight="true" outlineLevel="0" collapsed="false">
      <c r="A390" s="1" t="n">
        <v>389</v>
      </c>
      <c r="B390" s="7" t="str">
        <f aca="false">HYPERLINK("https://mncourtfraud.com/file/27-CR-22-8378.pdf","27-CR-22-8378")</f>
        <v>27-CR-22-8378</v>
      </c>
      <c r="C390" s="1" t="n">
        <v>1</v>
      </c>
      <c r="D390" s="2" t="s">
        <v>12</v>
      </c>
      <c r="E390" s="8" t="n">
        <v>45412</v>
      </c>
      <c r="F390" s="2" t="s">
        <v>15</v>
      </c>
      <c r="G390" s="7" t="str">
        <f aca="false">HYPERLINK("https://mncourtfraud.com/file/MCRO_27-CR-22-8378_Order-Evaluation for Competency to Proceed (Rule 20.01)_2024-04-30_20251126185849.pdf","MCRO_27-CR-22-8378_Order-Evaluation for Competency to Proceed (Rule 20.01)_2024-04-30_20251126185849.pdf")</f>
        <v>MCRO_27-CR-22-8378_Order-Evaluation for Competency to Proceed (Rule 20.01)_2024-04-30_20251126185849.pdf</v>
      </c>
      <c r="I390" s="2" t="s">
        <v>481</v>
      </c>
      <c r="J390" s="2" t="s">
        <v>481</v>
      </c>
      <c r="K390" s="2" t="s">
        <v>482</v>
      </c>
      <c r="L390" s="2" t="s">
        <v>469</v>
      </c>
      <c r="M390" s="8" t="n">
        <v>45412</v>
      </c>
      <c r="N390" s="1" t="s">
        <v>665</v>
      </c>
      <c r="O390" s="1" t="n">
        <v>0</v>
      </c>
      <c r="P390" s="1" t="s">
        <v>665</v>
      </c>
      <c r="Q390" s="1" t="n">
        <v>0</v>
      </c>
      <c r="R390" s="1" t="s">
        <v>1303</v>
      </c>
      <c r="S390" s="1" t="n">
        <v>20251126185849</v>
      </c>
      <c r="T390" s="2" t="s">
        <v>670</v>
      </c>
      <c r="U390" s="2" t="s">
        <v>671</v>
      </c>
      <c r="X390" s="2" t="n">
        <v>219518</v>
      </c>
      <c r="Y390" s="1" t="n">
        <v>1.5</v>
      </c>
      <c r="Z390" s="1" t="n">
        <v>3</v>
      </c>
    </row>
    <row r="391" customFormat="false" ht="18.7" hidden="false" customHeight="true" outlineLevel="0" collapsed="false">
      <c r="A391" s="1" t="n">
        <v>390</v>
      </c>
      <c r="B391" s="7" t="str">
        <f aca="false">HYPERLINK("https://mncourtfraud.com/file/27-CR-22-9930.pdf","27-CR-22-9930")</f>
        <v>27-CR-22-9930</v>
      </c>
      <c r="C391" s="1" t="n">
        <v>1</v>
      </c>
      <c r="D391" s="2" t="s">
        <v>12</v>
      </c>
      <c r="E391" s="8" t="n">
        <v>44761</v>
      </c>
      <c r="F391" s="2" t="s">
        <v>15</v>
      </c>
      <c r="G391" s="7" t="str">
        <f aca="false">HYPERLINK("https://mncourtfraud.com/file/MCRO_27-CR-22-9930_Order-Evaluation for Competency to Proceed (Rule 20.01)_2022-07-19_20251126190007.pdf","MCRO_27-CR-22-9930_Order-Evaluation for Competency to Proceed (Rule 20.01)_2022-07-19_20251126190007.pdf")</f>
        <v>MCRO_27-CR-22-9930_Order-Evaluation for Competency to Proceed (Rule 20.01)_2022-07-19_20251126190007.pdf</v>
      </c>
      <c r="I391" s="2" t="s">
        <v>1181</v>
      </c>
      <c r="J391" s="2" t="s">
        <v>1181</v>
      </c>
      <c r="K391" s="2" t="s">
        <v>1182</v>
      </c>
      <c r="L391" s="2" t="s">
        <v>469</v>
      </c>
      <c r="M391" s="8" t="n">
        <v>44761</v>
      </c>
      <c r="N391" s="1" t="s">
        <v>1183</v>
      </c>
      <c r="O391" s="1" t="n">
        <v>0</v>
      </c>
      <c r="P391" s="1" t="s">
        <v>1184</v>
      </c>
      <c r="Q391" s="1" t="n">
        <v>0</v>
      </c>
      <c r="R391" s="1" t="s">
        <v>1304</v>
      </c>
      <c r="S391" s="1" t="n">
        <v>20251126190007</v>
      </c>
      <c r="T391" s="2" t="s">
        <v>1186</v>
      </c>
      <c r="U391" s="2" t="s">
        <v>1187</v>
      </c>
      <c r="X391" s="2" t="n">
        <v>220514</v>
      </c>
      <c r="Y391" s="1" t="n">
        <v>1.6</v>
      </c>
      <c r="Z391" s="1" t="n">
        <v>2</v>
      </c>
    </row>
    <row r="392" customFormat="false" ht="18.7" hidden="false" customHeight="true" outlineLevel="0" collapsed="false">
      <c r="A392" s="1" t="n">
        <v>391</v>
      </c>
      <c r="B392" s="7" t="str">
        <f aca="false">HYPERLINK("https://mncourtfraud.com/file/27-CR-22-9930.pdf","27-CR-22-9930")</f>
        <v>27-CR-22-9930</v>
      </c>
      <c r="C392" s="1" t="n">
        <v>1</v>
      </c>
      <c r="D392" s="2" t="s">
        <v>12</v>
      </c>
      <c r="E392" s="8" t="n">
        <v>44895</v>
      </c>
      <c r="F392" s="2" t="s">
        <v>15</v>
      </c>
      <c r="G392" s="7" t="str">
        <f aca="false">HYPERLINK("https://mncourtfraud.com/file/MCRO_27-CR-22-9930_Order-Evaluation for Competency to Proceed (Rule 20.01)_2022-11-30_20251126185959.pdf","MCRO_27-CR-22-9930_Order-Evaluation for Competency to Proceed (Rule 20.01)_2022-11-30_20251126185959.pdf")</f>
        <v>MCRO_27-CR-22-9930_Order-Evaluation for Competency to Proceed (Rule 20.01)_2022-11-30_20251126185959.pdf</v>
      </c>
      <c r="H392" s="2" t="s">
        <v>543</v>
      </c>
      <c r="I392" s="2" t="s">
        <v>544</v>
      </c>
      <c r="J392" s="2" t="s">
        <v>519</v>
      </c>
      <c r="K392" s="2" t="s">
        <v>520</v>
      </c>
      <c r="L392" s="2" t="s">
        <v>469</v>
      </c>
      <c r="M392" s="8" t="n">
        <v>44895</v>
      </c>
      <c r="N392" s="1" t="s">
        <v>545</v>
      </c>
      <c r="O392" s="1" t="n">
        <v>0</v>
      </c>
      <c r="P392" s="1" t="s">
        <v>546</v>
      </c>
      <c r="Q392" s="1" t="n">
        <v>0</v>
      </c>
      <c r="R392" s="1" t="s">
        <v>1305</v>
      </c>
      <c r="S392" s="1" t="n">
        <v>20251126185959</v>
      </c>
      <c r="T392" s="2" t="s">
        <v>548</v>
      </c>
      <c r="U392" s="2" t="s">
        <v>549</v>
      </c>
      <c r="X392" s="2" t="n">
        <v>816997</v>
      </c>
      <c r="Y392" s="1" t="n">
        <v>1.7</v>
      </c>
      <c r="Z392" s="1" t="n">
        <v>2</v>
      </c>
      <c r="AA392" s="9" t="s">
        <v>475</v>
      </c>
    </row>
    <row r="393" customFormat="false" ht="18.7" hidden="false" customHeight="true" outlineLevel="0" collapsed="false">
      <c r="A393" s="1" t="n">
        <v>392</v>
      </c>
      <c r="B393" s="7" t="str">
        <f aca="false">HYPERLINK("https://mncourtfraud.com/file/27-CR-22-9930.pdf","27-CR-22-9930")</f>
        <v>27-CR-22-9930</v>
      </c>
      <c r="C393" s="1" t="n">
        <v>1</v>
      </c>
      <c r="D393" s="2" t="s">
        <v>12</v>
      </c>
      <c r="E393" s="8" t="n">
        <v>45048</v>
      </c>
      <c r="F393" s="2" t="s">
        <v>80</v>
      </c>
      <c r="G393" s="7" t="str">
        <f aca="false">HYPERLINK("https://mncourtfraud.com/file/MCRO_27-CR-22-9930_Finding of Incompetency and Order_2023-05-02_20251126185948.pdf","MCRO_27-CR-22-9930_Finding of Incompetency and Order_2023-05-02_20251126185948.pdf")</f>
        <v>MCRO_27-CR-22-9930_Finding of Incompetency and Order_2023-05-02_20251126185948.pdf</v>
      </c>
      <c r="H393" s="2" t="s">
        <v>644</v>
      </c>
      <c r="I393" s="2" t="s">
        <v>644</v>
      </c>
      <c r="J393" s="2" t="s">
        <v>519</v>
      </c>
      <c r="K393" s="2" t="s">
        <v>520</v>
      </c>
      <c r="L393" s="2" t="s">
        <v>469</v>
      </c>
      <c r="M393" s="8" t="n">
        <v>45048</v>
      </c>
      <c r="N393" s="1" t="s">
        <v>645</v>
      </c>
      <c r="O393" s="1" t="n">
        <v>0</v>
      </c>
      <c r="P393" s="1" t="s">
        <v>646</v>
      </c>
      <c r="Q393" s="1" t="n">
        <v>0</v>
      </c>
      <c r="R393" s="1" t="s">
        <v>1306</v>
      </c>
      <c r="S393" s="1" t="n">
        <v>20251126185948</v>
      </c>
      <c r="T393" s="2" t="s">
        <v>648</v>
      </c>
      <c r="U393" s="2" t="s">
        <v>649</v>
      </c>
      <c r="W393" s="2" t="s">
        <v>650</v>
      </c>
      <c r="X393" s="2" t="n">
        <v>976542</v>
      </c>
      <c r="Y393" s="1" t="n">
        <v>1.7</v>
      </c>
      <c r="Z393" s="1" t="n">
        <v>6</v>
      </c>
      <c r="AA393" s="9" t="s">
        <v>475</v>
      </c>
    </row>
    <row r="394" customFormat="false" ht="18.7" hidden="false" customHeight="true" outlineLevel="0" collapsed="false">
      <c r="A394" s="1" t="n">
        <v>393</v>
      </c>
      <c r="B394" s="7" t="str">
        <f aca="false">HYPERLINK("https://mncourtfraud.com/file/27-CR-23-1583.pdf","27-CR-23-1583")</f>
        <v>27-CR-23-1583</v>
      </c>
      <c r="C394" s="1" t="n">
        <v>1</v>
      </c>
      <c r="D394" s="2" t="s">
        <v>12</v>
      </c>
      <c r="E394" s="8" t="n">
        <v>45048</v>
      </c>
      <c r="F394" s="2" t="s">
        <v>80</v>
      </c>
      <c r="G394" s="7" t="str">
        <f aca="false">HYPERLINK("https://mncourtfraud.com/file/MCRO_27-CR-23-1583_Finding of Incompetency and Order_2023-05-02_20251126190033.pdf","MCRO_27-CR-23-1583_Finding of Incompetency and Order_2023-05-02_20251126190033.pdf")</f>
        <v>MCRO_27-CR-23-1583_Finding of Incompetency and Order_2023-05-02_20251126190033.pdf</v>
      </c>
      <c r="H394" s="2" t="s">
        <v>644</v>
      </c>
      <c r="I394" s="2" t="s">
        <v>644</v>
      </c>
      <c r="J394" s="2" t="s">
        <v>519</v>
      </c>
      <c r="K394" s="2" t="s">
        <v>520</v>
      </c>
      <c r="L394" s="2" t="s">
        <v>469</v>
      </c>
      <c r="M394" s="8" t="n">
        <v>45048</v>
      </c>
      <c r="N394" s="1" t="s">
        <v>645</v>
      </c>
      <c r="O394" s="1" t="n">
        <v>0</v>
      </c>
      <c r="P394" s="1" t="s">
        <v>646</v>
      </c>
      <c r="Q394" s="1" t="n">
        <v>0</v>
      </c>
      <c r="R394" s="1" t="s">
        <v>1307</v>
      </c>
      <c r="S394" s="1" t="n">
        <v>20251126190033</v>
      </c>
      <c r="T394" s="2" t="s">
        <v>648</v>
      </c>
      <c r="U394" s="2" t="s">
        <v>649</v>
      </c>
      <c r="W394" s="2" t="s">
        <v>650</v>
      </c>
      <c r="X394" s="2" t="n">
        <v>976541</v>
      </c>
      <c r="Y394" s="1" t="n">
        <v>1.7</v>
      </c>
      <c r="Z394" s="1" t="n">
        <v>6</v>
      </c>
      <c r="AA394" s="9" t="s">
        <v>475</v>
      </c>
    </row>
    <row r="395" customFormat="false" ht="18.7" hidden="false" customHeight="true" outlineLevel="0" collapsed="false">
      <c r="A395" s="1" t="n">
        <v>394</v>
      </c>
      <c r="B395" s="7" t="str">
        <f aca="false">HYPERLINK("https://mncourtfraud.com/file/27-CR-23-1583.pdf","27-CR-23-1583")</f>
        <v>27-CR-23-1583</v>
      </c>
      <c r="C395" s="1" t="n">
        <v>1</v>
      </c>
      <c r="D395" s="2" t="s">
        <v>12</v>
      </c>
      <c r="E395" s="8" t="n">
        <v>45093</v>
      </c>
      <c r="F395" s="2" t="s">
        <v>82</v>
      </c>
      <c r="G395" s="7" t="str">
        <f aca="false">HYPERLINK("https://mncourtfraud.com/file/MCRO_27-CR-23-1583_Notice of Case Reassignment_2023-06-16_20251126190045.pdf","MCRO_27-CR-23-1583_Notice of Case Reassignment_2023-06-16_20251126190045.pdf")</f>
        <v>MCRO_27-CR-23-1583_Notice of Case Reassignment_2023-06-16_20251126190045.pdf</v>
      </c>
      <c r="H395" s="2" t="s">
        <v>651</v>
      </c>
      <c r="I395" s="2" t="s">
        <v>651</v>
      </c>
      <c r="J395" s="2" t="s">
        <v>535</v>
      </c>
      <c r="K395" s="2" t="s">
        <v>652</v>
      </c>
      <c r="L395" s="2" t="s">
        <v>469</v>
      </c>
      <c r="M395" s="8" t="n">
        <v>45093</v>
      </c>
      <c r="N395" s="1" t="s">
        <v>1001</v>
      </c>
      <c r="O395" s="1" t="n">
        <v>5</v>
      </c>
      <c r="P395" s="1" t="s">
        <v>1001</v>
      </c>
      <c r="Q395" s="1" t="n">
        <v>5</v>
      </c>
      <c r="R395" s="1" t="s">
        <v>1308</v>
      </c>
      <c r="S395" s="1" t="n">
        <v>20251126190045</v>
      </c>
      <c r="T395" s="2" t="s">
        <v>1309</v>
      </c>
      <c r="U395" s="2" t="s">
        <v>1310</v>
      </c>
      <c r="W395" s="2" t="s">
        <v>657</v>
      </c>
      <c r="X395" s="2" t="n">
        <v>113629</v>
      </c>
      <c r="Y395" s="1" t="n">
        <v>1.6</v>
      </c>
      <c r="Z395" s="1" t="n">
        <v>1</v>
      </c>
    </row>
    <row r="396" customFormat="false" ht="18.7" hidden="false" customHeight="true" outlineLevel="0" collapsed="false">
      <c r="A396" s="1" t="n">
        <v>395</v>
      </c>
      <c r="B396" s="7" t="str">
        <f aca="false">HYPERLINK("https://mncourtfraud.com/file/27-CR-23-1583.pdf","27-CR-23-1583")</f>
        <v>27-CR-23-1583</v>
      </c>
      <c r="C396" s="1" t="n">
        <v>1</v>
      </c>
      <c r="D396" s="2" t="s">
        <v>12</v>
      </c>
      <c r="E396" s="8" t="n">
        <v>45160</v>
      </c>
      <c r="F396" s="2" t="s">
        <v>15</v>
      </c>
      <c r="G396" s="7" t="str">
        <f aca="false">HYPERLINK("https://mncourtfraud.com/file/MCRO_27-CR-23-1583_Order-Evaluation for Competency to Proceed (Rule 20.01)_2023-08-22_20251126190123.pdf","MCRO_27-CR-23-1583_Order-Evaluation for Competency to Proceed (Rule 20.01)_2023-08-22_20251126190123.pdf")</f>
        <v>MCRO_27-CR-23-1583_Order-Evaluation for Competency to Proceed (Rule 20.01)_2023-08-22_20251126190123.pdf</v>
      </c>
      <c r="H396" s="2" t="s">
        <v>658</v>
      </c>
      <c r="I396" s="2" t="s">
        <v>659</v>
      </c>
      <c r="J396" s="2" t="s">
        <v>519</v>
      </c>
      <c r="K396" s="2" t="s">
        <v>520</v>
      </c>
      <c r="L396" s="2" t="s">
        <v>469</v>
      </c>
      <c r="M396" s="8" t="n">
        <v>45160</v>
      </c>
      <c r="N396" s="1" t="s">
        <v>660</v>
      </c>
      <c r="O396" s="1" t="n">
        <v>0</v>
      </c>
      <c r="P396" s="1" t="s">
        <v>661</v>
      </c>
      <c r="Q396" s="1" t="n">
        <v>0</v>
      </c>
      <c r="R396" s="1" t="s">
        <v>1311</v>
      </c>
      <c r="S396" s="1" t="n">
        <v>20251126190123</v>
      </c>
      <c r="T396" s="2" t="s">
        <v>663</v>
      </c>
      <c r="U396" s="2" t="s">
        <v>664</v>
      </c>
      <c r="X396" s="2" t="n">
        <v>876402</v>
      </c>
      <c r="Y396" s="1" t="n">
        <v>1.7</v>
      </c>
      <c r="Z396" s="1" t="n">
        <v>2</v>
      </c>
      <c r="AA396" s="9" t="s">
        <v>475</v>
      </c>
    </row>
    <row r="397" customFormat="false" ht="18.7" hidden="false" customHeight="true" outlineLevel="0" collapsed="false">
      <c r="A397" s="1" t="n">
        <v>396</v>
      </c>
      <c r="B397" s="7" t="str">
        <f aca="false">HYPERLINK("https://mncourtfraud.com/file/27-CR-23-1583.pdf","27-CR-23-1583")</f>
        <v>27-CR-23-1583</v>
      </c>
      <c r="C397" s="1" t="n">
        <v>1</v>
      </c>
      <c r="D397" s="2" t="s">
        <v>12</v>
      </c>
      <c r="E397" s="8" t="n">
        <v>45412</v>
      </c>
      <c r="F397" s="2" t="s">
        <v>24</v>
      </c>
      <c r="G397" s="7" t="str">
        <f aca="false">HYPERLINK("https://mncourtfraud.com/file/MCRO_27-CR-23-1583_Order for Conditional Release_2024-04-30_20251126190100.pdf","MCRO_27-CR-23-1583_Order for Conditional Release_2024-04-30_20251126190100.pdf")</f>
        <v>MCRO_27-CR-23-1583_Order for Conditional Release_2024-04-30_20251126190100.pdf</v>
      </c>
      <c r="I397" s="2" t="s">
        <v>481</v>
      </c>
      <c r="J397" s="2" t="s">
        <v>481</v>
      </c>
      <c r="K397" s="2" t="s">
        <v>482</v>
      </c>
      <c r="L397" s="2" t="s">
        <v>469</v>
      </c>
      <c r="M397" s="8" t="n">
        <v>45412</v>
      </c>
      <c r="N397" s="1" t="s">
        <v>665</v>
      </c>
      <c r="O397" s="1" t="n">
        <v>0</v>
      </c>
      <c r="P397" s="1" t="s">
        <v>665</v>
      </c>
      <c r="Q397" s="1" t="n">
        <v>0</v>
      </c>
      <c r="R397" s="1" t="s">
        <v>1312</v>
      </c>
      <c r="S397" s="1" t="n">
        <v>20251126190100</v>
      </c>
      <c r="T397" s="2" t="s">
        <v>667</v>
      </c>
      <c r="U397" s="2" t="s">
        <v>668</v>
      </c>
      <c r="X397" s="2" t="n">
        <v>150533</v>
      </c>
      <c r="Y397" s="1" t="n">
        <v>1.5</v>
      </c>
      <c r="Z397" s="1" t="n">
        <v>2</v>
      </c>
    </row>
    <row r="398" customFormat="false" ht="18.7" hidden="false" customHeight="true" outlineLevel="0" collapsed="false">
      <c r="A398" s="1" t="n">
        <v>397</v>
      </c>
      <c r="B398" s="7" t="str">
        <f aca="false">HYPERLINK("https://mncourtfraud.com/file/27-CR-23-1583.pdf","27-CR-23-1583")</f>
        <v>27-CR-23-1583</v>
      </c>
      <c r="C398" s="1" t="n">
        <v>1</v>
      </c>
      <c r="D398" s="2" t="s">
        <v>12</v>
      </c>
      <c r="E398" s="8" t="n">
        <v>45412</v>
      </c>
      <c r="F398" s="2" t="s">
        <v>15</v>
      </c>
      <c r="G398" s="7" t="str">
        <f aca="false">HYPERLINK("https://mncourtfraud.com/file/MCRO_27-CR-23-1583_Order-Evaluation for Competency to Proceed (Rule 20.01)_2024-04-30_20251126190111.pdf","MCRO_27-CR-23-1583_Order-Evaluation for Competency to Proceed (Rule 20.01)_2024-04-30_20251126190111.pdf")</f>
        <v>MCRO_27-CR-23-1583_Order-Evaluation for Competency to Proceed (Rule 20.01)_2024-04-30_20251126190111.pdf</v>
      </c>
      <c r="I398" s="2" t="s">
        <v>481</v>
      </c>
      <c r="J398" s="2" t="s">
        <v>481</v>
      </c>
      <c r="K398" s="2" t="s">
        <v>482</v>
      </c>
      <c r="L398" s="2" t="s">
        <v>469</v>
      </c>
      <c r="M398" s="8" t="n">
        <v>45412</v>
      </c>
      <c r="N398" s="1" t="s">
        <v>665</v>
      </c>
      <c r="O398" s="1" t="n">
        <v>0</v>
      </c>
      <c r="P398" s="1" t="s">
        <v>665</v>
      </c>
      <c r="Q398" s="1" t="n">
        <v>0</v>
      </c>
      <c r="R398" s="1" t="s">
        <v>1313</v>
      </c>
      <c r="S398" s="1" t="n">
        <v>20251126190111</v>
      </c>
      <c r="T398" s="2" t="s">
        <v>670</v>
      </c>
      <c r="U398" s="2" t="s">
        <v>671</v>
      </c>
      <c r="X398" s="2" t="n">
        <v>219517</v>
      </c>
      <c r="Y398" s="1" t="n">
        <v>1.5</v>
      </c>
      <c r="Z398" s="1" t="n">
        <v>3</v>
      </c>
    </row>
    <row r="399" customFormat="false" ht="18.7" hidden="false" customHeight="true" outlineLevel="0" collapsed="false">
      <c r="A399" s="1" t="n">
        <v>398</v>
      </c>
      <c r="B399" s="7" t="str">
        <f aca="false">HYPERLINK("https://mncourtfraud.com/file/27-CR-23-4900.pdf","27-CR-23-4900")</f>
        <v>27-CR-23-4900</v>
      </c>
      <c r="C399" s="1" t="n">
        <v>1</v>
      </c>
      <c r="D399" s="2" t="s">
        <v>12</v>
      </c>
      <c r="E399" s="8" t="n">
        <v>45048</v>
      </c>
      <c r="F399" s="2" t="s">
        <v>80</v>
      </c>
      <c r="G399" s="7" t="str">
        <f aca="false">HYPERLINK("https://mncourtfraud.com/file/MCRO_27-CR-23-4900_Finding of Incompetency and Order_2023-05-02_20251126190145.pdf","MCRO_27-CR-23-4900_Finding of Incompetency and Order_2023-05-02_20251126190145.pdf")</f>
        <v>MCRO_27-CR-23-4900_Finding of Incompetency and Order_2023-05-02_20251126190145.pdf</v>
      </c>
      <c r="H399" s="2" t="s">
        <v>644</v>
      </c>
      <c r="I399" s="2" t="s">
        <v>644</v>
      </c>
      <c r="J399" s="2" t="s">
        <v>519</v>
      </c>
      <c r="K399" s="2" t="s">
        <v>520</v>
      </c>
      <c r="L399" s="2" t="s">
        <v>469</v>
      </c>
      <c r="M399" s="8" t="n">
        <v>45048</v>
      </c>
      <c r="N399" s="1" t="s">
        <v>645</v>
      </c>
      <c r="O399" s="1" t="n">
        <v>0</v>
      </c>
      <c r="P399" s="1" t="s">
        <v>646</v>
      </c>
      <c r="Q399" s="1" t="n">
        <v>0</v>
      </c>
      <c r="R399" s="1" t="s">
        <v>1314</v>
      </c>
      <c r="S399" s="1" t="n">
        <v>20251126190145</v>
      </c>
      <c r="T399" s="2" t="s">
        <v>648</v>
      </c>
      <c r="U399" s="2" t="s">
        <v>649</v>
      </c>
      <c r="W399" s="2" t="s">
        <v>650</v>
      </c>
      <c r="X399" s="2" t="n">
        <v>976547</v>
      </c>
      <c r="Y399" s="1" t="n">
        <v>1.7</v>
      </c>
      <c r="Z399" s="1" t="n">
        <v>6</v>
      </c>
      <c r="AA399" s="9" t="s">
        <v>475</v>
      </c>
    </row>
    <row r="400" customFormat="false" ht="18.7" hidden="false" customHeight="true" outlineLevel="0" collapsed="false">
      <c r="A400" s="1" t="n">
        <v>399</v>
      </c>
      <c r="B400" s="7" t="str">
        <f aca="false">HYPERLINK("https://mncourtfraud.com/file/27-CR-23-4900.pdf","27-CR-23-4900")</f>
        <v>27-CR-23-4900</v>
      </c>
      <c r="C400" s="1" t="n">
        <v>1</v>
      </c>
      <c r="D400" s="2" t="s">
        <v>12</v>
      </c>
      <c r="E400" s="8" t="n">
        <v>45093</v>
      </c>
      <c r="F400" s="2" t="s">
        <v>82</v>
      </c>
      <c r="G400" s="7" t="str">
        <f aca="false">HYPERLINK("https://mncourtfraud.com/file/MCRO_27-CR-23-4900_Notice of Case Reassignment_2023-06-16_20251126190156.pdf","MCRO_27-CR-23-4900_Notice of Case Reassignment_2023-06-16_20251126190156.pdf")</f>
        <v>MCRO_27-CR-23-4900_Notice of Case Reassignment_2023-06-16_20251126190156.pdf</v>
      </c>
      <c r="H400" s="2" t="s">
        <v>651</v>
      </c>
      <c r="I400" s="2" t="s">
        <v>651</v>
      </c>
      <c r="J400" s="2" t="s">
        <v>535</v>
      </c>
      <c r="K400" s="2" t="s">
        <v>652</v>
      </c>
      <c r="L400" s="2" t="s">
        <v>469</v>
      </c>
      <c r="M400" s="8" t="n">
        <v>45093</v>
      </c>
      <c r="N400" s="1" t="s">
        <v>1001</v>
      </c>
      <c r="O400" s="1" t="n">
        <v>5</v>
      </c>
      <c r="P400" s="1" t="s">
        <v>1001</v>
      </c>
      <c r="Q400" s="1" t="n">
        <v>5</v>
      </c>
      <c r="R400" s="1" t="s">
        <v>1315</v>
      </c>
      <c r="S400" s="1" t="n">
        <v>20251126190156</v>
      </c>
      <c r="T400" s="2" t="s">
        <v>1316</v>
      </c>
      <c r="U400" s="2" t="s">
        <v>1317</v>
      </c>
      <c r="W400" s="2" t="s">
        <v>657</v>
      </c>
      <c r="X400" s="2" t="n">
        <v>113629</v>
      </c>
      <c r="Y400" s="1" t="n">
        <v>1.6</v>
      </c>
      <c r="Z400" s="1" t="n">
        <v>1</v>
      </c>
    </row>
    <row r="401" customFormat="false" ht="18.7" hidden="false" customHeight="true" outlineLevel="0" collapsed="false">
      <c r="A401" s="1" t="n">
        <v>400</v>
      </c>
      <c r="B401" s="7" t="str">
        <f aca="false">HYPERLINK("https://mncourtfraud.com/file/27-CR-23-4900.pdf","27-CR-23-4900")</f>
        <v>27-CR-23-4900</v>
      </c>
      <c r="C401" s="1" t="n">
        <v>1</v>
      </c>
      <c r="D401" s="2" t="s">
        <v>12</v>
      </c>
      <c r="E401" s="8" t="n">
        <v>45160</v>
      </c>
      <c r="F401" s="2" t="s">
        <v>15</v>
      </c>
      <c r="G401" s="7" t="str">
        <f aca="false">HYPERLINK("https://mncourtfraud.com/file/MCRO_27-CR-23-4900_Order-Evaluation for Competency to Proceed (Rule 20.01)_2023-08-22_20251126190217.pdf","MCRO_27-CR-23-4900_Order-Evaluation for Competency to Proceed (Rule 20.01)_2023-08-22_20251126190217.pdf")</f>
        <v>MCRO_27-CR-23-4900_Order-Evaluation for Competency to Proceed (Rule 20.01)_2023-08-22_20251126190217.pdf</v>
      </c>
      <c r="H401" s="2" t="s">
        <v>658</v>
      </c>
      <c r="I401" s="2" t="s">
        <v>659</v>
      </c>
      <c r="J401" s="2" t="s">
        <v>519</v>
      </c>
      <c r="K401" s="2" t="s">
        <v>520</v>
      </c>
      <c r="L401" s="2" t="s">
        <v>469</v>
      </c>
      <c r="M401" s="8" t="n">
        <v>45160</v>
      </c>
      <c r="N401" s="1" t="s">
        <v>660</v>
      </c>
      <c r="O401" s="1" t="n">
        <v>0</v>
      </c>
      <c r="P401" s="1" t="s">
        <v>661</v>
      </c>
      <c r="Q401" s="1" t="n">
        <v>0</v>
      </c>
      <c r="R401" s="1" t="s">
        <v>1318</v>
      </c>
      <c r="S401" s="1" t="n">
        <v>20251126190217</v>
      </c>
      <c r="T401" s="2" t="s">
        <v>663</v>
      </c>
      <c r="U401" s="2" t="s">
        <v>664</v>
      </c>
      <c r="X401" s="2" t="n">
        <v>876402</v>
      </c>
      <c r="Y401" s="1" t="n">
        <v>1.7</v>
      </c>
      <c r="Z401" s="1" t="n">
        <v>2</v>
      </c>
      <c r="AA401" s="9" t="s">
        <v>475</v>
      </c>
    </row>
    <row r="402" customFormat="false" ht="18.7" hidden="false" customHeight="true" outlineLevel="0" collapsed="false">
      <c r="A402" s="1" t="n">
        <v>401</v>
      </c>
      <c r="B402" s="7" t="str">
        <f aca="false">HYPERLINK("https://mncourtfraud.com/file/27-CR-23-4900.pdf","27-CR-23-4900")</f>
        <v>27-CR-23-4900</v>
      </c>
      <c r="C402" s="1" t="n">
        <v>1</v>
      </c>
      <c r="D402" s="2" t="s">
        <v>12</v>
      </c>
      <c r="E402" s="8" t="n">
        <v>45412</v>
      </c>
      <c r="F402" s="2" t="s">
        <v>24</v>
      </c>
      <c r="G402" s="7" t="str">
        <f aca="false">HYPERLINK("https://mncourtfraud.com/file/MCRO_27-CR-23-4900_Order for Conditional Release_2024-04-30_20251126190206.pdf","MCRO_27-CR-23-4900_Order for Conditional Release_2024-04-30_20251126190206.pdf")</f>
        <v>MCRO_27-CR-23-4900_Order for Conditional Release_2024-04-30_20251126190206.pdf</v>
      </c>
      <c r="I402" s="2" t="s">
        <v>481</v>
      </c>
      <c r="J402" s="2" t="s">
        <v>481</v>
      </c>
      <c r="K402" s="2" t="s">
        <v>482</v>
      </c>
      <c r="L402" s="2" t="s">
        <v>469</v>
      </c>
      <c r="M402" s="8" t="n">
        <v>45412</v>
      </c>
      <c r="N402" s="1" t="s">
        <v>665</v>
      </c>
      <c r="O402" s="1" t="n">
        <v>0</v>
      </c>
      <c r="P402" s="1" t="s">
        <v>665</v>
      </c>
      <c r="Q402" s="1" t="n">
        <v>0</v>
      </c>
      <c r="R402" s="1" t="s">
        <v>1319</v>
      </c>
      <c r="S402" s="1" t="n">
        <v>20251126190206</v>
      </c>
      <c r="T402" s="2" t="s">
        <v>667</v>
      </c>
      <c r="U402" s="2" t="s">
        <v>668</v>
      </c>
      <c r="X402" s="2" t="n">
        <v>150532</v>
      </c>
      <c r="Y402" s="1" t="n">
        <v>1.5</v>
      </c>
      <c r="Z402" s="1" t="n">
        <v>2</v>
      </c>
    </row>
    <row r="403" customFormat="false" ht="18.7" hidden="false" customHeight="true" outlineLevel="0" collapsed="false">
      <c r="A403" s="1" t="n">
        <v>402</v>
      </c>
      <c r="B403" s="7" t="str">
        <f aca="false">HYPERLINK("https://mncourtfraud.com/file/27-CR-23-4900.pdf","27-CR-23-4900")</f>
        <v>27-CR-23-4900</v>
      </c>
      <c r="C403" s="1" t="n">
        <v>1</v>
      </c>
      <c r="D403" s="2" t="s">
        <v>12</v>
      </c>
      <c r="E403" s="8" t="n">
        <v>45412</v>
      </c>
      <c r="F403" s="2" t="s">
        <v>15</v>
      </c>
      <c r="G403" s="7" t="str">
        <f aca="false">HYPERLINK("https://mncourtfraud.com/file/MCRO_27-CR-23-4900_Order-Evaluation for Competency to Proceed (Rule 20.01)_2024-04-30_20251126190224.pdf","MCRO_27-CR-23-4900_Order-Evaluation for Competency to Proceed (Rule 20.01)_2024-04-30_20251126190224.pdf")</f>
        <v>MCRO_27-CR-23-4900_Order-Evaluation for Competency to Proceed (Rule 20.01)_2024-04-30_20251126190224.pdf</v>
      </c>
      <c r="I403" s="2" t="s">
        <v>481</v>
      </c>
      <c r="J403" s="2" t="s">
        <v>481</v>
      </c>
      <c r="K403" s="2" t="s">
        <v>482</v>
      </c>
      <c r="L403" s="2" t="s">
        <v>469</v>
      </c>
      <c r="M403" s="8" t="n">
        <v>45412</v>
      </c>
      <c r="N403" s="1" t="s">
        <v>665</v>
      </c>
      <c r="O403" s="1" t="n">
        <v>0</v>
      </c>
      <c r="P403" s="1" t="s">
        <v>665</v>
      </c>
      <c r="Q403" s="1" t="n">
        <v>0</v>
      </c>
      <c r="R403" s="1" t="s">
        <v>1320</v>
      </c>
      <c r="S403" s="1" t="n">
        <v>20251126190224</v>
      </c>
      <c r="T403" s="2" t="s">
        <v>670</v>
      </c>
      <c r="U403" s="2" t="s">
        <v>671</v>
      </c>
      <c r="X403" s="2" t="n">
        <v>219519</v>
      </c>
      <c r="Y403" s="1" t="n">
        <v>1.5</v>
      </c>
      <c r="Z403" s="1" t="n">
        <v>3</v>
      </c>
    </row>
    <row r="404" customFormat="false" ht="18.7" hidden="false" customHeight="true" outlineLevel="0" collapsed="false">
      <c r="A404" s="1" t="n">
        <v>403</v>
      </c>
      <c r="B404" s="7" t="str">
        <f aca="false">HYPERLINK("https://mncourtfraud.com/file/27-CR-23-4904.pdf","27-CR-23-4904")</f>
        <v>27-CR-23-4904</v>
      </c>
      <c r="C404" s="1" t="n">
        <v>1</v>
      </c>
      <c r="D404" s="2" t="s">
        <v>12</v>
      </c>
      <c r="E404" s="8" t="n">
        <v>45048</v>
      </c>
      <c r="F404" s="2" t="s">
        <v>80</v>
      </c>
      <c r="G404" s="7" t="str">
        <f aca="false">HYPERLINK("https://mncourtfraud.com/file/MCRO_27-CR-23-4904_Finding of Incompetency and Order_2023-05-02_20251126190244.pdf","MCRO_27-CR-23-4904_Finding of Incompetency and Order_2023-05-02_20251126190244.pdf")</f>
        <v>MCRO_27-CR-23-4904_Finding of Incompetency and Order_2023-05-02_20251126190244.pdf</v>
      </c>
      <c r="H404" s="2" t="s">
        <v>644</v>
      </c>
      <c r="I404" s="2" t="s">
        <v>644</v>
      </c>
      <c r="J404" s="2" t="s">
        <v>519</v>
      </c>
      <c r="K404" s="2" t="s">
        <v>520</v>
      </c>
      <c r="L404" s="2" t="s">
        <v>469</v>
      </c>
      <c r="M404" s="8" t="n">
        <v>45048</v>
      </c>
      <c r="N404" s="1" t="s">
        <v>645</v>
      </c>
      <c r="O404" s="1" t="n">
        <v>0</v>
      </c>
      <c r="P404" s="1" t="s">
        <v>646</v>
      </c>
      <c r="Q404" s="1" t="n">
        <v>0</v>
      </c>
      <c r="R404" s="1" t="s">
        <v>1321</v>
      </c>
      <c r="S404" s="1" t="n">
        <v>20251126190244</v>
      </c>
      <c r="T404" s="2" t="s">
        <v>648</v>
      </c>
      <c r="U404" s="2" t="s">
        <v>649</v>
      </c>
      <c r="W404" s="2" t="s">
        <v>650</v>
      </c>
      <c r="X404" s="2" t="n">
        <v>976547</v>
      </c>
      <c r="Y404" s="1" t="n">
        <v>1.7</v>
      </c>
      <c r="Z404" s="1" t="n">
        <v>6</v>
      </c>
      <c r="AA404" s="9" t="s">
        <v>475</v>
      </c>
    </row>
    <row r="405" customFormat="false" ht="18.7" hidden="false" customHeight="true" outlineLevel="0" collapsed="false">
      <c r="A405" s="1" t="n">
        <v>404</v>
      </c>
      <c r="B405" s="7" t="str">
        <f aca="false">HYPERLINK("https://mncourtfraud.com/file/27-CR-23-4904.pdf","27-CR-23-4904")</f>
        <v>27-CR-23-4904</v>
      </c>
      <c r="C405" s="1" t="n">
        <v>1</v>
      </c>
      <c r="D405" s="2" t="s">
        <v>12</v>
      </c>
      <c r="E405" s="8" t="n">
        <v>45093</v>
      </c>
      <c r="F405" s="2" t="s">
        <v>82</v>
      </c>
      <c r="G405" s="7" t="str">
        <f aca="false">HYPERLINK("https://mncourtfraud.com/file/MCRO_27-CR-23-4904_Notice of Case Reassignment_2023-06-16_20251126190256.pdf","MCRO_27-CR-23-4904_Notice of Case Reassignment_2023-06-16_20251126190256.pdf")</f>
        <v>MCRO_27-CR-23-4904_Notice of Case Reassignment_2023-06-16_20251126190256.pdf</v>
      </c>
      <c r="H405" s="2" t="s">
        <v>651</v>
      </c>
      <c r="I405" s="2" t="s">
        <v>651</v>
      </c>
      <c r="J405" s="2" t="s">
        <v>535</v>
      </c>
      <c r="K405" s="2" t="s">
        <v>652</v>
      </c>
      <c r="L405" s="2" t="s">
        <v>469</v>
      </c>
      <c r="M405" s="8" t="n">
        <v>45093</v>
      </c>
      <c r="N405" s="1" t="s">
        <v>1001</v>
      </c>
      <c r="O405" s="1" t="n">
        <v>5</v>
      </c>
      <c r="P405" s="1" t="s">
        <v>1001</v>
      </c>
      <c r="Q405" s="1" t="n">
        <v>5</v>
      </c>
      <c r="R405" s="1" t="s">
        <v>1322</v>
      </c>
      <c r="S405" s="1" t="n">
        <v>20251126190256</v>
      </c>
      <c r="T405" s="2" t="s">
        <v>1323</v>
      </c>
      <c r="U405" s="2" t="s">
        <v>1324</v>
      </c>
      <c r="W405" s="2" t="s">
        <v>657</v>
      </c>
      <c r="X405" s="2" t="n">
        <v>113630</v>
      </c>
      <c r="Y405" s="1" t="n">
        <v>1.6</v>
      </c>
      <c r="Z405" s="1" t="n">
        <v>1</v>
      </c>
    </row>
    <row r="406" customFormat="false" ht="18.7" hidden="false" customHeight="true" outlineLevel="0" collapsed="false">
      <c r="A406" s="1" t="n">
        <v>405</v>
      </c>
      <c r="B406" s="7" t="str">
        <f aca="false">HYPERLINK("https://mncourtfraud.com/file/27-CR-23-4904.pdf","27-CR-23-4904")</f>
        <v>27-CR-23-4904</v>
      </c>
      <c r="C406" s="1" t="n">
        <v>1</v>
      </c>
      <c r="D406" s="2" t="s">
        <v>12</v>
      </c>
      <c r="E406" s="8" t="n">
        <v>45160</v>
      </c>
      <c r="F406" s="2" t="s">
        <v>15</v>
      </c>
      <c r="G406" s="7" t="str">
        <f aca="false">HYPERLINK("https://mncourtfraud.com/file/MCRO_27-CR-23-4904_Order-Evaluation for Competency to Proceed (Rule 20.01)_2023-08-22_20251126190323.pdf","MCRO_27-CR-23-4904_Order-Evaluation for Competency to Proceed (Rule 20.01)_2023-08-22_20251126190323.pdf")</f>
        <v>MCRO_27-CR-23-4904_Order-Evaluation for Competency to Proceed (Rule 20.01)_2023-08-22_20251126190323.pdf</v>
      </c>
      <c r="H406" s="2" t="s">
        <v>658</v>
      </c>
      <c r="I406" s="2" t="s">
        <v>659</v>
      </c>
      <c r="J406" s="2" t="s">
        <v>519</v>
      </c>
      <c r="K406" s="2" t="s">
        <v>520</v>
      </c>
      <c r="L406" s="2" t="s">
        <v>469</v>
      </c>
      <c r="M406" s="8" t="n">
        <v>45160</v>
      </c>
      <c r="N406" s="1" t="s">
        <v>660</v>
      </c>
      <c r="O406" s="1" t="n">
        <v>0</v>
      </c>
      <c r="P406" s="1" t="s">
        <v>661</v>
      </c>
      <c r="Q406" s="1" t="n">
        <v>0</v>
      </c>
      <c r="R406" s="1" t="s">
        <v>1325</v>
      </c>
      <c r="S406" s="1" t="n">
        <v>20251126190323</v>
      </c>
      <c r="T406" s="2" t="s">
        <v>663</v>
      </c>
      <c r="U406" s="2" t="s">
        <v>664</v>
      </c>
      <c r="X406" s="2" t="n">
        <v>876403</v>
      </c>
      <c r="Y406" s="1" t="n">
        <v>1.7</v>
      </c>
      <c r="Z406" s="1" t="n">
        <v>2</v>
      </c>
      <c r="AA406" s="9" t="s">
        <v>475</v>
      </c>
    </row>
    <row r="407" customFormat="false" ht="18.7" hidden="false" customHeight="true" outlineLevel="0" collapsed="false">
      <c r="A407" s="1" t="n">
        <v>406</v>
      </c>
      <c r="B407" s="7" t="str">
        <f aca="false">HYPERLINK("https://mncourtfraud.com/file/27-CR-23-4904.pdf","27-CR-23-4904")</f>
        <v>27-CR-23-4904</v>
      </c>
      <c r="C407" s="1" t="n">
        <v>1</v>
      </c>
      <c r="D407" s="2" t="s">
        <v>12</v>
      </c>
      <c r="E407" s="8" t="n">
        <v>45412</v>
      </c>
      <c r="F407" s="2" t="s">
        <v>24</v>
      </c>
      <c r="G407" s="7" t="str">
        <f aca="false">HYPERLINK("https://mncourtfraud.com/file/MCRO_27-CR-23-4904_Order for Conditional Release_2024-04-30_20251126190306.pdf","MCRO_27-CR-23-4904_Order for Conditional Release_2024-04-30_20251126190306.pdf")</f>
        <v>MCRO_27-CR-23-4904_Order for Conditional Release_2024-04-30_20251126190306.pdf</v>
      </c>
      <c r="I407" s="2" t="s">
        <v>481</v>
      </c>
      <c r="J407" s="2" t="s">
        <v>481</v>
      </c>
      <c r="K407" s="2" t="s">
        <v>482</v>
      </c>
      <c r="L407" s="2" t="s">
        <v>469</v>
      </c>
      <c r="M407" s="8" t="n">
        <v>45412</v>
      </c>
      <c r="N407" s="1" t="s">
        <v>665</v>
      </c>
      <c r="O407" s="1" t="n">
        <v>0</v>
      </c>
      <c r="P407" s="1" t="s">
        <v>665</v>
      </c>
      <c r="Q407" s="1" t="n">
        <v>0</v>
      </c>
      <c r="R407" s="1" t="s">
        <v>1326</v>
      </c>
      <c r="S407" s="1" t="n">
        <v>20251126190306</v>
      </c>
      <c r="T407" s="2" t="s">
        <v>667</v>
      </c>
      <c r="U407" s="2" t="s">
        <v>668</v>
      </c>
      <c r="X407" s="2" t="n">
        <v>150534</v>
      </c>
      <c r="Y407" s="1" t="n">
        <v>1.5</v>
      </c>
      <c r="Z407" s="1" t="n">
        <v>2</v>
      </c>
    </row>
    <row r="408" customFormat="false" ht="18.7" hidden="false" customHeight="true" outlineLevel="0" collapsed="false">
      <c r="A408" s="1" t="n">
        <v>407</v>
      </c>
      <c r="B408" s="7" t="str">
        <f aca="false">HYPERLINK("https://mncourtfraud.com/file/27-CR-23-4904.pdf","27-CR-23-4904")</f>
        <v>27-CR-23-4904</v>
      </c>
      <c r="C408" s="1" t="n">
        <v>1</v>
      </c>
      <c r="D408" s="2" t="s">
        <v>12</v>
      </c>
      <c r="E408" s="8" t="n">
        <v>45412</v>
      </c>
      <c r="F408" s="2" t="s">
        <v>15</v>
      </c>
      <c r="G408" s="7" t="str">
        <f aca="false">HYPERLINK("https://mncourtfraud.com/file/MCRO_27-CR-23-4904_Order-Evaluation for Competency to Proceed (Rule 20.01)_2024-04-30_20251126190319.pdf","MCRO_27-CR-23-4904_Order-Evaluation for Competency to Proceed (Rule 20.01)_2024-04-30_20251126190319.pdf")</f>
        <v>MCRO_27-CR-23-4904_Order-Evaluation for Competency to Proceed (Rule 20.01)_2024-04-30_20251126190319.pdf</v>
      </c>
      <c r="I408" s="2" t="s">
        <v>481</v>
      </c>
      <c r="J408" s="2" t="s">
        <v>481</v>
      </c>
      <c r="K408" s="2" t="s">
        <v>482</v>
      </c>
      <c r="L408" s="2" t="s">
        <v>469</v>
      </c>
      <c r="M408" s="8" t="n">
        <v>45412</v>
      </c>
      <c r="N408" s="1" t="s">
        <v>665</v>
      </c>
      <c r="O408" s="1" t="n">
        <v>0</v>
      </c>
      <c r="P408" s="1" t="s">
        <v>665</v>
      </c>
      <c r="Q408" s="1" t="n">
        <v>0</v>
      </c>
      <c r="R408" s="1" t="s">
        <v>1327</v>
      </c>
      <c r="S408" s="1" t="n">
        <v>20251126190319</v>
      </c>
      <c r="T408" s="2" t="s">
        <v>670</v>
      </c>
      <c r="U408" s="2" t="s">
        <v>671</v>
      </c>
      <c r="X408" s="2" t="n">
        <v>219517</v>
      </c>
      <c r="Y408" s="1" t="n">
        <v>1.5</v>
      </c>
      <c r="Z408" s="1" t="n">
        <v>3</v>
      </c>
    </row>
    <row r="409" customFormat="false" ht="18.7" hidden="false" customHeight="true" outlineLevel="0" collapsed="false">
      <c r="A409" s="1" t="n">
        <v>408</v>
      </c>
      <c r="B409" s="7" t="str">
        <f aca="false">HYPERLINK("https://mncourtfraud.com/file/27-CR-23-7087.pdf","27-CR-23-7087")</f>
        <v>27-CR-23-7087</v>
      </c>
      <c r="C409" s="1" t="n">
        <v>1</v>
      </c>
      <c r="D409" s="2" t="s">
        <v>12</v>
      </c>
      <c r="E409" s="8" t="n">
        <v>45048</v>
      </c>
      <c r="F409" s="2" t="s">
        <v>80</v>
      </c>
      <c r="G409" s="7" t="str">
        <f aca="false">HYPERLINK("https://mncourtfraud.com/file/MCRO_27-CR-23-7087_Finding of Incompetency and Order_2023-05-02_20251126190352.pdf","MCRO_27-CR-23-7087_Finding of Incompetency and Order_2023-05-02_20251126190352.pdf")</f>
        <v>MCRO_27-CR-23-7087_Finding of Incompetency and Order_2023-05-02_20251126190352.pdf</v>
      </c>
      <c r="H409" s="2" t="s">
        <v>644</v>
      </c>
      <c r="I409" s="2" t="s">
        <v>644</v>
      </c>
      <c r="J409" s="2" t="s">
        <v>519</v>
      </c>
      <c r="K409" s="2" t="s">
        <v>520</v>
      </c>
      <c r="L409" s="2" t="s">
        <v>469</v>
      </c>
      <c r="M409" s="8" t="n">
        <v>45048</v>
      </c>
      <c r="N409" s="1" t="s">
        <v>645</v>
      </c>
      <c r="O409" s="1" t="n">
        <v>0</v>
      </c>
      <c r="P409" s="1" t="s">
        <v>646</v>
      </c>
      <c r="Q409" s="1" t="n">
        <v>0</v>
      </c>
      <c r="R409" s="1" t="s">
        <v>1328</v>
      </c>
      <c r="S409" s="1" t="n">
        <v>20251126190352</v>
      </c>
      <c r="T409" s="2" t="s">
        <v>648</v>
      </c>
      <c r="U409" s="2" t="s">
        <v>649</v>
      </c>
      <c r="W409" s="2" t="s">
        <v>650</v>
      </c>
      <c r="X409" s="2" t="n">
        <v>976546</v>
      </c>
      <c r="Y409" s="1" t="n">
        <v>1.7</v>
      </c>
      <c r="Z409" s="1" t="n">
        <v>6</v>
      </c>
      <c r="AA409" s="9" t="s">
        <v>475</v>
      </c>
    </row>
    <row r="410" customFormat="false" ht="18.7" hidden="false" customHeight="true" outlineLevel="0" collapsed="false">
      <c r="A410" s="1" t="n">
        <v>409</v>
      </c>
      <c r="B410" s="7" t="str">
        <f aca="false">HYPERLINK("https://mncourtfraud.com/file/27-CR-23-7087.pdf","27-CR-23-7087")</f>
        <v>27-CR-23-7087</v>
      </c>
      <c r="C410" s="1" t="n">
        <v>1</v>
      </c>
      <c r="D410" s="2" t="s">
        <v>12</v>
      </c>
      <c r="E410" s="8" t="n">
        <v>45160</v>
      </c>
      <c r="F410" s="2" t="s">
        <v>15</v>
      </c>
      <c r="G410" s="7" t="str">
        <f aca="false">HYPERLINK("https://mncourtfraud.com/file/MCRO_27-CR-23-7087_Order-Evaluation for Competency to Proceed (Rule 20.01)_2023-08-22_20251126190421.pdf","MCRO_27-CR-23-7087_Order-Evaluation for Competency to Proceed (Rule 20.01)_2023-08-22_20251126190421.pdf")</f>
        <v>MCRO_27-CR-23-7087_Order-Evaluation for Competency to Proceed (Rule 20.01)_2023-08-22_20251126190421.pdf</v>
      </c>
      <c r="H410" s="2" t="s">
        <v>658</v>
      </c>
      <c r="I410" s="2" t="s">
        <v>659</v>
      </c>
      <c r="J410" s="2" t="s">
        <v>519</v>
      </c>
      <c r="K410" s="2" t="s">
        <v>520</v>
      </c>
      <c r="L410" s="2" t="s">
        <v>469</v>
      </c>
      <c r="M410" s="8" t="n">
        <v>45160</v>
      </c>
      <c r="N410" s="1" t="s">
        <v>660</v>
      </c>
      <c r="O410" s="1" t="n">
        <v>0</v>
      </c>
      <c r="P410" s="1" t="s">
        <v>661</v>
      </c>
      <c r="Q410" s="1" t="n">
        <v>0</v>
      </c>
      <c r="R410" s="1" t="s">
        <v>1329</v>
      </c>
      <c r="S410" s="1" t="n">
        <v>20251126190421</v>
      </c>
      <c r="T410" s="2" t="s">
        <v>663</v>
      </c>
      <c r="U410" s="2" t="s">
        <v>664</v>
      </c>
      <c r="X410" s="2" t="n">
        <v>876402</v>
      </c>
      <c r="Y410" s="1" t="n">
        <v>1.7</v>
      </c>
      <c r="Z410" s="1" t="n">
        <v>2</v>
      </c>
      <c r="AA410" s="9" t="s">
        <v>475</v>
      </c>
    </row>
    <row r="411" customFormat="false" ht="18.7" hidden="false" customHeight="true" outlineLevel="0" collapsed="false">
      <c r="A411" s="1" t="n">
        <v>410</v>
      </c>
      <c r="B411" s="7" t="str">
        <f aca="false">HYPERLINK("https://mncourtfraud.com/file/27-CR-23-7087.pdf","27-CR-23-7087")</f>
        <v>27-CR-23-7087</v>
      </c>
      <c r="C411" s="1" t="n">
        <v>1</v>
      </c>
      <c r="D411" s="2" t="s">
        <v>12</v>
      </c>
      <c r="E411" s="8" t="n">
        <v>45412</v>
      </c>
      <c r="F411" s="2" t="s">
        <v>24</v>
      </c>
      <c r="G411" s="7" t="str">
        <f aca="false">HYPERLINK("https://mncourtfraud.com/file/MCRO_27-CR-23-7087_Order for Conditional Release_2024-04-30_20251126190403.pdf","MCRO_27-CR-23-7087_Order for Conditional Release_2024-04-30_20251126190403.pdf")</f>
        <v>MCRO_27-CR-23-7087_Order for Conditional Release_2024-04-30_20251126190403.pdf</v>
      </c>
      <c r="I411" s="2" t="s">
        <v>481</v>
      </c>
      <c r="J411" s="2" t="s">
        <v>481</v>
      </c>
      <c r="K411" s="2" t="s">
        <v>482</v>
      </c>
      <c r="L411" s="2" t="s">
        <v>469</v>
      </c>
      <c r="M411" s="8" t="n">
        <v>45412</v>
      </c>
      <c r="N411" s="1" t="s">
        <v>665</v>
      </c>
      <c r="O411" s="1" t="n">
        <v>0</v>
      </c>
      <c r="P411" s="1" t="s">
        <v>665</v>
      </c>
      <c r="Q411" s="1" t="n">
        <v>0</v>
      </c>
      <c r="R411" s="1" t="s">
        <v>1330</v>
      </c>
      <c r="S411" s="1" t="n">
        <v>20251126190403</v>
      </c>
      <c r="T411" s="2" t="s">
        <v>667</v>
      </c>
      <c r="U411" s="2" t="s">
        <v>668</v>
      </c>
      <c r="X411" s="2" t="n">
        <v>150534</v>
      </c>
      <c r="Y411" s="1" t="n">
        <v>1.5</v>
      </c>
      <c r="Z411" s="1" t="n">
        <v>2</v>
      </c>
    </row>
    <row r="412" customFormat="false" ht="18.7" hidden="false" customHeight="true" outlineLevel="0" collapsed="false">
      <c r="A412" s="1" t="n">
        <v>411</v>
      </c>
      <c r="B412" s="7" t="str">
        <f aca="false">HYPERLINK("https://mncourtfraud.com/file/27-CR-23-7087.pdf","27-CR-23-7087")</f>
        <v>27-CR-23-7087</v>
      </c>
      <c r="C412" s="1" t="n">
        <v>1</v>
      </c>
      <c r="D412" s="2" t="s">
        <v>12</v>
      </c>
      <c r="E412" s="8" t="n">
        <v>45412</v>
      </c>
      <c r="F412" s="2" t="s">
        <v>15</v>
      </c>
      <c r="G412" s="7" t="str">
        <f aca="false">HYPERLINK("https://mncourtfraud.com/file/MCRO_27-CR-23-7087_Order-Evaluation for Competency to Proceed (Rule 20.01)_2024-04-30_20251126190428.pdf","MCRO_27-CR-23-7087_Order-Evaluation for Competency to Proceed (Rule 20.01)_2024-04-30_20251126190428.pdf")</f>
        <v>MCRO_27-CR-23-7087_Order-Evaluation for Competency to Proceed (Rule 20.01)_2024-04-30_20251126190428.pdf</v>
      </c>
      <c r="I412" s="2" t="s">
        <v>481</v>
      </c>
      <c r="J412" s="2" t="s">
        <v>481</v>
      </c>
      <c r="K412" s="2" t="s">
        <v>482</v>
      </c>
      <c r="L412" s="2" t="s">
        <v>469</v>
      </c>
      <c r="M412" s="8" t="n">
        <v>45412</v>
      </c>
      <c r="N412" s="1" t="s">
        <v>665</v>
      </c>
      <c r="O412" s="1" t="n">
        <v>0</v>
      </c>
      <c r="P412" s="1" t="s">
        <v>665</v>
      </c>
      <c r="Q412" s="1" t="n">
        <v>0</v>
      </c>
      <c r="R412" s="1" t="s">
        <v>1331</v>
      </c>
      <c r="S412" s="1" t="n">
        <v>20251126190428</v>
      </c>
      <c r="T412" s="2" t="s">
        <v>670</v>
      </c>
      <c r="U412" s="2" t="s">
        <v>671</v>
      </c>
      <c r="X412" s="2" t="n">
        <v>219534</v>
      </c>
      <c r="Y412" s="1" t="n">
        <v>1.5</v>
      </c>
      <c r="Z412" s="1" t="n">
        <v>3</v>
      </c>
    </row>
    <row r="413" customFormat="false" ht="18.7" hidden="false" customHeight="true" outlineLevel="0" collapsed="false">
      <c r="A413" s="1" t="n">
        <v>412</v>
      </c>
      <c r="B413" s="7" t="str">
        <f aca="false">HYPERLINK("https://mncourtfraud.com/file/27-CR-23-7088.pdf","27-CR-23-7088")</f>
        <v>27-CR-23-7088</v>
      </c>
      <c r="C413" s="1" t="n">
        <v>1</v>
      </c>
      <c r="D413" s="2" t="s">
        <v>12</v>
      </c>
      <c r="E413" s="8" t="n">
        <v>45048</v>
      </c>
      <c r="F413" s="2" t="s">
        <v>80</v>
      </c>
      <c r="G413" s="7" t="str">
        <f aca="false">HYPERLINK("https://mncourtfraud.com/file/MCRO_27-CR-23-7088_Finding of Incompetency and Order_2023-05-02_20251126190457.pdf","MCRO_27-CR-23-7088_Finding of Incompetency and Order_2023-05-02_20251126190457.pdf")</f>
        <v>MCRO_27-CR-23-7088_Finding of Incompetency and Order_2023-05-02_20251126190457.pdf</v>
      </c>
      <c r="H413" s="2" t="s">
        <v>644</v>
      </c>
      <c r="I413" s="2" t="s">
        <v>644</v>
      </c>
      <c r="J413" s="2" t="s">
        <v>519</v>
      </c>
      <c r="K413" s="2" t="s">
        <v>520</v>
      </c>
      <c r="L413" s="2" t="s">
        <v>469</v>
      </c>
      <c r="M413" s="8" t="n">
        <v>45048</v>
      </c>
      <c r="N413" s="1" t="s">
        <v>645</v>
      </c>
      <c r="O413" s="1" t="n">
        <v>0</v>
      </c>
      <c r="P413" s="1" t="s">
        <v>646</v>
      </c>
      <c r="Q413" s="1" t="n">
        <v>0</v>
      </c>
      <c r="R413" s="1" t="s">
        <v>1332</v>
      </c>
      <c r="S413" s="1" t="n">
        <v>20251126190457</v>
      </c>
      <c r="T413" s="2" t="s">
        <v>648</v>
      </c>
      <c r="U413" s="2" t="s">
        <v>649</v>
      </c>
      <c r="W413" s="2" t="s">
        <v>650</v>
      </c>
      <c r="X413" s="2" t="n">
        <v>976548</v>
      </c>
      <c r="Y413" s="1" t="n">
        <v>1.7</v>
      </c>
      <c r="Z413" s="1" t="n">
        <v>6</v>
      </c>
      <c r="AA413" s="9" t="s">
        <v>475</v>
      </c>
    </row>
    <row r="414" customFormat="false" ht="18.7" hidden="false" customHeight="true" outlineLevel="0" collapsed="false">
      <c r="A414" s="1" t="n">
        <v>413</v>
      </c>
      <c r="B414" s="7" t="str">
        <f aca="false">HYPERLINK("https://mncourtfraud.com/file/27-CR-23-7088.pdf","27-CR-23-7088")</f>
        <v>27-CR-23-7088</v>
      </c>
      <c r="C414" s="1" t="n">
        <v>1</v>
      </c>
      <c r="D414" s="2" t="s">
        <v>12</v>
      </c>
      <c r="E414" s="8" t="n">
        <v>45160</v>
      </c>
      <c r="F414" s="2" t="s">
        <v>15</v>
      </c>
      <c r="G414" s="7" t="str">
        <f aca="false">HYPERLINK("https://mncourtfraud.com/file/MCRO_27-CR-23-7088_Order-Evaluation for Competency to Proceed (Rule 20.01)_2023-08-22_20251126190533.pdf","MCRO_27-CR-23-7088_Order-Evaluation for Competency to Proceed (Rule 20.01)_2023-08-22_20251126190533.pdf")</f>
        <v>MCRO_27-CR-23-7088_Order-Evaluation for Competency to Proceed (Rule 20.01)_2023-08-22_20251126190533.pdf</v>
      </c>
      <c r="H414" s="2" t="s">
        <v>658</v>
      </c>
      <c r="I414" s="2" t="s">
        <v>659</v>
      </c>
      <c r="J414" s="2" t="s">
        <v>519</v>
      </c>
      <c r="K414" s="2" t="s">
        <v>520</v>
      </c>
      <c r="L414" s="2" t="s">
        <v>469</v>
      </c>
      <c r="M414" s="8" t="n">
        <v>45160</v>
      </c>
      <c r="N414" s="1" t="s">
        <v>660</v>
      </c>
      <c r="O414" s="1" t="n">
        <v>0</v>
      </c>
      <c r="P414" s="1" t="s">
        <v>661</v>
      </c>
      <c r="Q414" s="1" t="n">
        <v>0</v>
      </c>
      <c r="R414" s="1" t="s">
        <v>1333</v>
      </c>
      <c r="S414" s="1" t="n">
        <v>20251126190533</v>
      </c>
      <c r="T414" s="2" t="s">
        <v>663</v>
      </c>
      <c r="U414" s="2" t="s">
        <v>664</v>
      </c>
      <c r="X414" s="2" t="n">
        <v>876403</v>
      </c>
      <c r="Y414" s="1" t="n">
        <v>1.7</v>
      </c>
      <c r="Z414" s="1" t="n">
        <v>2</v>
      </c>
      <c r="AA414" s="9" t="s">
        <v>475</v>
      </c>
    </row>
    <row r="415" customFormat="false" ht="18.7" hidden="false" customHeight="true" outlineLevel="0" collapsed="false">
      <c r="A415" s="1" t="n">
        <v>414</v>
      </c>
      <c r="B415" s="7" t="str">
        <f aca="false">HYPERLINK("https://mncourtfraud.com/file/27-CR-23-7088.pdf","27-CR-23-7088")</f>
        <v>27-CR-23-7088</v>
      </c>
      <c r="C415" s="1" t="n">
        <v>1</v>
      </c>
      <c r="D415" s="2" t="s">
        <v>12</v>
      </c>
      <c r="E415" s="8" t="n">
        <v>45412</v>
      </c>
      <c r="F415" s="2" t="s">
        <v>24</v>
      </c>
      <c r="G415" s="7" t="str">
        <f aca="false">HYPERLINK("https://mncourtfraud.com/file/MCRO_27-CR-23-7088_Order for Conditional Release_2024-04-30_20251126190516.pdf","MCRO_27-CR-23-7088_Order for Conditional Release_2024-04-30_20251126190516.pdf")</f>
        <v>MCRO_27-CR-23-7088_Order for Conditional Release_2024-04-30_20251126190516.pdf</v>
      </c>
      <c r="I415" s="2" t="s">
        <v>481</v>
      </c>
      <c r="J415" s="2" t="s">
        <v>481</v>
      </c>
      <c r="K415" s="2" t="s">
        <v>482</v>
      </c>
      <c r="L415" s="2" t="s">
        <v>469</v>
      </c>
      <c r="M415" s="8" t="n">
        <v>45412</v>
      </c>
      <c r="N415" s="1" t="s">
        <v>665</v>
      </c>
      <c r="O415" s="1" t="n">
        <v>0</v>
      </c>
      <c r="P415" s="1" t="s">
        <v>665</v>
      </c>
      <c r="Q415" s="1" t="n">
        <v>0</v>
      </c>
      <c r="R415" s="1" t="s">
        <v>1334</v>
      </c>
      <c r="S415" s="1" t="n">
        <v>20251126190516</v>
      </c>
      <c r="T415" s="2" t="s">
        <v>667</v>
      </c>
      <c r="U415" s="2" t="s">
        <v>668</v>
      </c>
      <c r="X415" s="2" t="n">
        <v>150533</v>
      </c>
      <c r="Y415" s="1" t="n">
        <v>1.5</v>
      </c>
      <c r="Z415" s="1" t="n">
        <v>2</v>
      </c>
    </row>
    <row r="416" customFormat="false" ht="18.7" hidden="false" customHeight="true" outlineLevel="0" collapsed="false">
      <c r="A416" s="1" t="n">
        <v>415</v>
      </c>
      <c r="B416" s="7" t="str">
        <f aca="false">HYPERLINK("https://mncourtfraud.com/file/27-CR-23-7088.pdf","27-CR-23-7088")</f>
        <v>27-CR-23-7088</v>
      </c>
      <c r="C416" s="1" t="n">
        <v>1</v>
      </c>
      <c r="D416" s="2" t="s">
        <v>12</v>
      </c>
      <c r="E416" s="8" t="n">
        <v>45412</v>
      </c>
      <c r="F416" s="2" t="s">
        <v>15</v>
      </c>
      <c r="G416" s="7" t="str">
        <f aca="false">HYPERLINK("https://mncourtfraud.com/file/MCRO_27-CR-23-7088_Order-Evaluation for Competency to Proceed (Rule 20.01)_2024-04-30_20251126190522.pdf","MCRO_27-CR-23-7088_Order-Evaluation for Competency to Proceed (Rule 20.01)_2024-04-30_20251126190522.pdf")</f>
        <v>MCRO_27-CR-23-7088_Order-Evaluation for Competency to Proceed (Rule 20.01)_2024-04-30_20251126190522.pdf</v>
      </c>
      <c r="I416" s="2" t="s">
        <v>481</v>
      </c>
      <c r="J416" s="2" t="s">
        <v>481</v>
      </c>
      <c r="K416" s="2" t="s">
        <v>482</v>
      </c>
      <c r="L416" s="2" t="s">
        <v>469</v>
      </c>
      <c r="M416" s="8" t="n">
        <v>45412</v>
      </c>
      <c r="N416" s="1" t="s">
        <v>665</v>
      </c>
      <c r="O416" s="1" t="n">
        <v>0</v>
      </c>
      <c r="P416" s="1" t="s">
        <v>665</v>
      </c>
      <c r="Q416" s="1" t="n">
        <v>0</v>
      </c>
      <c r="R416" s="1" t="s">
        <v>1335</v>
      </c>
      <c r="S416" s="1" t="n">
        <v>20251126190522</v>
      </c>
      <c r="T416" s="2" t="s">
        <v>670</v>
      </c>
      <c r="U416" s="2" t="s">
        <v>671</v>
      </c>
      <c r="X416" s="2" t="n">
        <v>219521</v>
      </c>
      <c r="Y416" s="1" t="n">
        <v>1.5</v>
      </c>
      <c r="Z416" s="1" t="n">
        <v>3</v>
      </c>
    </row>
    <row r="417" customFormat="false" ht="18.7" hidden="false" customHeight="true" outlineLevel="0" collapsed="false">
      <c r="A417" s="1" t="n">
        <v>416</v>
      </c>
      <c r="B417" s="7" t="str">
        <f aca="false">HYPERLINK("https://mncourtfraud.com/file/27-CR-23-7089.pdf","27-CR-23-7089")</f>
        <v>27-CR-23-7089</v>
      </c>
      <c r="C417" s="1" t="n">
        <v>1</v>
      </c>
      <c r="D417" s="2" t="s">
        <v>12</v>
      </c>
      <c r="E417" s="8" t="n">
        <v>45048</v>
      </c>
      <c r="F417" s="2" t="s">
        <v>80</v>
      </c>
      <c r="G417" s="7" t="str">
        <f aca="false">HYPERLINK("https://mncourtfraud.com/file/MCRO_27-CR-23-7089_Finding of Incompetency and Order_2023-05-02_20251126190557.pdf","MCRO_27-CR-23-7089_Finding of Incompetency and Order_2023-05-02_20251126190557.pdf")</f>
        <v>MCRO_27-CR-23-7089_Finding of Incompetency and Order_2023-05-02_20251126190557.pdf</v>
      </c>
      <c r="H417" s="2" t="s">
        <v>644</v>
      </c>
      <c r="I417" s="2" t="s">
        <v>644</v>
      </c>
      <c r="J417" s="2" t="s">
        <v>519</v>
      </c>
      <c r="K417" s="2" t="s">
        <v>520</v>
      </c>
      <c r="L417" s="2" t="s">
        <v>469</v>
      </c>
      <c r="M417" s="8" t="n">
        <v>45048</v>
      </c>
      <c r="N417" s="1" t="s">
        <v>645</v>
      </c>
      <c r="O417" s="1" t="n">
        <v>0</v>
      </c>
      <c r="P417" s="1" t="s">
        <v>646</v>
      </c>
      <c r="Q417" s="1" t="n">
        <v>0</v>
      </c>
      <c r="R417" s="1" t="s">
        <v>1336</v>
      </c>
      <c r="S417" s="1" t="n">
        <v>20251126190557</v>
      </c>
      <c r="T417" s="2" t="s">
        <v>648</v>
      </c>
      <c r="U417" s="2" t="s">
        <v>649</v>
      </c>
      <c r="W417" s="2" t="s">
        <v>650</v>
      </c>
      <c r="X417" s="2" t="n">
        <v>976549</v>
      </c>
      <c r="Y417" s="1" t="n">
        <v>1.7</v>
      </c>
      <c r="Z417" s="1" t="n">
        <v>6</v>
      </c>
      <c r="AA417" s="9" t="s">
        <v>475</v>
      </c>
    </row>
    <row r="418" customFormat="false" ht="18.7" hidden="false" customHeight="true" outlineLevel="0" collapsed="false">
      <c r="A418" s="1" t="n">
        <v>417</v>
      </c>
      <c r="B418" s="7" t="str">
        <f aca="false">HYPERLINK("https://mncourtfraud.com/file/27-CR-23-7089.pdf","27-CR-23-7089")</f>
        <v>27-CR-23-7089</v>
      </c>
      <c r="C418" s="1" t="n">
        <v>1</v>
      </c>
      <c r="D418" s="2" t="s">
        <v>12</v>
      </c>
      <c r="E418" s="8" t="n">
        <v>45160</v>
      </c>
      <c r="F418" s="2" t="s">
        <v>15</v>
      </c>
      <c r="G418" s="7" t="str">
        <f aca="false">HYPERLINK("https://mncourtfraud.com/file/MCRO_27-CR-23-7089_Order-Evaluation for Competency to Proceed (Rule 20.01)_2023-08-22_20251126190622.pdf","MCRO_27-CR-23-7089_Order-Evaluation for Competency to Proceed (Rule 20.01)_2023-08-22_20251126190622.pdf")</f>
        <v>MCRO_27-CR-23-7089_Order-Evaluation for Competency to Proceed (Rule 20.01)_2023-08-22_20251126190622.pdf</v>
      </c>
      <c r="H418" s="2" t="s">
        <v>658</v>
      </c>
      <c r="I418" s="2" t="s">
        <v>659</v>
      </c>
      <c r="J418" s="2" t="s">
        <v>519</v>
      </c>
      <c r="K418" s="2" t="s">
        <v>520</v>
      </c>
      <c r="L418" s="2" t="s">
        <v>469</v>
      </c>
      <c r="M418" s="8" t="n">
        <v>45160</v>
      </c>
      <c r="N418" s="1" t="s">
        <v>660</v>
      </c>
      <c r="O418" s="1" t="n">
        <v>0</v>
      </c>
      <c r="P418" s="1" t="s">
        <v>661</v>
      </c>
      <c r="Q418" s="1" t="n">
        <v>0</v>
      </c>
      <c r="R418" s="1" t="s">
        <v>1337</v>
      </c>
      <c r="S418" s="1" t="n">
        <v>20251126190622</v>
      </c>
      <c r="T418" s="2" t="s">
        <v>663</v>
      </c>
      <c r="U418" s="2" t="s">
        <v>664</v>
      </c>
      <c r="X418" s="2" t="n">
        <v>876406</v>
      </c>
      <c r="Y418" s="1" t="n">
        <v>1.7</v>
      </c>
      <c r="Z418" s="1" t="n">
        <v>2</v>
      </c>
      <c r="AA418" s="9" t="s">
        <v>475</v>
      </c>
    </row>
    <row r="419" customFormat="false" ht="18.7" hidden="false" customHeight="true" outlineLevel="0" collapsed="false">
      <c r="A419" s="1" t="n">
        <v>418</v>
      </c>
      <c r="B419" s="7" t="str">
        <f aca="false">HYPERLINK("https://mncourtfraud.com/file/27-CR-23-7089.pdf","27-CR-23-7089")</f>
        <v>27-CR-23-7089</v>
      </c>
      <c r="C419" s="1" t="n">
        <v>1</v>
      </c>
      <c r="D419" s="2" t="s">
        <v>12</v>
      </c>
      <c r="E419" s="8" t="n">
        <v>45412</v>
      </c>
      <c r="F419" s="2" t="s">
        <v>24</v>
      </c>
      <c r="G419" s="7" t="str">
        <f aca="false">HYPERLINK("https://mncourtfraud.com/file/MCRO_27-CR-23-7089_Order for Conditional Release_2024-04-30_20251126190607.pdf","MCRO_27-CR-23-7089_Order for Conditional Release_2024-04-30_20251126190607.pdf")</f>
        <v>MCRO_27-CR-23-7089_Order for Conditional Release_2024-04-30_20251126190607.pdf</v>
      </c>
      <c r="I419" s="2" t="s">
        <v>481</v>
      </c>
      <c r="J419" s="2" t="s">
        <v>481</v>
      </c>
      <c r="K419" s="2" t="s">
        <v>482</v>
      </c>
      <c r="L419" s="2" t="s">
        <v>469</v>
      </c>
      <c r="M419" s="8" t="n">
        <v>45412</v>
      </c>
      <c r="N419" s="1" t="s">
        <v>665</v>
      </c>
      <c r="O419" s="1" t="n">
        <v>0</v>
      </c>
      <c r="P419" s="1" t="s">
        <v>665</v>
      </c>
      <c r="Q419" s="1" t="n">
        <v>0</v>
      </c>
      <c r="R419" s="1" t="s">
        <v>1338</v>
      </c>
      <c r="S419" s="1" t="n">
        <v>20251126190607</v>
      </c>
      <c r="T419" s="2" t="s">
        <v>667</v>
      </c>
      <c r="U419" s="2" t="s">
        <v>668</v>
      </c>
      <c r="X419" s="2" t="n">
        <v>150533</v>
      </c>
      <c r="Y419" s="1" t="n">
        <v>1.5</v>
      </c>
      <c r="Z419" s="1" t="n">
        <v>2</v>
      </c>
    </row>
    <row r="420" customFormat="false" ht="18.7" hidden="false" customHeight="true" outlineLevel="0" collapsed="false">
      <c r="A420" s="1" t="n">
        <v>419</v>
      </c>
      <c r="B420" s="7" t="str">
        <f aca="false">HYPERLINK("https://mncourtfraud.com/file/27-CR-23-7089.pdf","27-CR-23-7089")</f>
        <v>27-CR-23-7089</v>
      </c>
      <c r="C420" s="1" t="n">
        <v>1</v>
      </c>
      <c r="D420" s="2" t="s">
        <v>12</v>
      </c>
      <c r="E420" s="8" t="n">
        <v>45412</v>
      </c>
      <c r="F420" s="2" t="s">
        <v>15</v>
      </c>
      <c r="G420" s="7" t="str">
        <f aca="false">HYPERLINK("https://mncourtfraud.com/file/MCRO_27-CR-23-7089_Order-Evaluation for Competency to Proceed (Rule 20.01)_2024-04-30_20251126190615.pdf","MCRO_27-CR-23-7089_Order-Evaluation for Competency to Proceed (Rule 20.01)_2024-04-30_20251126190615.pdf")</f>
        <v>MCRO_27-CR-23-7089_Order-Evaluation for Competency to Proceed (Rule 20.01)_2024-04-30_20251126190615.pdf</v>
      </c>
      <c r="I420" s="2" t="s">
        <v>481</v>
      </c>
      <c r="J420" s="2" t="s">
        <v>481</v>
      </c>
      <c r="K420" s="2" t="s">
        <v>482</v>
      </c>
      <c r="L420" s="2" t="s">
        <v>469</v>
      </c>
      <c r="M420" s="8" t="n">
        <v>45412</v>
      </c>
      <c r="N420" s="1" t="s">
        <v>665</v>
      </c>
      <c r="O420" s="1" t="n">
        <v>0</v>
      </c>
      <c r="P420" s="1" t="s">
        <v>665</v>
      </c>
      <c r="Q420" s="1" t="n">
        <v>0</v>
      </c>
      <c r="R420" s="1" t="s">
        <v>1339</v>
      </c>
      <c r="S420" s="1" t="n">
        <v>20251126190615</v>
      </c>
      <c r="T420" s="2" t="s">
        <v>670</v>
      </c>
      <c r="U420" s="2" t="s">
        <v>671</v>
      </c>
      <c r="X420" s="2" t="n">
        <v>219521</v>
      </c>
      <c r="Y420" s="1" t="n">
        <v>1.5</v>
      </c>
      <c r="Z420" s="1" t="n">
        <v>3</v>
      </c>
    </row>
    <row r="421" customFormat="false" ht="18.7" hidden="false" customHeight="true" outlineLevel="0" collapsed="false">
      <c r="A421" s="1" t="n">
        <v>420</v>
      </c>
      <c r="B421" s="7" t="str">
        <f aca="false">HYPERLINK("https://mncourtfraud.com/file/27-CR-23-7275.pdf","27-CR-23-7275")</f>
        <v>27-CR-23-7275</v>
      </c>
      <c r="C421" s="1" t="n">
        <v>1</v>
      </c>
      <c r="D421" s="2" t="s">
        <v>12</v>
      </c>
      <c r="E421" s="8" t="n">
        <v>45048</v>
      </c>
      <c r="F421" s="2" t="s">
        <v>80</v>
      </c>
      <c r="G421" s="7" t="str">
        <f aca="false">HYPERLINK("https://mncourtfraud.com/file/MCRO_27-CR-23-7275_Finding of Incompetency and Order_2023-05-02_20251126190643.pdf","MCRO_27-CR-23-7275_Finding of Incompetency and Order_2023-05-02_20251126190643.pdf")</f>
        <v>MCRO_27-CR-23-7275_Finding of Incompetency and Order_2023-05-02_20251126190643.pdf</v>
      </c>
      <c r="H421" s="2" t="s">
        <v>644</v>
      </c>
      <c r="I421" s="2" t="s">
        <v>644</v>
      </c>
      <c r="J421" s="2" t="s">
        <v>519</v>
      </c>
      <c r="K421" s="2" t="s">
        <v>520</v>
      </c>
      <c r="L421" s="2" t="s">
        <v>469</v>
      </c>
      <c r="M421" s="8" t="n">
        <v>45048</v>
      </c>
      <c r="N421" s="1" t="s">
        <v>645</v>
      </c>
      <c r="O421" s="1" t="n">
        <v>0</v>
      </c>
      <c r="P421" s="1" t="s">
        <v>646</v>
      </c>
      <c r="Q421" s="1" t="n">
        <v>0</v>
      </c>
      <c r="R421" s="1" t="s">
        <v>1340</v>
      </c>
      <c r="S421" s="1" t="n">
        <v>20251126190643</v>
      </c>
      <c r="T421" s="2" t="s">
        <v>648</v>
      </c>
      <c r="U421" s="2" t="s">
        <v>649</v>
      </c>
      <c r="W421" s="2" t="s">
        <v>650</v>
      </c>
      <c r="X421" s="2" t="n">
        <v>976543</v>
      </c>
      <c r="Y421" s="1" t="n">
        <v>1.7</v>
      </c>
      <c r="Z421" s="1" t="n">
        <v>6</v>
      </c>
      <c r="AA421" s="9" t="s">
        <v>475</v>
      </c>
    </row>
    <row r="422" customFormat="false" ht="18.7" hidden="false" customHeight="true" outlineLevel="0" collapsed="false">
      <c r="A422" s="1" t="n">
        <v>421</v>
      </c>
      <c r="B422" s="7" t="str">
        <f aca="false">HYPERLINK("https://mncourtfraud.com/file/27-CR-23-7275.pdf","27-CR-23-7275")</f>
        <v>27-CR-23-7275</v>
      </c>
      <c r="C422" s="1" t="n">
        <v>1</v>
      </c>
      <c r="D422" s="2" t="s">
        <v>12</v>
      </c>
      <c r="E422" s="8" t="n">
        <v>45160</v>
      </c>
      <c r="F422" s="2" t="s">
        <v>15</v>
      </c>
      <c r="G422" s="7" t="str">
        <f aca="false">HYPERLINK("https://mncourtfraud.com/file/MCRO_27-CR-23-7275_Order-Evaluation for Competency to Proceed (Rule 20.01)_2023-08-22_20251126190704.pdf","MCRO_27-CR-23-7275_Order-Evaluation for Competency to Proceed (Rule 20.01)_2023-08-22_20251126190704.pdf")</f>
        <v>MCRO_27-CR-23-7275_Order-Evaluation for Competency to Proceed (Rule 20.01)_2023-08-22_20251126190704.pdf</v>
      </c>
      <c r="H422" s="2" t="s">
        <v>658</v>
      </c>
      <c r="I422" s="2" t="s">
        <v>659</v>
      </c>
      <c r="J422" s="2" t="s">
        <v>519</v>
      </c>
      <c r="K422" s="2" t="s">
        <v>520</v>
      </c>
      <c r="L422" s="2" t="s">
        <v>469</v>
      </c>
      <c r="M422" s="8" t="n">
        <v>45160</v>
      </c>
      <c r="N422" s="1" t="s">
        <v>660</v>
      </c>
      <c r="O422" s="1" t="n">
        <v>0</v>
      </c>
      <c r="P422" s="1" t="s">
        <v>661</v>
      </c>
      <c r="Q422" s="1" t="n">
        <v>0</v>
      </c>
      <c r="R422" s="1" t="s">
        <v>1341</v>
      </c>
      <c r="S422" s="1" t="n">
        <v>20251126190704</v>
      </c>
      <c r="T422" s="2" t="s">
        <v>663</v>
      </c>
      <c r="U422" s="2" t="s">
        <v>664</v>
      </c>
      <c r="X422" s="2" t="n">
        <v>876404</v>
      </c>
      <c r="Y422" s="1" t="n">
        <v>1.7</v>
      </c>
      <c r="Z422" s="1" t="n">
        <v>2</v>
      </c>
      <c r="AA422" s="9" t="s">
        <v>475</v>
      </c>
    </row>
    <row r="423" customFormat="false" ht="18.7" hidden="false" customHeight="true" outlineLevel="0" collapsed="false">
      <c r="A423" s="1" t="n">
        <v>422</v>
      </c>
      <c r="B423" s="7" t="str">
        <f aca="false">HYPERLINK("https://mncourtfraud.com/file/27-CR-23-7275.pdf","27-CR-23-7275")</f>
        <v>27-CR-23-7275</v>
      </c>
      <c r="C423" s="1" t="n">
        <v>1</v>
      </c>
      <c r="D423" s="2" t="s">
        <v>12</v>
      </c>
      <c r="E423" s="8" t="n">
        <v>45412</v>
      </c>
      <c r="F423" s="2" t="s">
        <v>24</v>
      </c>
      <c r="G423" s="7" t="str">
        <f aca="false">HYPERLINK("https://mncourtfraud.com/file/MCRO_27-CR-23-7275_Order for Conditional Release_2024-04-30_20251126190652.pdf","MCRO_27-CR-23-7275_Order for Conditional Release_2024-04-30_20251126190652.pdf")</f>
        <v>MCRO_27-CR-23-7275_Order for Conditional Release_2024-04-30_20251126190652.pdf</v>
      </c>
      <c r="I423" s="2" t="s">
        <v>481</v>
      </c>
      <c r="J423" s="2" t="s">
        <v>481</v>
      </c>
      <c r="K423" s="2" t="s">
        <v>482</v>
      </c>
      <c r="L423" s="2" t="s">
        <v>469</v>
      </c>
      <c r="M423" s="8" t="n">
        <v>45412</v>
      </c>
      <c r="N423" s="1" t="s">
        <v>665</v>
      </c>
      <c r="O423" s="1" t="n">
        <v>0</v>
      </c>
      <c r="P423" s="1" t="s">
        <v>665</v>
      </c>
      <c r="Q423" s="1" t="n">
        <v>0</v>
      </c>
      <c r="R423" s="1" t="s">
        <v>1342</v>
      </c>
      <c r="S423" s="1" t="n">
        <v>20251126190652</v>
      </c>
      <c r="T423" s="2" t="s">
        <v>667</v>
      </c>
      <c r="U423" s="2" t="s">
        <v>668</v>
      </c>
      <c r="X423" s="2" t="n">
        <v>150533</v>
      </c>
      <c r="Y423" s="1" t="n">
        <v>1.5</v>
      </c>
      <c r="Z423" s="1" t="n">
        <v>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W5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9.72"/>
    <col collapsed="false" customWidth="true" hidden="false" outlineLevel="0" max="2" min="2" style="2" width="21.38"/>
    <col collapsed="false" customWidth="true" hidden="false" outlineLevel="0" max="3" min="3" style="1" width="14.31"/>
    <col collapsed="false" customWidth="true" hidden="false" outlineLevel="0" max="4" min="4" style="2" width="27.23"/>
    <col collapsed="false" customWidth="true" hidden="false" outlineLevel="0" max="5" min="5" style="1" width="16.2"/>
    <col collapsed="false" customWidth="true" hidden="false" outlineLevel="0" max="6" min="6" style="2" width="63.9"/>
    <col collapsed="false" customWidth="true" hidden="false" outlineLevel="0" max="7" min="7" style="2" width="124.41"/>
    <col collapsed="false" customWidth="true" hidden="false" outlineLevel="0" max="8" min="8" style="1" width="14.86"/>
    <col collapsed="false" customWidth="true" hidden="false" outlineLevel="0" max="9" min="9" style="1" width="11.81"/>
    <col collapsed="false" customWidth="true" hidden="false" outlineLevel="0" max="10" min="10" style="1" width="14.86"/>
    <col collapsed="false" customWidth="true" hidden="false" outlineLevel="0" max="11" min="11" style="1" width="16.26"/>
    <col collapsed="false" customWidth="true" hidden="false" outlineLevel="0" max="12" min="12" style="2" width="61.96"/>
    <col collapsed="false" customWidth="true" hidden="false" outlineLevel="0" max="13" min="13" style="2" width="56.55"/>
    <col collapsed="false" customWidth="true" hidden="false" outlineLevel="0" max="14" min="14" style="2" width="30.7"/>
    <col collapsed="false" customWidth="true" hidden="false" outlineLevel="0" max="15" min="15" style="2" width="27.5"/>
    <col collapsed="false" customWidth="true" hidden="false" outlineLevel="0" max="16" min="16" style="2" width="14.59"/>
    <col collapsed="false" customWidth="true" hidden="false" outlineLevel="0" max="17" min="17" style="1" width="13.62"/>
    <col collapsed="false" customWidth="true" hidden="false" outlineLevel="0" max="20" min="18" style="2" width="13.62"/>
    <col collapsed="false" customWidth="true" hidden="false" outlineLevel="0" max="21" min="21" style="2" width="16.94"/>
    <col collapsed="false" customWidth="true" hidden="false" outlineLevel="0" max="22" min="22" style="2" width="18.2"/>
    <col collapsed="false" customWidth="true" hidden="false" outlineLevel="0" max="23" min="23" style="2" width="18.76"/>
    <col collapsed="false" customWidth="false" hidden="false" outlineLevel="0" max="24" min="24" style="2" width="11.52"/>
    <col collapsed="false" customWidth="true" hidden="false" outlineLevel="0" max="25" min="25" style="0" width="21.38"/>
    <col collapsed="false" customWidth="true" hidden="false" outlineLevel="0" max="26" min="26" style="0" width="16.2"/>
    <col collapsed="false" customWidth="true" hidden="false" outlineLevel="0" max="27" min="27" style="0" width="63.9"/>
    <col collapsed="false" customWidth="true" hidden="false" outlineLevel="0" max="28" min="28" style="0" width="15.69"/>
    <col collapsed="false" customWidth="false" hidden="false" outlineLevel="0" max="1022" min="29" style="2" width="11.52"/>
  </cols>
  <sheetData>
    <row r="1" customFormat="false" ht="23.05" hidden="false" customHeight="true" outlineLevel="0" collapsed="false">
      <c r="A1" s="3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1343</v>
      </c>
      <c r="H1" s="3" t="s">
        <v>1344</v>
      </c>
      <c r="I1" s="3" t="s">
        <v>1345</v>
      </c>
      <c r="J1" s="3" t="s">
        <v>1346</v>
      </c>
      <c r="K1" s="3" t="s">
        <v>1347</v>
      </c>
      <c r="L1" s="3" t="s">
        <v>1348</v>
      </c>
      <c r="M1" s="3" t="s">
        <v>1349</v>
      </c>
      <c r="N1" s="3" t="s">
        <v>1350</v>
      </c>
      <c r="O1" s="3" t="s">
        <v>1351</v>
      </c>
      <c r="P1" s="3" t="s">
        <v>1352</v>
      </c>
      <c r="Q1" s="3" t="s">
        <v>1353</v>
      </c>
      <c r="R1" s="3" t="s">
        <v>1354</v>
      </c>
      <c r="S1" s="3" t="s">
        <v>1355</v>
      </c>
      <c r="T1" s="3" t="s">
        <v>1356</v>
      </c>
      <c r="U1" s="3" t="s">
        <v>1357</v>
      </c>
      <c r="V1" s="3" t="s">
        <v>1358</v>
      </c>
      <c r="W1" s="3" t="s">
        <v>1359</v>
      </c>
    </row>
    <row r="2" customFormat="false" ht="18.7" hidden="false" customHeight="true" outlineLevel="0" collapsed="false">
      <c r="A2" s="1" t="n">
        <v>1</v>
      </c>
      <c r="B2" s="7" t="str">
        <f aca="false">HYPERLINK("https://mncourtfraud.com/file/27-CR-19-26893.pdf","27-CR-19-26893")</f>
        <v>27-CR-19-26893</v>
      </c>
      <c r="C2" s="1" t="n">
        <v>1</v>
      </c>
      <c r="D2" s="2" t="s">
        <v>12</v>
      </c>
      <c r="E2" s="8" t="n">
        <v>44103</v>
      </c>
      <c r="F2" s="2" t="s">
        <v>19</v>
      </c>
      <c r="G2" s="7" t="str">
        <f aca="false">HYPERLINK("https://mncourtfraud.com/file/MCRO_27-CR-19-26893_Findings and Order_2020-09-29_20251126174721.pdf","MCRO_27-CR-19-26893_Findings and Order_2020-09-29_20251126174721.pdf")</f>
        <v>MCRO_27-CR-19-26893_Findings and Order_2020-09-29_20251126174721.pdf</v>
      </c>
      <c r="H2" s="1" t="n">
        <v>4</v>
      </c>
      <c r="I2" s="1" t="s">
        <v>1360</v>
      </c>
      <c r="J2" s="1" t="n">
        <v>1</v>
      </c>
      <c r="K2" s="1" t="n">
        <v>1</v>
      </c>
      <c r="L2" s="2" t="s">
        <v>1361</v>
      </c>
      <c r="M2" s="2" t="s">
        <v>1362</v>
      </c>
      <c r="N2" s="2" t="s">
        <v>1363</v>
      </c>
      <c r="O2" s="2" t="s">
        <v>1364</v>
      </c>
      <c r="P2" s="2" t="s">
        <v>1365</v>
      </c>
      <c r="Q2" s="1" t="n">
        <v>0</v>
      </c>
      <c r="R2" s="2" t="n">
        <v>314045</v>
      </c>
      <c r="S2" s="2" t="n">
        <v>330431</v>
      </c>
      <c r="T2" s="2" t="n">
        <v>4483</v>
      </c>
      <c r="U2" s="2" t="n">
        <v>318528</v>
      </c>
      <c r="V2" s="2" t="n">
        <v>95.11</v>
      </c>
      <c r="W2" s="2" t="s">
        <v>1360</v>
      </c>
    </row>
    <row r="3" customFormat="false" ht="18.7" hidden="false" customHeight="true" outlineLevel="0" collapsed="false">
      <c r="A3" s="1" t="n">
        <v>2</v>
      </c>
      <c r="B3" s="7" t="str">
        <f aca="false">HYPERLINK("https://mncourtfraud.com/file/27-CR-19-26893.pdf","27-CR-19-26893")</f>
        <v>27-CR-19-26893</v>
      </c>
      <c r="C3" s="1" t="n">
        <v>1</v>
      </c>
      <c r="D3" s="2" t="s">
        <v>12</v>
      </c>
      <c r="E3" s="8" t="n">
        <v>44439</v>
      </c>
      <c r="F3" s="2" t="s">
        <v>19</v>
      </c>
      <c r="G3" s="7" t="str">
        <f aca="false">HYPERLINK("https://mncourtfraud.com/file/MCRO_27-CR-19-26893_Findings and Order_2021-08-31_20251126174732.pdf","MCRO_27-CR-19-26893_Findings and Order_2021-08-31_20251126174732.pdf")</f>
        <v>MCRO_27-CR-19-26893_Findings and Order_2021-08-31_20251126174732.pdf</v>
      </c>
      <c r="H3" s="1" t="n">
        <v>5</v>
      </c>
      <c r="I3" s="1" t="s">
        <v>1366</v>
      </c>
      <c r="J3" s="1" t="n">
        <v>1</v>
      </c>
      <c r="K3" s="1" t="n">
        <v>1</v>
      </c>
      <c r="L3" s="2" t="s">
        <v>1367</v>
      </c>
      <c r="M3" s="2" t="s">
        <v>1368</v>
      </c>
      <c r="N3" s="2" t="s">
        <v>1369</v>
      </c>
      <c r="O3" s="2" t="s">
        <v>1364</v>
      </c>
      <c r="P3" s="2" t="s">
        <v>1370</v>
      </c>
      <c r="Q3" s="1" t="n">
        <v>0</v>
      </c>
      <c r="R3" s="2" t="n">
        <v>129996</v>
      </c>
      <c r="S3" s="2" t="n">
        <v>137690</v>
      </c>
      <c r="T3" s="2" t="n">
        <v>19979</v>
      </c>
      <c r="U3" s="2" t="n">
        <v>149975</v>
      </c>
      <c r="V3" s="2" t="n">
        <v>39.94</v>
      </c>
      <c r="W3" s="2" t="s">
        <v>1366</v>
      </c>
    </row>
    <row r="4" customFormat="false" ht="18.7" hidden="false" customHeight="true" outlineLevel="0" collapsed="false">
      <c r="A4" s="1" t="n">
        <v>3</v>
      </c>
      <c r="B4" s="7" t="str">
        <f aca="false">HYPERLINK("https://mncourtfraud.com/file/27-CR-19-26893.pdf","27-CR-19-26893")</f>
        <v>27-CR-19-26893</v>
      </c>
      <c r="C4" s="1" t="n">
        <v>1</v>
      </c>
      <c r="D4" s="2" t="s">
        <v>12</v>
      </c>
      <c r="E4" s="8" t="n">
        <v>44439</v>
      </c>
      <c r="F4" s="2" t="s">
        <v>19</v>
      </c>
      <c r="G4" s="7" t="str">
        <f aca="false">HYPERLINK("https://mncourtfraud.com/file/MCRO_27-CR-19-26893_Findings and Order_2021-08-31_20251126174732.pdf","MCRO_27-CR-19-26893_Findings and Order_2021-08-31_20251126174732.pdf")</f>
        <v>MCRO_27-CR-19-26893_Findings and Order_2021-08-31_20251126174732.pdf</v>
      </c>
      <c r="H4" s="1" t="n">
        <v>5</v>
      </c>
      <c r="I4" s="1" t="s">
        <v>1366</v>
      </c>
      <c r="J4" s="1" t="n">
        <v>2</v>
      </c>
      <c r="K4" s="1" t="n">
        <v>2</v>
      </c>
      <c r="L4" s="2" t="s">
        <v>1371</v>
      </c>
      <c r="M4" s="2" t="s">
        <v>1362</v>
      </c>
      <c r="N4" s="2" t="s">
        <v>1372</v>
      </c>
      <c r="O4" s="2" t="s">
        <v>1364</v>
      </c>
      <c r="P4" s="2" t="s">
        <v>1373</v>
      </c>
      <c r="Q4" s="1" t="n">
        <v>0</v>
      </c>
      <c r="R4" s="2" t="n">
        <v>354061</v>
      </c>
      <c r="S4" s="2" t="n">
        <v>370447</v>
      </c>
      <c r="T4" s="2" t="n">
        <v>5043</v>
      </c>
      <c r="U4" s="2" t="n">
        <v>359104</v>
      </c>
      <c r="V4" s="2" t="n">
        <v>95.64</v>
      </c>
      <c r="W4" s="2" t="s">
        <v>1360</v>
      </c>
    </row>
    <row r="5" customFormat="false" ht="18.7" hidden="false" customHeight="true" outlineLevel="0" collapsed="false">
      <c r="A5" s="1" t="n">
        <v>4</v>
      </c>
      <c r="B5" s="7" t="str">
        <f aca="false">HYPERLINK("https://mncourtfraud.com/file/27-CR-19-26893.pdf","27-CR-19-26893")</f>
        <v>27-CR-19-26893</v>
      </c>
      <c r="C5" s="1" t="n">
        <v>1</v>
      </c>
      <c r="D5" s="2" t="s">
        <v>12</v>
      </c>
      <c r="E5" s="8" t="n">
        <v>44593</v>
      </c>
      <c r="F5" s="2" t="s">
        <v>19</v>
      </c>
      <c r="G5" s="7" t="str">
        <f aca="false">HYPERLINK("https://mncourtfraud.com/file/MCRO_27-CR-19-26893_Findings and Order_2022-02-01_20251126174710.pdf","MCRO_27-CR-19-26893_Findings and Order_2022-02-01_20251126174710.pdf")</f>
        <v>MCRO_27-CR-19-26893_Findings and Order_2022-02-01_20251126174710.pdf</v>
      </c>
      <c r="H5" s="1" t="n">
        <v>4</v>
      </c>
      <c r="I5" s="1" t="s">
        <v>1360</v>
      </c>
      <c r="J5" s="1" t="n">
        <v>1</v>
      </c>
      <c r="K5" s="1" t="n">
        <v>1</v>
      </c>
      <c r="L5" s="2" t="s">
        <v>1367</v>
      </c>
      <c r="M5" s="2" t="s">
        <v>1368</v>
      </c>
      <c r="N5" s="2" t="s">
        <v>1374</v>
      </c>
      <c r="O5" s="2" t="s">
        <v>1364</v>
      </c>
      <c r="P5" s="2" t="s">
        <v>1375</v>
      </c>
      <c r="Q5" s="1" t="n">
        <v>0</v>
      </c>
      <c r="R5" s="2" t="n">
        <v>163153</v>
      </c>
      <c r="S5" s="2" t="n">
        <v>173205</v>
      </c>
      <c r="T5" s="2" t="n">
        <v>9683</v>
      </c>
      <c r="U5" s="2" t="n">
        <v>172836</v>
      </c>
      <c r="V5" s="2" t="n">
        <v>47.77</v>
      </c>
      <c r="W5" s="2" t="s">
        <v>1366</v>
      </c>
    </row>
    <row r="6" customFormat="false" ht="18.7" hidden="false" customHeight="true" outlineLevel="0" collapsed="false">
      <c r="A6" s="1" t="n">
        <v>5</v>
      </c>
      <c r="B6" s="7" t="str">
        <f aca="false">HYPERLINK("https://mncourtfraud.com/file/27-CR-19-26893.pdf","27-CR-19-26893")</f>
        <v>27-CR-19-26893</v>
      </c>
      <c r="C6" s="1" t="n">
        <v>1</v>
      </c>
      <c r="D6" s="2" t="s">
        <v>12</v>
      </c>
      <c r="E6" s="8" t="n">
        <v>44593</v>
      </c>
      <c r="F6" s="2" t="s">
        <v>19</v>
      </c>
      <c r="G6" s="7" t="str">
        <f aca="false">HYPERLINK("https://mncourtfraud.com/file/MCRO_27-CR-19-26893_Findings and Order_2022-02-01_20251126174710.pdf","MCRO_27-CR-19-26893_Findings and Order_2022-02-01_20251126174710.pdf")</f>
        <v>MCRO_27-CR-19-26893_Findings and Order_2022-02-01_20251126174710.pdf</v>
      </c>
      <c r="H6" s="1" t="n">
        <v>4</v>
      </c>
      <c r="I6" s="1" t="s">
        <v>1360</v>
      </c>
      <c r="J6" s="1" t="n">
        <v>2</v>
      </c>
      <c r="K6" s="1" t="n">
        <v>2</v>
      </c>
      <c r="L6" s="2" t="s">
        <v>1376</v>
      </c>
      <c r="M6" s="2" t="s">
        <v>1362</v>
      </c>
      <c r="N6" s="2" t="s">
        <v>1377</v>
      </c>
      <c r="O6" s="2" t="s">
        <v>1364</v>
      </c>
      <c r="P6" s="2" t="s">
        <v>1378</v>
      </c>
      <c r="Q6" s="1" t="n">
        <v>0</v>
      </c>
      <c r="R6" s="2" t="n">
        <v>340309</v>
      </c>
      <c r="S6" s="2" t="n">
        <v>356695</v>
      </c>
      <c r="T6" s="2" t="n">
        <v>5091</v>
      </c>
      <c r="U6" s="2" t="n">
        <v>345400</v>
      </c>
      <c r="V6" s="2" t="n">
        <v>95.47</v>
      </c>
      <c r="W6" s="2" t="s">
        <v>1360</v>
      </c>
    </row>
    <row r="7" customFormat="false" ht="18.7" hidden="false" customHeight="true" outlineLevel="0" collapsed="false">
      <c r="A7" s="1" t="n">
        <v>6</v>
      </c>
      <c r="B7" s="7" t="str">
        <f aca="false">HYPERLINK("https://mncourtfraud.com/file/27-CR-19-26893.pdf","27-CR-19-26893")</f>
        <v>27-CR-19-26893</v>
      </c>
      <c r="C7" s="1" t="n">
        <v>1</v>
      </c>
      <c r="D7" s="2" t="s">
        <v>12</v>
      </c>
      <c r="E7" s="8" t="n">
        <v>43844</v>
      </c>
      <c r="F7" s="2" t="s">
        <v>13</v>
      </c>
      <c r="G7" s="7" t="str">
        <f aca="false">HYPERLINK("https://mncourtfraud.com/file/MCRO_27-CR-19-26893_Find of Fact-Order, Pet Commitment-Dfd Found Incompetent_2020-01-14_20251126174653.pdf","MCRO_27-CR-19-26893_Find of Fact-Order, Pet Commitment-Dfd Found Incompetent_2020-01-14_20251126174653.pdf")</f>
        <v>MCRO_27-CR-19-26893_Find of Fact-Order, Pet Commitment-Dfd Found Incompetent_2020-01-14_20251126174653.pdf</v>
      </c>
      <c r="H7" s="1" t="n">
        <v>5</v>
      </c>
      <c r="I7" s="1" t="s">
        <v>1360</v>
      </c>
      <c r="J7" s="1" t="n">
        <v>1</v>
      </c>
      <c r="K7" s="1" t="n">
        <v>1</v>
      </c>
      <c r="L7" s="2" t="s">
        <v>1379</v>
      </c>
      <c r="M7" s="2" t="s">
        <v>1362</v>
      </c>
      <c r="N7" s="2" t="s">
        <v>1380</v>
      </c>
      <c r="O7" s="2" t="s">
        <v>1364</v>
      </c>
      <c r="P7" s="2" t="s">
        <v>1381</v>
      </c>
      <c r="Q7" s="1" t="n">
        <v>0</v>
      </c>
      <c r="R7" s="2" t="n">
        <v>210719</v>
      </c>
      <c r="S7" s="2" t="n">
        <v>227105</v>
      </c>
      <c r="T7" s="2" t="n">
        <v>5547</v>
      </c>
      <c r="U7" s="2" t="n">
        <v>216266</v>
      </c>
      <c r="V7" s="2" t="n">
        <v>92.96</v>
      </c>
      <c r="W7" s="2" t="s">
        <v>1360</v>
      </c>
    </row>
    <row r="8" customFormat="false" ht="18.7" hidden="false" customHeight="true" outlineLevel="0" collapsed="false">
      <c r="A8" s="1" t="n">
        <v>7</v>
      </c>
      <c r="B8" s="7" t="str">
        <f aca="false">HYPERLINK("https://mncourtfraud.com/file/27-CR-19-26893.pdf","27-CR-19-26893")</f>
        <v>27-CR-19-26893</v>
      </c>
      <c r="C8" s="1" t="n">
        <v>1</v>
      </c>
      <c r="D8" s="2" t="s">
        <v>12</v>
      </c>
      <c r="E8" s="8" t="n">
        <v>43902</v>
      </c>
      <c r="F8" s="2" t="s">
        <v>15</v>
      </c>
      <c r="G8" s="7" t="str">
        <f aca="false">HYPERLINK("https://mncourtfraud.com/file/MCRO_27-CR-19-26893_Order-Evaluation for Competency to Proceed (Rule 20.01)_2020-03-12_20251126174914.pdf","MCRO_27-CR-19-26893_Order-Evaluation for Competency to Proceed (Rule 20.01)_2020-03-12_20251126174914.pdf")</f>
        <v>MCRO_27-CR-19-26893_Order-Evaluation for Competency to Proceed (Rule 20.01)_2020-03-12_20251126174914.pdf</v>
      </c>
      <c r="H8" s="1" t="n">
        <v>4</v>
      </c>
      <c r="I8" s="1" t="s">
        <v>1360</v>
      </c>
      <c r="J8" s="1" t="n">
        <v>1</v>
      </c>
      <c r="K8" s="1" t="n">
        <v>1</v>
      </c>
      <c r="L8" s="2" t="s">
        <v>1382</v>
      </c>
      <c r="M8" s="2" t="s">
        <v>1362</v>
      </c>
      <c r="N8" s="2" t="s">
        <v>1383</v>
      </c>
      <c r="O8" s="2" t="s">
        <v>1364</v>
      </c>
      <c r="P8" s="2" t="s">
        <v>1384</v>
      </c>
      <c r="Q8" s="1" t="n">
        <v>0</v>
      </c>
      <c r="R8" s="2" t="n">
        <v>1157673</v>
      </c>
      <c r="S8" s="2" t="n">
        <v>1174059</v>
      </c>
      <c r="T8" s="2" t="n">
        <v>8614</v>
      </c>
      <c r="U8" s="2" t="n">
        <v>1166287</v>
      </c>
      <c r="V8" s="2" t="n">
        <v>98.61</v>
      </c>
      <c r="W8" s="2" t="s">
        <v>1360</v>
      </c>
    </row>
    <row r="9" customFormat="false" ht="18.7" hidden="false" customHeight="true" outlineLevel="0" collapsed="false">
      <c r="A9" s="1" t="n">
        <v>8</v>
      </c>
      <c r="B9" s="7" t="str">
        <f aca="false">HYPERLINK("https://mncourtfraud.com/file/27-CR-19-26893.pdf","27-CR-19-26893")</f>
        <v>27-CR-19-26893</v>
      </c>
      <c r="C9" s="1" t="n">
        <v>1</v>
      </c>
      <c r="D9" s="2" t="s">
        <v>12</v>
      </c>
      <c r="E9" s="8" t="n">
        <v>44225</v>
      </c>
      <c r="F9" s="2" t="s">
        <v>15</v>
      </c>
      <c r="G9" s="7" t="str">
        <f aca="false">HYPERLINK("https://mncourtfraud.com/file/MCRO_27-CR-19-26893_Order-Evaluation for Competency to Proceed (Rule 20.01)_2021-01-29_20251126174927.pdf","MCRO_27-CR-19-26893_Order-Evaluation for Competency to Proceed (Rule 20.01)_2021-01-29_20251126174927.pdf")</f>
        <v>MCRO_27-CR-19-26893_Order-Evaluation for Competency to Proceed (Rule 20.01)_2021-01-29_20251126174927.pdf</v>
      </c>
      <c r="H9" s="1" t="n">
        <v>3</v>
      </c>
      <c r="I9" s="1" t="s">
        <v>1360</v>
      </c>
      <c r="J9" s="1" t="n">
        <v>1</v>
      </c>
      <c r="K9" s="1" t="n">
        <v>1</v>
      </c>
      <c r="L9" s="2" t="s">
        <v>1385</v>
      </c>
      <c r="M9" s="2" t="s">
        <v>1362</v>
      </c>
      <c r="N9" s="2" t="s">
        <v>1386</v>
      </c>
      <c r="O9" s="2" t="s">
        <v>1364</v>
      </c>
      <c r="P9" s="2" t="s">
        <v>1387</v>
      </c>
      <c r="Q9" s="1" t="n">
        <v>0</v>
      </c>
      <c r="R9" s="2" t="n">
        <v>432742</v>
      </c>
      <c r="S9" s="2" t="n">
        <v>449128</v>
      </c>
      <c r="T9" s="2" t="n">
        <v>5077</v>
      </c>
      <c r="U9" s="2" t="n">
        <v>437819</v>
      </c>
      <c r="V9" s="2" t="n">
        <v>96.39</v>
      </c>
      <c r="W9" s="2" t="s">
        <v>1360</v>
      </c>
    </row>
    <row r="10" customFormat="false" ht="18.7" hidden="false" customHeight="true" outlineLevel="0" collapsed="false">
      <c r="A10" s="1" t="n">
        <v>9</v>
      </c>
      <c r="B10" s="7" t="str">
        <f aca="false">HYPERLINK("https://mncourtfraud.com/file/27-CR-19-26893.pdf","27-CR-19-26893")</f>
        <v>27-CR-19-26893</v>
      </c>
      <c r="C10" s="1" t="n">
        <v>1</v>
      </c>
      <c r="D10" s="2" t="s">
        <v>12</v>
      </c>
      <c r="E10" s="8" t="n">
        <v>44396</v>
      </c>
      <c r="F10" s="2" t="s">
        <v>15</v>
      </c>
      <c r="G10" s="7" t="str">
        <f aca="false">HYPERLINK("https://mncourtfraud.com/file/MCRO_27-CR-19-26893_Order-Evaluation for Competency to Proceed (Rule 20.01)_2021-07-19_20251126174939.pdf","MCRO_27-CR-19-26893_Order-Evaluation for Competency to Proceed (Rule 20.01)_2021-07-19_20251126174939.pdf")</f>
        <v>MCRO_27-CR-19-26893_Order-Evaluation for Competency to Proceed (Rule 20.01)_2021-07-19_20251126174939.pdf</v>
      </c>
      <c r="H10" s="1" t="n">
        <v>4</v>
      </c>
      <c r="I10" s="1" t="s">
        <v>1360</v>
      </c>
      <c r="J10" s="1" t="n">
        <v>1</v>
      </c>
      <c r="K10" s="1" t="n">
        <v>1</v>
      </c>
      <c r="L10" s="2" t="s">
        <v>1388</v>
      </c>
      <c r="M10" s="2" t="s">
        <v>1362</v>
      </c>
      <c r="N10" s="2" t="s">
        <v>1389</v>
      </c>
      <c r="O10" s="2" t="s">
        <v>1364</v>
      </c>
      <c r="P10" s="2" t="s">
        <v>1390</v>
      </c>
      <c r="Q10" s="1" t="n">
        <v>0</v>
      </c>
      <c r="R10" s="2" t="n">
        <v>172394</v>
      </c>
      <c r="S10" s="2" t="n">
        <v>188780</v>
      </c>
      <c r="T10" s="2" t="n">
        <v>8533</v>
      </c>
      <c r="U10" s="2" t="n">
        <v>180927</v>
      </c>
      <c r="V10" s="2" t="n">
        <v>91.7</v>
      </c>
      <c r="W10" s="2" t="s">
        <v>1360</v>
      </c>
    </row>
    <row r="11" customFormat="false" ht="18.7" hidden="false" customHeight="true" outlineLevel="0" collapsed="false">
      <c r="A11" s="1" t="n">
        <v>10</v>
      </c>
      <c r="B11" s="7" t="str">
        <f aca="false">HYPERLINK("https://mncourtfraud.com/file/27-CR-19-26893.pdf","27-CR-19-26893")</f>
        <v>27-CR-19-26893</v>
      </c>
      <c r="C11" s="1" t="n">
        <v>1</v>
      </c>
      <c r="D11" s="2" t="s">
        <v>12</v>
      </c>
      <c r="E11" s="8" t="n">
        <v>44543</v>
      </c>
      <c r="F11" s="2" t="s">
        <v>15</v>
      </c>
      <c r="G11" s="7" t="str">
        <f aca="false">HYPERLINK("https://mncourtfraud.com/file/MCRO_27-CR-19-26893_Order-Evaluation for Competency to Proceed (Rule 20.01)_2021-12-13_20251126174821.pdf","MCRO_27-CR-19-26893_Order-Evaluation for Competency to Proceed (Rule 20.01)_2021-12-13_20251126174821.pdf")</f>
        <v>MCRO_27-CR-19-26893_Order-Evaluation for Competency to Proceed (Rule 20.01)_2021-12-13_20251126174821.pdf</v>
      </c>
      <c r="H11" s="1" t="n">
        <v>3</v>
      </c>
      <c r="I11" s="1" t="s">
        <v>1360</v>
      </c>
      <c r="J11" s="1" t="n">
        <v>1</v>
      </c>
      <c r="K11" s="1" t="n">
        <v>1</v>
      </c>
      <c r="L11" s="2" t="s">
        <v>1391</v>
      </c>
      <c r="M11" s="2" t="s">
        <v>1362</v>
      </c>
      <c r="N11" s="2" t="s">
        <v>1392</v>
      </c>
      <c r="O11" s="2" t="s">
        <v>1364</v>
      </c>
      <c r="P11" s="2" t="s">
        <v>1393</v>
      </c>
      <c r="Q11" s="1" t="n">
        <v>0</v>
      </c>
      <c r="R11" s="2" t="n">
        <v>212320</v>
      </c>
      <c r="S11" s="2" t="n">
        <v>228706</v>
      </c>
      <c r="T11" s="2" t="n">
        <v>5134</v>
      </c>
      <c r="U11" s="2" t="n">
        <v>217454</v>
      </c>
      <c r="V11" s="2" t="n">
        <v>92.99</v>
      </c>
      <c r="W11" s="2" t="s">
        <v>1360</v>
      </c>
    </row>
    <row r="12" customFormat="false" ht="18.7" hidden="false" customHeight="true" outlineLevel="0" collapsed="false">
      <c r="A12" s="1" t="n">
        <v>11</v>
      </c>
      <c r="B12" s="7" t="str">
        <f aca="false">HYPERLINK("https://mncourtfraud.com/file/27-CR-19-26893.pdf","27-CR-19-26893")</f>
        <v>27-CR-19-26893</v>
      </c>
      <c r="C12" s="1" t="n">
        <v>1</v>
      </c>
      <c r="D12" s="2" t="s">
        <v>12</v>
      </c>
      <c r="E12" s="8" t="n">
        <v>44558</v>
      </c>
      <c r="F12" s="2" t="s">
        <v>15</v>
      </c>
      <c r="G12" s="7" t="str">
        <f aca="false">HYPERLINK("https://mncourtfraud.com/file/MCRO_27-CR-19-26893_Order-Evaluation for Competency to Proceed (Rule 20.01)_2021-12-28_20251126174832.pdf","MCRO_27-CR-19-26893_Order-Evaluation for Competency to Proceed (Rule 20.01)_2021-12-28_20251126174832.pdf")</f>
        <v>MCRO_27-CR-19-26893_Order-Evaluation for Competency to Proceed (Rule 20.01)_2021-12-28_20251126174832.pdf</v>
      </c>
      <c r="H12" s="1" t="n">
        <v>4</v>
      </c>
      <c r="I12" s="1" t="s">
        <v>1360</v>
      </c>
      <c r="J12" s="1" t="n">
        <v>1</v>
      </c>
      <c r="K12" s="1" t="n">
        <v>1</v>
      </c>
      <c r="L12" s="2" t="s">
        <v>1394</v>
      </c>
      <c r="M12" s="2" t="s">
        <v>1362</v>
      </c>
      <c r="N12" s="2" t="s">
        <v>1395</v>
      </c>
      <c r="O12" s="2" t="s">
        <v>1364</v>
      </c>
      <c r="P12" s="2" t="s">
        <v>1396</v>
      </c>
      <c r="Q12" s="1" t="n">
        <v>0</v>
      </c>
      <c r="R12" s="2" t="n">
        <v>217682</v>
      </c>
      <c r="S12" s="2" t="n">
        <v>234068</v>
      </c>
      <c r="T12" s="2" t="n">
        <v>8578</v>
      </c>
      <c r="U12" s="2" t="n">
        <v>226260</v>
      </c>
      <c r="V12" s="2" t="n">
        <v>93.25</v>
      </c>
      <c r="W12" s="2" t="s">
        <v>1360</v>
      </c>
    </row>
    <row r="13" customFormat="false" ht="18.7" hidden="false" customHeight="true" outlineLevel="0" collapsed="false">
      <c r="A13" s="1" t="n">
        <v>12</v>
      </c>
      <c r="B13" s="7" t="str">
        <f aca="false">HYPERLINK("https://mncourtfraud.com/file/27-CR-19-26893.pdf","27-CR-19-26893")</f>
        <v>27-CR-19-26893</v>
      </c>
      <c r="C13" s="1" t="n">
        <v>1</v>
      </c>
      <c r="D13" s="2" t="s">
        <v>12</v>
      </c>
      <c r="E13" s="8" t="n">
        <v>44692</v>
      </c>
      <c r="F13" s="2" t="s">
        <v>15</v>
      </c>
      <c r="G13" s="7" t="str">
        <f aca="false">HYPERLINK("https://mncourtfraud.com/file/MCRO_27-CR-19-26893_Order-Evaluation for Competency to Proceed (Rule 20.01)_2022-05-11_20251126174846.pdf","MCRO_27-CR-19-26893_Order-Evaluation for Competency to Proceed (Rule 20.01)_2022-05-11_20251126174846.pdf")</f>
        <v>MCRO_27-CR-19-26893_Order-Evaluation for Competency to Proceed (Rule 20.01)_2022-05-11_20251126174846.pdf</v>
      </c>
      <c r="H13" s="1" t="n">
        <v>3</v>
      </c>
      <c r="I13" s="1" t="s">
        <v>1360</v>
      </c>
      <c r="J13" s="1" t="n">
        <v>1</v>
      </c>
      <c r="K13" s="1" t="n">
        <v>1</v>
      </c>
      <c r="L13" s="2" t="s">
        <v>1397</v>
      </c>
      <c r="M13" s="2" t="s">
        <v>1362</v>
      </c>
      <c r="N13" s="2" t="s">
        <v>1398</v>
      </c>
      <c r="O13" s="2" t="s">
        <v>1364</v>
      </c>
      <c r="P13" s="2" t="s">
        <v>1399</v>
      </c>
      <c r="Q13" s="1" t="n">
        <v>0</v>
      </c>
      <c r="R13" s="2" t="n">
        <v>218701</v>
      </c>
      <c r="S13" s="2" t="n">
        <v>235087</v>
      </c>
      <c r="T13" s="2" t="n">
        <v>4727</v>
      </c>
      <c r="U13" s="2" t="n">
        <v>223428</v>
      </c>
      <c r="V13" s="2" t="n">
        <v>93.17</v>
      </c>
      <c r="W13" s="2" t="s">
        <v>1360</v>
      </c>
    </row>
    <row r="14" customFormat="false" ht="18.7" hidden="false" customHeight="true" outlineLevel="0" collapsed="false">
      <c r="A14" s="1" t="n">
        <v>13</v>
      </c>
      <c r="B14" s="7" t="str">
        <f aca="false">HYPERLINK("https://mncourtfraud.com/file/27-CR-19-26893.pdf","27-CR-19-26893")</f>
        <v>27-CR-19-26893</v>
      </c>
      <c r="C14" s="1" t="n">
        <v>1</v>
      </c>
      <c r="D14" s="2" t="s">
        <v>12</v>
      </c>
      <c r="E14" s="8" t="n">
        <v>44895</v>
      </c>
      <c r="F14" s="2" t="s">
        <v>15</v>
      </c>
      <c r="G14" s="7" t="str">
        <f aca="false">HYPERLINK("https://mncourtfraud.com/file/MCRO_27-CR-19-26893_Order-Evaluation for Competency to Proceed (Rule 20.01)_2022-11-30_20251126174859.pdf","MCRO_27-CR-19-26893_Order-Evaluation for Competency to Proceed (Rule 20.01)_2022-11-30_20251126174859.pdf")</f>
        <v>MCRO_27-CR-19-26893_Order-Evaluation for Competency to Proceed (Rule 20.01)_2022-11-30_20251126174859.pdf</v>
      </c>
      <c r="H14" s="1" t="n">
        <v>4</v>
      </c>
      <c r="I14" s="1" t="s">
        <v>1360</v>
      </c>
      <c r="J14" s="1" t="n">
        <v>1</v>
      </c>
      <c r="K14" s="1" t="n">
        <v>1</v>
      </c>
      <c r="L14" s="2" t="s">
        <v>1400</v>
      </c>
      <c r="M14" s="2" t="s">
        <v>1362</v>
      </c>
      <c r="N14" s="2" t="s">
        <v>1401</v>
      </c>
      <c r="O14" s="2" t="s">
        <v>1364</v>
      </c>
      <c r="P14" s="2" t="s">
        <v>1402</v>
      </c>
      <c r="Q14" s="1" t="n">
        <v>0</v>
      </c>
      <c r="R14" s="2" t="n">
        <v>795531</v>
      </c>
      <c r="S14" s="2" t="n">
        <v>811917</v>
      </c>
      <c r="T14" s="2" t="n">
        <v>5079</v>
      </c>
      <c r="U14" s="2" t="n">
        <v>800610</v>
      </c>
      <c r="V14" s="2" t="n">
        <v>97.99</v>
      </c>
      <c r="W14" s="2" t="s">
        <v>1360</v>
      </c>
    </row>
    <row r="15" customFormat="false" ht="18.7" hidden="false" customHeight="true" outlineLevel="0" collapsed="false">
      <c r="A15" s="1" t="n">
        <v>14</v>
      </c>
      <c r="B15" s="7" t="str">
        <f aca="false">HYPERLINK("https://mncourtfraud.com/file/27-CR-19-26893.pdf","27-CR-19-26893")</f>
        <v>27-CR-19-26893</v>
      </c>
      <c r="C15" s="1" t="n">
        <v>1</v>
      </c>
      <c r="D15" s="2" t="s">
        <v>12</v>
      </c>
      <c r="E15" s="8" t="n">
        <v>44460</v>
      </c>
      <c r="F15" s="2" t="s">
        <v>24</v>
      </c>
      <c r="G15" s="7" t="str">
        <f aca="false">HYPERLINK("https://mncourtfraud.com/file/MCRO_27-CR-19-26893_Order for Conditional Release_2021-09-21_20251126174758.pdf","MCRO_27-CR-19-26893_Order for Conditional Release_2021-09-21_20251126174758.pdf")</f>
        <v>MCRO_27-CR-19-26893_Order for Conditional Release_2021-09-21_20251126174758.pdf</v>
      </c>
      <c r="H15" s="1" t="n">
        <v>4</v>
      </c>
      <c r="I15" s="1" t="s">
        <v>1360</v>
      </c>
      <c r="J15" s="1" t="n">
        <v>1</v>
      </c>
      <c r="K15" s="1" t="n">
        <v>1</v>
      </c>
      <c r="L15" s="2" t="s">
        <v>1403</v>
      </c>
      <c r="M15" s="2" t="s">
        <v>1362</v>
      </c>
      <c r="N15" s="2" t="s">
        <v>1404</v>
      </c>
      <c r="O15" s="2" t="s">
        <v>1364</v>
      </c>
      <c r="P15" s="2" t="s">
        <v>1405</v>
      </c>
      <c r="Q15" s="1" t="n">
        <v>0</v>
      </c>
      <c r="R15" s="2" t="n">
        <v>84991</v>
      </c>
      <c r="S15" s="2" t="n">
        <v>101377</v>
      </c>
      <c r="T15" s="2" t="n">
        <v>4472</v>
      </c>
      <c r="U15" s="2" t="n">
        <v>89463</v>
      </c>
      <c r="V15" s="2" t="n">
        <v>84.52</v>
      </c>
      <c r="W15" s="2" t="s">
        <v>1360</v>
      </c>
    </row>
    <row r="16" customFormat="false" ht="18.7" hidden="false" customHeight="true" outlineLevel="0" collapsed="false">
      <c r="A16" s="1" t="n">
        <v>15</v>
      </c>
      <c r="B16" s="7" t="str">
        <f aca="false">HYPERLINK("https://mncourtfraud.com/file/27-CR-19-26893.pdf","27-CR-19-26893")</f>
        <v>27-CR-19-26893</v>
      </c>
      <c r="C16" s="1" t="n">
        <v>1</v>
      </c>
      <c r="D16" s="2" t="s">
        <v>12</v>
      </c>
      <c r="E16" s="8" t="n">
        <v>44468</v>
      </c>
      <c r="F16" s="2" t="s">
        <v>24</v>
      </c>
      <c r="G16" s="7" t="str">
        <f aca="false">HYPERLINK("https://mncourtfraud.com/file/MCRO_27-CR-19-26893_Order for Conditional Release_2021-09-29_20251126174746.pdf","MCRO_27-CR-19-26893_Order for Conditional Release_2021-09-29_20251126174746.pdf")</f>
        <v>MCRO_27-CR-19-26893_Order for Conditional Release_2021-09-29_20251126174746.pdf</v>
      </c>
      <c r="H16" s="1" t="n">
        <v>4</v>
      </c>
      <c r="I16" s="1" t="s">
        <v>1360</v>
      </c>
      <c r="J16" s="1" t="n">
        <v>1</v>
      </c>
      <c r="K16" s="1" t="n">
        <v>1</v>
      </c>
      <c r="L16" s="2" t="s">
        <v>1406</v>
      </c>
      <c r="M16" s="2" t="s">
        <v>1362</v>
      </c>
      <c r="N16" s="2" t="s">
        <v>1407</v>
      </c>
      <c r="O16" s="2" t="s">
        <v>1364</v>
      </c>
      <c r="P16" s="2" t="s">
        <v>1408</v>
      </c>
      <c r="Q16" s="1" t="n">
        <v>0</v>
      </c>
      <c r="R16" s="2" t="n">
        <v>130451</v>
      </c>
      <c r="S16" s="2" t="n">
        <v>146837</v>
      </c>
      <c r="T16" s="2" t="n">
        <v>4975</v>
      </c>
      <c r="U16" s="2" t="n">
        <v>135426</v>
      </c>
      <c r="V16" s="2" t="n">
        <v>89.21</v>
      </c>
      <c r="W16" s="2" t="s">
        <v>1360</v>
      </c>
    </row>
    <row r="17" customFormat="false" ht="18.7" hidden="false" customHeight="true" outlineLevel="0" collapsed="false">
      <c r="A17" s="1" t="n">
        <v>16</v>
      </c>
      <c r="B17" s="7" t="str">
        <f aca="false">HYPERLINK("https://mncourtfraud.com/file/27-CR-19-26893.pdf","27-CR-19-26893")</f>
        <v>27-CR-19-26893</v>
      </c>
      <c r="C17" s="1" t="n">
        <v>1</v>
      </c>
      <c r="D17" s="2" t="s">
        <v>12</v>
      </c>
      <c r="E17" s="8" t="n">
        <v>43970</v>
      </c>
      <c r="F17" s="2" t="s">
        <v>17</v>
      </c>
      <c r="G17" s="7" t="str">
        <f aca="false">HYPERLINK("https://mncourtfraud.com/file/MCRO_27-CR-19-26893_Returned Mail_2020-05-19_20251126174953.pdf","MCRO_27-CR-19-26893_Returned Mail_2020-05-19_20251126174953.pdf")</f>
        <v>MCRO_27-CR-19-26893_Returned Mail_2020-05-19_20251126174953.pdf</v>
      </c>
      <c r="H17" s="1" t="n">
        <v>4</v>
      </c>
      <c r="I17" s="1" t="s">
        <v>1360</v>
      </c>
      <c r="J17" s="1" t="n">
        <v>1</v>
      </c>
      <c r="K17" s="1" t="n">
        <v>1</v>
      </c>
      <c r="L17" s="2" t="s">
        <v>1409</v>
      </c>
      <c r="M17" s="2" t="s">
        <v>1362</v>
      </c>
      <c r="N17" s="2" t="s">
        <v>1410</v>
      </c>
      <c r="O17" s="2" t="s">
        <v>1364</v>
      </c>
      <c r="P17" s="2" t="s">
        <v>1411</v>
      </c>
      <c r="Q17" s="1" t="n">
        <v>0</v>
      </c>
      <c r="R17" s="2" t="n">
        <v>242024</v>
      </c>
      <c r="S17" s="2" t="n">
        <v>258410</v>
      </c>
      <c r="T17" s="2" t="n">
        <v>4525</v>
      </c>
      <c r="U17" s="2" t="n">
        <v>246549</v>
      </c>
      <c r="V17" s="2" t="n">
        <v>93.77</v>
      </c>
      <c r="W17" s="2" t="s">
        <v>1360</v>
      </c>
    </row>
    <row r="18" customFormat="false" ht="18.7" hidden="false" customHeight="true" outlineLevel="0" collapsed="false">
      <c r="A18" s="1" t="n">
        <v>17</v>
      </c>
      <c r="B18" s="7" t="str">
        <f aca="false">HYPERLINK("https://mncourtfraud.com/file/27-CR-19-4578.pdf","27-CR-19-4578")</f>
        <v>27-CR-19-4578</v>
      </c>
      <c r="C18" s="1" t="n">
        <v>1</v>
      </c>
      <c r="D18" s="2" t="s">
        <v>12</v>
      </c>
      <c r="E18" s="8" t="n">
        <v>44103</v>
      </c>
      <c r="F18" s="2" t="s">
        <v>19</v>
      </c>
      <c r="G18" s="7" t="str">
        <f aca="false">HYPERLINK("https://mncourtfraud.com/file/MCRO_27-CR-19-4578_Findings and Order_2020-09-29_20251126175057.pdf","MCRO_27-CR-19-4578_Findings and Order_2020-09-29_20251126175057.pdf")</f>
        <v>MCRO_27-CR-19-4578_Findings and Order_2020-09-29_20251126175057.pdf</v>
      </c>
      <c r="H18" s="1" t="n">
        <v>4</v>
      </c>
      <c r="I18" s="1" t="s">
        <v>1360</v>
      </c>
      <c r="J18" s="1" t="n">
        <v>1</v>
      </c>
      <c r="K18" s="1" t="n">
        <v>1</v>
      </c>
      <c r="L18" s="2" t="s">
        <v>1412</v>
      </c>
      <c r="M18" s="2" t="s">
        <v>1362</v>
      </c>
      <c r="N18" s="2" t="s">
        <v>1413</v>
      </c>
      <c r="O18" s="2" t="s">
        <v>1364</v>
      </c>
      <c r="P18" s="2" t="s">
        <v>1414</v>
      </c>
      <c r="Q18" s="1" t="n">
        <v>0</v>
      </c>
      <c r="R18" s="2" t="n">
        <v>313933</v>
      </c>
      <c r="S18" s="2" t="n">
        <v>330319</v>
      </c>
      <c r="T18" s="2" t="n">
        <v>4483</v>
      </c>
      <c r="U18" s="2" t="n">
        <v>318416</v>
      </c>
      <c r="V18" s="2" t="n">
        <v>95.11</v>
      </c>
      <c r="W18" s="2" t="s">
        <v>1360</v>
      </c>
    </row>
    <row r="19" customFormat="false" ht="18.7" hidden="false" customHeight="true" outlineLevel="0" collapsed="false">
      <c r="A19" s="1" t="n">
        <v>18</v>
      </c>
      <c r="B19" s="7" t="str">
        <f aca="false">HYPERLINK("https://mncourtfraud.com/file/27-CR-19-4578.pdf","27-CR-19-4578")</f>
        <v>27-CR-19-4578</v>
      </c>
      <c r="C19" s="1" t="n">
        <v>1</v>
      </c>
      <c r="D19" s="2" t="s">
        <v>12</v>
      </c>
      <c r="E19" s="8" t="n">
        <v>44439</v>
      </c>
      <c r="F19" s="2" t="s">
        <v>19</v>
      </c>
      <c r="G19" s="7" t="str">
        <f aca="false">HYPERLINK("https://mncourtfraud.com/file/MCRO_27-CR-19-4578_Findings and Order_2021-08-31_20251126175106.pdf","MCRO_27-CR-19-4578_Findings and Order_2021-08-31_20251126175106.pdf")</f>
        <v>MCRO_27-CR-19-4578_Findings and Order_2021-08-31_20251126175106.pdf</v>
      </c>
      <c r="H19" s="1" t="n">
        <v>5</v>
      </c>
      <c r="I19" s="1" t="s">
        <v>1366</v>
      </c>
      <c r="J19" s="1" t="n">
        <v>1</v>
      </c>
      <c r="K19" s="1" t="n">
        <v>1</v>
      </c>
      <c r="L19" s="2" t="s">
        <v>1367</v>
      </c>
      <c r="M19" s="2" t="s">
        <v>1368</v>
      </c>
      <c r="N19" s="2" t="s">
        <v>1369</v>
      </c>
      <c r="O19" s="2" t="s">
        <v>1364</v>
      </c>
      <c r="P19" s="2" t="s">
        <v>1370</v>
      </c>
      <c r="Q19" s="1" t="n">
        <v>0</v>
      </c>
      <c r="R19" s="2" t="n">
        <v>129996</v>
      </c>
      <c r="S19" s="2" t="n">
        <v>137690</v>
      </c>
      <c r="T19" s="2" t="n">
        <v>19979</v>
      </c>
      <c r="U19" s="2" t="n">
        <v>149975</v>
      </c>
      <c r="V19" s="2" t="n">
        <v>39.94</v>
      </c>
      <c r="W19" s="2" t="s">
        <v>1366</v>
      </c>
    </row>
    <row r="20" customFormat="false" ht="18.7" hidden="false" customHeight="true" outlineLevel="0" collapsed="false">
      <c r="A20" s="1" t="n">
        <v>19</v>
      </c>
      <c r="B20" s="7" t="str">
        <f aca="false">HYPERLINK("https://mncourtfraud.com/file/27-CR-19-4578.pdf","27-CR-19-4578")</f>
        <v>27-CR-19-4578</v>
      </c>
      <c r="C20" s="1" t="n">
        <v>1</v>
      </c>
      <c r="D20" s="2" t="s">
        <v>12</v>
      </c>
      <c r="E20" s="8" t="n">
        <v>44439</v>
      </c>
      <c r="F20" s="2" t="s">
        <v>19</v>
      </c>
      <c r="G20" s="7" t="str">
        <f aca="false">HYPERLINK("https://mncourtfraud.com/file/MCRO_27-CR-19-4578_Findings and Order_2021-08-31_20251126175106.pdf","MCRO_27-CR-19-4578_Findings and Order_2021-08-31_20251126175106.pdf")</f>
        <v>MCRO_27-CR-19-4578_Findings and Order_2021-08-31_20251126175106.pdf</v>
      </c>
      <c r="H20" s="1" t="n">
        <v>5</v>
      </c>
      <c r="I20" s="1" t="s">
        <v>1366</v>
      </c>
      <c r="J20" s="1" t="n">
        <v>2</v>
      </c>
      <c r="K20" s="1" t="n">
        <v>2</v>
      </c>
      <c r="L20" s="2" t="s">
        <v>1415</v>
      </c>
      <c r="M20" s="2" t="s">
        <v>1362</v>
      </c>
      <c r="N20" s="2" t="s">
        <v>1416</v>
      </c>
      <c r="O20" s="2" t="s">
        <v>1364</v>
      </c>
      <c r="P20" s="2" t="s">
        <v>1373</v>
      </c>
      <c r="Q20" s="1" t="n">
        <v>0</v>
      </c>
      <c r="R20" s="2" t="n">
        <v>354058</v>
      </c>
      <c r="S20" s="2" t="n">
        <v>370444</v>
      </c>
      <c r="T20" s="2" t="n">
        <v>5041</v>
      </c>
      <c r="U20" s="2" t="n">
        <v>359099</v>
      </c>
      <c r="V20" s="2" t="n">
        <v>95.64</v>
      </c>
      <c r="W20" s="2" t="s">
        <v>1360</v>
      </c>
    </row>
    <row r="21" customFormat="false" ht="18.7" hidden="false" customHeight="true" outlineLevel="0" collapsed="false">
      <c r="A21" s="1" t="n">
        <v>20</v>
      </c>
      <c r="B21" s="7" t="str">
        <f aca="false">HYPERLINK("https://mncourtfraud.com/file/27-CR-19-4578.pdf","27-CR-19-4578")</f>
        <v>27-CR-19-4578</v>
      </c>
      <c r="C21" s="1" t="n">
        <v>1</v>
      </c>
      <c r="D21" s="2" t="s">
        <v>12</v>
      </c>
      <c r="E21" s="8" t="n">
        <v>44593</v>
      </c>
      <c r="F21" s="2" t="s">
        <v>19</v>
      </c>
      <c r="G21" s="7" t="str">
        <f aca="false">HYPERLINK("https://mncourtfraud.com/file/MCRO_27-CR-19-4578_Findings and Order_2022-02-01_20251126175043.pdf","MCRO_27-CR-19-4578_Findings and Order_2022-02-01_20251126175043.pdf")</f>
        <v>MCRO_27-CR-19-4578_Findings and Order_2022-02-01_20251126175043.pdf</v>
      </c>
      <c r="H21" s="1" t="n">
        <v>4</v>
      </c>
      <c r="I21" s="1" t="s">
        <v>1360</v>
      </c>
      <c r="J21" s="1" t="n">
        <v>1</v>
      </c>
      <c r="K21" s="1" t="n">
        <v>1</v>
      </c>
      <c r="L21" s="2" t="s">
        <v>1367</v>
      </c>
      <c r="M21" s="2" t="s">
        <v>1368</v>
      </c>
      <c r="N21" s="2" t="s">
        <v>1374</v>
      </c>
      <c r="O21" s="2" t="s">
        <v>1364</v>
      </c>
      <c r="P21" s="2" t="s">
        <v>1375</v>
      </c>
      <c r="Q21" s="1" t="n">
        <v>0</v>
      </c>
      <c r="R21" s="2" t="n">
        <v>163153</v>
      </c>
      <c r="S21" s="2" t="n">
        <v>173205</v>
      </c>
      <c r="T21" s="2" t="n">
        <v>9683</v>
      </c>
      <c r="U21" s="2" t="n">
        <v>172836</v>
      </c>
      <c r="V21" s="2" t="n">
        <v>47.77</v>
      </c>
      <c r="W21" s="2" t="s">
        <v>1366</v>
      </c>
    </row>
    <row r="22" customFormat="false" ht="18.7" hidden="false" customHeight="true" outlineLevel="0" collapsed="false">
      <c r="A22" s="1" t="n">
        <v>21</v>
      </c>
      <c r="B22" s="7" t="str">
        <f aca="false">HYPERLINK("https://mncourtfraud.com/file/27-CR-19-4578.pdf","27-CR-19-4578")</f>
        <v>27-CR-19-4578</v>
      </c>
      <c r="C22" s="1" t="n">
        <v>1</v>
      </c>
      <c r="D22" s="2" t="s">
        <v>12</v>
      </c>
      <c r="E22" s="8" t="n">
        <v>44593</v>
      </c>
      <c r="F22" s="2" t="s">
        <v>19</v>
      </c>
      <c r="G22" s="7" t="str">
        <f aca="false">HYPERLINK("https://mncourtfraud.com/file/MCRO_27-CR-19-4578_Findings and Order_2022-02-01_20251126175043.pdf","MCRO_27-CR-19-4578_Findings and Order_2022-02-01_20251126175043.pdf")</f>
        <v>MCRO_27-CR-19-4578_Findings and Order_2022-02-01_20251126175043.pdf</v>
      </c>
      <c r="H22" s="1" t="n">
        <v>4</v>
      </c>
      <c r="I22" s="1" t="s">
        <v>1360</v>
      </c>
      <c r="J22" s="1" t="n">
        <v>2</v>
      </c>
      <c r="K22" s="1" t="n">
        <v>2</v>
      </c>
      <c r="L22" s="2" t="s">
        <v>1417</v>
      </c>
      <c r="M22" s="2" t="s">
        <v>1362</v>
      </c>
      <c r="N22" s="2" t="s">
        <v>1418</v>
      </c>
      <c r="O22" s="2" t="s">
        <v>1364</v>
      </c>
      <c r="P22" s="2" t="s">
        <v>1378</v>
      </c>
      <c r="Q22" s="1" t="n">
        <v>0</v>
      </c>
      <c r="R22" s="2" t="n">
        <v>340308</v>
      </c>
      <c r="S22" s="2" t="n">
        <v>356694</v>
      </c>
      <c r="T22" s="2" t="n">
        <v>5093</v>
      </c>
      <c r="U22" s="2" t="n">
        <v>345401</v>
      </c>
      <c r="V22" s="2" t="n">
        <v>95.47</v>
      </c>
      <c r="W22" s="2" t="s">
        <v>1360</v>
      </c>
    </row>
    <row r="23" customFormat="false" ht="18.7" hidden="false" customHeight="true" outlineLevel="0" collapsed="false">
      <c r="A23" s="1" t="n">
        <v>22</v>
      </c>
      <c r="B23" s="7" t="str">
        <f aca="false">HYPERLINK("https://mncourtfraud.com/file/27-CR-19-4578.pdf","27-CR-19-4578")</f>
        <v>27-CR-19-4578</v>
      </c>
      <c r="C23" s="1" t="n">
        <v>1</v>
      </c>
      <c r="D23" s="2" t="s">
        <v>12</v>
      </c>
      <c r="E23" s="8" t="n">
        <v>43844</v>
      </c>
      <c r="F23" s="2" t="s">
        <v>13</v>
      </c>
      <c r="G23" s="7" t="str">
        <f aca="false">HYPERLINK("https://mncourtfraud.com/file/MCRO_27-CR-19-4578_Find of Fact-Order, Pet Commitment-Dfd Found Incompetent_2020-01-14_20251126175028.pdf","MCRO_27-CR-19-4578_Find of Fact-Order, Pet Commitment-Dfd Found Incompetent_2020-01-14_20251126175028.pdf")</f>
        <v>MCRO_27-CR-19-4578_Find of Fact-Order, Pet Commitment-Dfd Found Incompetent_2020-01-14_20251126175028.pdf</v>
      </c>
      <c r="H23" s="1" t="n">
        <v>5</v>
      </c>
      <c r="I23" s="1" t="s">
        <v>1360</v>
      </c>
      <c r="J23" s="1" t="n">
        <v>1</v>
      </c>
      <c r="K23" s="1" t="n">
        <v>1</v>
      </c>
      <c r="L23" s="2" t="s">
        <v>1419</v>
      </c>
      <c r="M23" s="2" t="s">
        <v>1362</v>
      </c>
      <c r="N23" s="2" t="s">
        <v>1420</v>
      </c>
      <c r="O23" s="2" t="s">
        <v>1364</v>
      </c>
      <c r="P23" s="2" t="s">
        <v>1381</v>
      </c>
      <c r="Q23" s="1" t="n">
        <v>0</v>
      </c>
      <c r="R23" s="2" t="n">
        <v>210722</v>
      </c>
      <c r="S23" s="2" t="n">
        <v>227108</v>
      </c>
      <c r="T23" s="2" t="n">
        <v>5549</v>
      </c>
      <c r="U23" s="2" t="n">
        <v>216271</v>
      </c>
      <c r="V23" s="2" t="n">
        <v>92.96</v>
      </c>
      <c r="W23" s="2" t="s">
        <v>1360</v>
      </c>
    </row>
    <row r="24" customFormat="false" ht="18.7" hidden="false" customHeight="true" outlineLevel="0" collapsed="false">
      <c r="A24" s="1" t="n">
        <v>23</v>
      </c>
      <c r="B24" s="7" t="str">
        <f aca="false">HYPERLINK("https://mncourtfraud.com/file/27-CR-19-4578.pdf","27-CR-19-4578")</f>
        <v>27-CR-19-4578</v>
      </c>
      <c r="C24" s="1" t="n">
        <v>1</v>
      </c>
      <c r="D24" s="2" t="s">
        <v>12</v>
      </c>
      <c r="E24" s="8" t="n">
        <v>43902</v>
      </c>
      <c r="F24" s="2" t="s">
        <v>15</v>
      </c>
      <c r="G24" s="7" t="str">
        <f aca="false">HYPERLINK("https://mncourtfraud.com/file/MCRO_27-CR-19-4578_Order-Evaluation for Competency to Proceed (Rule 20.01)_2020-03-12_20251126175310.pdf","MCRO_27-CR-19-4578_Order-Evaluation for Competency to Proceed (Rule 20.01)_2020-03-12_20251126175310.pdf")</f>
        <v>MCRO_27-CR-19-4578_Order-Evaluation for Competency to Proceed (Rule 20.01)_2020-03-12_20251126175310.pdf</v>
      </c>
      <c r="H24" s="1" t="n">
        <v>4</v>
      </c>
      <c r="I24" s="1" t="s">
        <v>1360</v>
      </c>
      <c r="J24" s="1" t="n">
        <v>1</v>
      </c>
      <c r="K24" s="1" t="n">
        <v>1</v>
      </c>
      <c r="L24" s="2" t="s">
        <v>1421</v>
      </c>
      <c r="M24" s="2" t="s">
        <v>1362</v>
      </c>
      <c r="N24" s="2" t="s">
        <v>1422</v>
      </c>
      <c r="O24" s="2" t="s">
        <v>1364</v>
      </c>
      <c r="P24" s="2" t="s">
        <v>1384</v>
      </c>
      <c r="Q24" s="1" t="n">
        <v>0</v>
      </c>
      <c r="R24" s="2" t="n">
        <v>1161589</v>
      </c>
      <c r="S24" s="2" t="n">
        <v>1177975</v>
      </c>
      <c r="T24" s="2" t="n">
        <v>8614</v>
      </c>
      <c r="U24" s="2" t="n">
        <v>1170203</v>
      </c>
      <c r="V24" s="2" t="n">
        <v>98.62</v>
      </c>
      <c r="W24" s="2" t="s">
        <v>1360</v>
      </c>
    </row>
    <row r="25" customFormat="false" ht="18.7" hidden="false" customHeight="true" outlineLevel="0" collapsed="false">
      <c r="A25" s="1" t="n">
        <v>24</v>
      </c>
      <c r="B25" s="7" t="str">
        <f aca="false">HYPERLINK("https://mncourtfraud.com/file/27-CR-19-4578.pdf","27-CR-19-4578")</f>
        <v>27-CR-19-4578</v>
      </c>
      <c r="C25" s="1" t="n">
        <v>1</v>
      </c>
      <c r="D25" s="2" t="s">
        <v>12</v>
      </c>
      <c r="E25" s="8" t="n">
        <v>44225</v>
      </c>
      <c r="F25" s="2" t="s">
        <v>15</v>
      </c>
      <c r="G25" s="7" t="str">
        <f aca="false">HYPERLINK("https://mncourtfraud.com/file/MCRO_27-CR-19-4578_Order-Evaluation for Competency to Proceed (Rule 20.01)_2021-01-29_20251126175321.pdf","MCRO_27-CR-19-4578_Order-Evaluation for Competency to Proceed (Rule 20.01)_2021-01-29_20251126175321.pdf")</f>
        <v>MCRO_27-CR-19-4578_Order-Evaluation for Competency to Proceed (Rule 20.01)_2021-01-29_20251126175321.pdf</v>
      </c>
      <c r="H25" s="1" t="n">
        <v>3</v>
      </c>
      <c r="I25" s="1" t="s">
        <v>1360</v>
      </c>
      <c r="J25" s="1" t="n">
        <v>1</v>
      </c>
      <c r="K25" s="1" t="n">
        <v>1</v>
      </c>
      <c r="L25" s="2" t="s">
        <v>1423</v>
      </c>
      <c r="M25" s="2" t="s">
        <v>1362</v>
      </c>
      <c r="N25" s="2" t="s">
        <v>1424</v>
      </c>
      <c r="O25" s="2" t="s">
        <v>1364</v>
      </c>
      <c r="P25" s="2" t="s">
        <v>1387</v>
      </c>
      <c r="Q25" s="1" t="n">
        <v>0</v>
      </c>
      <c r="R25" s="2" t="n">
        <v>432741</v>
      </c>
      <c r="S25" s="2" t="n">
        <v>449127</v>
      </c>
      <c r="T25" s="2" t="n">
        <v>5077</v>
      </c>
      <c r="U25" s="2" t="n">
        <v>437818</v>
      </c>
      <c r="V25" s="2" t="n">
        <v>96.39</v>
      </c>
      <c r="W25" s="2" t="s">
        <v>1360</v>
      </c>
    </row>
    <row r="26" customFormat="false" ht="18.7" hidden="false" customHeight="true" outlineLevel="0" collapsed="false">
      <c r="A26" s="1" t="n">
        <v>25</v>
      </c>
      <c r="B26" s="7" t="str">
        <f aca="false">HYPERLINK("https://mncourtfraud.com/file/27-CR-19-4578.pdf","27-CR-19-4578")</f>
        <v>27-CR-19-4578</v>
      </c>
      <c r="C26" s="1" t="n">
        <v>1</v>
      </c>
      <c r="D26" s="2" t="s">
        <v>12</v>
      </c>
      <c r="E26" s="8" t="n">
        <v>44396</v>
      </c>
      <c r="F26" s="2" t="s">
        <v>15</v>
      </c>
      <c r="G26" s="7" t="str">
        <f aca="false">HYPERLINK("https://mncourtfraud.com/file/MCRO_27-CR-19-4578_Order-Evaluation for Competency to Proceed (Rule 20.01)_2021-07-19_20251126175155.pdf","MCRO_27-CR-19-4578_Order-Evaluation for Competency to Proceed (Rule 20.01)_2021-07-19_20251126175155.pdf")</f>
        <v>MCRO_27-CR-19-4578_Order-Evaluation for Competency to Proceed (Rule 20.01)_2021-07-19_20251126175155.pdf</v>
      </c>
      <c r="H26" s="1" t="n">
        <v>4</v>
      </c>
      <c r="I26" s="1" t="s">
        <v>1360</v>
      </c>
      <c r="J26" s="1" t="n">
        <v>1</v>
      </c>
      <c r="K26" s="1" t="n">
        <v>1</v>
      </c>
      <c r="L26" s="2" t="s">
        <v>1425</v>
      </c>
      <c r="M26" s="2" t="s">
        <v>1362</v>
      </c>
      <c r="N26" s="2" t="s">
        <v>1426</v>
      </c>
      <c r="O26" s="2" t="s">
        <v>1364</v>
      </c>
      <c r="P26" s="2" t="s">
        <v>1390</v>
      </c>
      <c r="Q26" s="1" t="n">
        <v>0</v>
      </c>
      <c r="R26" s="2" t="n">
        <v>169932</v>
      </c>
      <c r="S26" s="2" t="n">
        <v>186318</v>
      </c>
      <c r="T26" s="2" t="n">
        <v>8533</v>
      </c>
      <c r="U26" s="2" t="n">
        <v>178465</v>
      </c>
      <c r="V26" s="2" t="n">
        <v>91.59</v>
      </c>
      <c r="W26" s="2" t="s">
        <v>1360</v>
      </c>
    </row>
    <row r="27" customFormat="false" ht="18.7" hidden="false" customHeight="true" outlineLevel="0" collapsed="false">
      <c r="A27" s="1" t="n">
        <v>26</v>
      </c>
      <c r="B27" s="7" t="str">
        <f aca="false">HYPERLINK("https://mncourtfraud.com/file/27-CR-19-4578.pdf","27-CR-19-4578")</f>
        <v>27-CR-19-4578</v>
      </c>
      <c r="C27" s="1" t="n">
        <v>1</v>
      </c>
      <c r="D27" s="2" t="s">
        <v>12</v>
      </c>
      <c r="E27" s="8" t="n">
        <v>44543</v>
      </c>
      <c r="F27" s="2" t="s">
        <v>15</v>
      </c>
      <c r="G27" s="7" t="str">
        <f aca="false">HYPERLINK("https://mncourtfraud.com/file/MCRO_27-CR-19-4578_Order-Evaluation for Competency to Proceed (Rule 20.01)_2021-12-13_20251126175209.pdf","MCRO_27-CR-19-4578_Order-Evaluation for Competency to Proceed (Rule 20.01)_2021-12-13_20251126175209.pdf")</f>
        <v>MCRO_27-CR-19-4578_Order-Evaluation for Competency to Proceed (Rule 20.01)_2021-12-13_20251126175209.pdf</v>
      </c>
      <c r="H27" s="1" t="n">
        <v>3</v>
      </c>
      <c r="I27" s="1" t="s">
        <v>1360</v>
      </c>
      <c r="J27" s="1" t="n">
        <v>1</v>
      </c>
      <c r="K27" s="1" t="n">
        <v>1</v>
      </c>
      <c r="L27" s="2" t="s">
        <v>1427</v>
      </c>
      <c r="M27" s="2" t="s">
        <v>1362</v>
      </c>
      <c r="N27" s="2" t="s">
        <v>1428</v>
      </c>
      <c r="O27" s="2" t="s">
        <v>1364</v>
      </c>
      <c r="P27" s="2" t="s">
        <v>1393</v>
      </c>
      <c r="Q27" s="1" t="n">
        <v>0</v>
      </c>
      <c r="R27" s="2" t="n">
        <v>212331</v>
      </c>
      <c r="S27" s="2" t="n">
        <v>228717</v>
      </c>
      <c r="T27" s="2" t="n">
        <v>5133</v>
      </c>
      <c r="U27" s="2" t="n">
        <v>217464</v>
      </c>
      <c r="V27" s="2" t="n">
        <v>92.99</v>
      </c>
      <c r="W27" s="2" t="s">
        <v>1360</v>
      </c>
    </row>
    <row r="28" customFormat="false" ht="18.7" hidden="false" customHeight="true" outlineLevel="0" collapsed="false">
      <c r="A28" s="1" t="n">
        <v>27</v>
      </c>
      <c r="B28" s="7" t="str">
        <f aca="false">HYPERLINK("https://mncourtfraud.com/file/27-CR-19-4578.pdf","27-CR-19-4578")</f>
        <v>27-CR-19-4578</v>
      </c>
      <c r="C28" s="1" t="n">
        <v>1</v>
      </c>
      <c r="D28" s="2" t="s">
        <v>12</v>
      </c>
      <c r="E28" s="8" t="n">
        <v>44558</v>
      </c>
      <c r="F28" s="2" t="s">
        <v>15</v>
      </c>
      <c r="G28" s="7" t="str">
        <f aca="false">HYPERLINK("https://mncourtfraud.com/file/MCRO_27-CR-19-4578_Order-Evaluation for Competency to Proceed (Rule 20.01)_2021-12-28_20251126175221.pdf","MCRO_27-CR-19-4578_Order-Evaluation for Competency to Proceed (Rule 20.01)_2021-12-28_20251126175221.pdf")</f>
        <v>MCRO_27-CR-19-4578_Order-Evaluation for Competency to Proceed (Rule 20.01)_2021-12-28_20251126175221.pdf</v>
      </c>
      <c r="H28" s="1" t="n">
        <v>4</v>
      </c>
      <c r="I28" s="1" t="s">
        <v>1360</v>
      </c>
      <c r="J28" s="1" t="n">
        <v>1</v>
      </c>
      <c r="K28" s="1" t="n">
        <v>1</v>
      </c>
      <c r="L28" s="2" t="s">
        <v>1429</v>
      </c>
      <c r="M28" s="2" t="s">
        <v>1362</v>
      </c>
      <c r="N28" s="2" t="s">
        <v>1430</v>
      </c>
      <c r="O28" s="2" t="s">
        <v>1364</v>
      </c>
      <c r="P28" s="2" t="s">
        <v>1396</v>
      </c>
      <c r="Q28" s="1" t="n">
        <v>0</v>
      </c>
      <c r="R28" s="2" t="n">
        <v>213957</v>
      </c>
      <c r="S28" s="2" t="n">
        <v>230343</v>
      </c>
      <c r="T28" s="2" t="n">
        <v>8578</v>
      </c>
      <c r="U28" s="2" t="n">
        <v>222535</v>
      </c>
      <c r="V28" s="2" t="n">
        <v>93.14</v>
      </c>
      <c r="W28" s="2" t="s">
        <v>1360</v>
      </c>
    </row>
    <row r="29" customFormat="false" ht="18.7" hidden="false" customHeight="true" outlineLevel="0" collapsed="false">
      <c r="A29" s="1" t="n">
        <v>28</v>
      </c>
      <c r="B29" s="7" t="str">
        <f aca="false">HYPERLINK("https://mncourtfraud.com/file/27-CR-19-4578.pdf","27-CR-19-4578")</f>
        <v>27-CR-19-4578</v>
      </c>
      <c r="C29" s="1" t="n">
        <v>1</v>
      </c>
      <c r="D29" s="2" t="s">
        <v>12</v>
      </c>
      <c r="E29" s="8" t="n">
        <v>44692</v>
      </c>
      <c r="F29" s="2" t="s">
        <v>15</v>
      </c>
      <c r="G29" s="7" t="str">
        <f aca="false">HYPERLINK("https://mncourtfraud.com/file/MCRO_27-CR-19-4578_Order-Evaluation for Competency to Proceed (Rule 20.01)_2022-05-11_20251126175233.pdf","MCRO_27-CR-19-4578_Order-Evaluation for Competency to Proceed (Rule 20.01)_2022-05-11_20251126175233.pdf")</f>
        <v>MCRO_27-CR-19-4578_Order-Evaluation for Competency to Proceed (Rule 20.01)_2022-05-11_20251126175233.pdf</v>
      </c>
      <c r="H29" s="1" t="n">
        <v>3</v>
      </c>
      <c r="I29" s="1" t="s">
        <v>1360</v>
      </c>
      <c r="J29" s="1" t="n">
        <v>1</v>
      </c>
      <c r="K29" s="1" t="n">
        <v>1</v>
      </c>
      <c r="L29" s="2" t="s">
        <v>1431</v>
      </c>
      <c r="M29" s="2" t="s">
        <v>1362</v>
      </c>
      <c r="N29" s="2" t="s">
        <v>1432</v>
      </c>
      <c r="O29" s="2" t="s">
        <v>1364</v>
      </c>
      <c r="P29" s="2" t="s">
        <v>1399</v>
      </c>
      <c r="Q29" s="1" t="n">
        <v>0</v>
      </c>
      <c r="R29" s="2" t="n">
        <v>218701</v>
      </c>
      <c r="S29" s="2" t="n">
        <v>235087</v>
      </c>
      <c r="T29" s="2" t="n">
        <v>4727</v>
      </c>
      <c r="U29" s="2" t="n">
        <v>223428</v>
      </c>
      <c r="V29" s="2" t="n">
        <v>93.17</v>
      </c>
      <c r="W29" s="2" t="s">
        <v>1360</v>
      </c>
    </row>
    <row r="30" customFormat="false" ht="18.7" hidden="false" customHeight="true" outlineLevel="0" collapsed="false">
      <c r="A30" s="1" t="n">
        <v>29</v>
      </c>
      <c r="B30" s="7" t="str">
        <f aca="false">HYPERLINK("https://mncourtfraud.com/file/27-CR-19-4578.pdf","27-CR-19-4578")</f>
        <v>27-CR-19-4578</v>
      </c>
      <c r="C30" s="1" t="n">
        <v>1</v>
      </c>
      <c r="D30" s="2" t="s">
        <v>12</v>
      </c>
      <c r="E30" s="8" t="n">
        <v>44895</v>
      </c>
      <c r="F30" s="2" t="s">
        <v>15</v>
      </c>
      <c r="G30" s="7" t="str">
        <f aca="false">HYPERLINK("https://mncourtfraud.com/file/MCRO_27-CR-19-4578_Order-Evaluation for Competency to Proceed (Rule 20.01)_2022-11-30_20251126175245.pdf","MCRO_27-CR-19-4578_Order-Evaluation for Competency to Proceed (Rule 20.01)_2022-11-30_20251126175245.pdf")</f>
        <v>MCRO_27-CR-19-4578_Order-Evaluation for Competency to Proceed (Rule 20.01)_2022-11-30_20251126175245.pdf</v>
      </c>
      <c r="H30" s="1" t="n">
        <v>4</v>
      </c>
      <c r="I30" s="1" t="s">
        <v>1360</v>
      </c>
      <c r="J30" s="1" t="n">
        <v>1</v>
      </c>
      <c r="K30" s="1" t="n">
        <v>1</v>
      </c>
      <c r="L30" s="2" t="s">
        <v>1433</v>
      </c>
      <c r="M30" s="2" t="s">
        <v>1362</v>
      </c>
      <c r="N30" s="2" t="s">
        <v>1434</v>
      </c>
      <c r="O30" s="2" t="s">
        <v>1364</v>
      </c>
      <c r="P30" s="2" t="s">
        <v>1402</v>
      </c>
      <c r="Q30" s="1" t="n">
        <v>0</v>
      </c>
      <c r="R30" s="2" t="n">
        <v>795532</v>
      </c>
      <c r="S30" s="2" t="n">
        <v>811918</v>
      </c>
      <c r="T30" s="2" t="n">
        <v>5080</v>
      </c>
      <c r="U30" s="2" t="n">
        <v>800612</v>
      </c>
      <c r="V30" s="2" t="n">
        <v>97.99</v>
      </c>
      <c r="W30" s="2" t="s">
        <v>1360</v>
      </c>
    </row>
    <row r="31" customFormat="false" ht="18.7" hidden="false" customHeight="true" outlineLevel="0" collapsed="false">
      <c r="A31" s="1" t="n">
        <v>30</v>
      </c>
      <c r="B31" s="7" t="str">
        <f aca="false">HYPERLINK("https://mncourtfraud.com/file/27-CR-19-4578.pdf","27-CR-19-4578")</f>
        <v>27-CR-19-4578</v>
      </c>
      <c r="C31" s="1" t="n">
        <v>1</v>
      </c>
      <c r="D31" s="2" t="s">
        <v>12</v>
      </c>
      <c r="E31" s="8" t="n">
        <v>44460</v>
      </c>
      <c r="F31" s="2" t="s">
        <v>24</v>
      </c>
      <c r="G31" s="7" t="str">
        <f aca="false">HYPERLINK("https://mncourtfraud.com/file/MCRO_27-CR-19-4578_Order for Conditional Release_2021-09-21_20251126175125.pdf","MCRO_27-CR-19-4578_Order for Conditional Release_2021-09-21_20251126175125.pdf")</f>
        <v>MCRO_27-CR-19-4578_Order for Conditional Release_2021-09-21_20251126175125.pdf</v>
      </c>
      <c r="H31" s="1" t="n">
        <v>4</v>
      </c>
      <c r="I31" s="1" t="s">
        <v>1360</v>
      </c>
      <c r="J31" s="1" t="n">
        <v>1</v>
      </c>
      <c r="K31" s="1" t="n">
        <v>1</v>
      </c>
      <c r="L31" s="2" t="s">
        <v>1435</v>
      </c>
      <c r="M31" s="2" t="s">
        <v>1362</v>
      </c>
      <c r="N31" s="2" t="s">
        <v>1436</v>
      </c>
      <c r="O31" s="2" t="s">
        <v>1364</v>
      </c>
      <c r="P31" s="2" t="s">
        <v>1405</v>
      </c>
      <c r="Q31" s="1" t="n">
        <v>0</v>
      </c>
      <c r="R31" s="2" t="n">
        <v>84990</v>
      </c>
      <c r="S31" s="2" t="n">
        <v>101376</v>
      </c>
      <c r="T31" s="2" t="n">
        <v>4472</v>
      </c>
      <c r="U31" s="2" t="n">
        <v>89462</v>
      </c>
      <c r="V31" s="2" t="n">
        <v>84.52</v>
      </c>
      <c r="W31" s="2" t="s">
        <v>1360</v>
      </c>
    </row>
    <row r="32" customFormat="false" ht="18.7" hidden="false" customHeight="true" outlineLevel="0" collapsed="false">
      <c r="A32" s="1" t="n">
        <v>31</v>
      </c>
      <c r="B32" s="7" t="str">
        <f aca="false">HYPERLINK("https://mncourtfraud.com/file/27-CR-19-4578.pdf","27-CR-19-4578")</f>
        <v>27-CR-19-4578</v>
      </c>
      <c r="C32" s="1" t="n">
        <v>1</v>
      </c>
      <c r="D32" s="2" t="s">
        <v>12</v>
      </c>
      <c r="E32" s="8" t="n">
        <v>44468</v>
      </c>
      <c r="F32" s="2" t="s">
        <v>24</v>
      </c>
      <c r="G32" s="7" t="str">
        <f aca="false">HYPERLINK("https://mncourtfraud.com/file/MCRO_27-CR-19-4578_Order for Conditional Release_2021-09-29_20251126175138.pdf","MCRO_27-CR-19-4578_Order for Conditional Release_2021-09-29_20251126175138.pdf")</f>
        <v>MCRO_27-CR-19-4578_Order for Conditional Release_2021-09-29_20251126175138.pdf</v>
      </c>
      <c r="H32" s="1" t="n">
        <v>4</v>
      </c>
      <c r="I32" s="1" t="s">
        <v>1360</v>
      </c>
      <c r="J32" s="1" t="n">
        <v>1</v>
      </c>
      <c r="K32" s="1" t="n">
        <v>1</v>
      </c>
      <c r="L32" s="2" t="s">
        <v>1437</v>
      </c>
      <c r="M32" s="2" t="s">
        <v>1362</v>
      </c>
      <c r="N32" s="2" t="s">
        <v>1438</v>
      </c>
      <c r="O32" s="2" t="s">
        <v>1364</v>
      </c>
      <c r="P32" s="2" t="s">
        <v>1408</v>
      </c>
      <c r="Q32" s="1" t="n">
        <v>0</v>
      </c>
      <c r="R32" s="2" t="n">
        <v>130450</v>
      </c>
      <c r="S32" s="2" t="n">
        <v>146836</v>
      </c>
      <c r="T32" s="2" t="n">
        <v>4974</v>
      </c>
      <c r="U32" s="2" t="n">
        <v>135424</v>
      </c>
      <c r="V32" s="2" t="n">
        <v>89.21</v>
      </c>
      <c r="W32" s="2" t="s">
        <v>1360</v>
      </c>
    </row>
    <row r="33" customFormat="false" ht="18.7" hidden="false" customHeight="true" outlineLevel="0" collapsed="false">
      <c r="A33" s="1" t="n">
        <v>32</v>
      </c>
      <c r="B33" s="7" t="str">
        <f aca="false">HYPERLINK("https://mncourtfraud.com/file/27-CR-19-4578.pdf","27-CR-19-4578")</f>
        <v>27-CR-19-4578</v>
      </c>
      <c r="C33" s="1" t="n">
        <v>1</v>
      </c>
      <c r="D33" s="2" t="s">
        <v>12</v>
      </c>
      <c r="E33" s="8" t="n">
        <v>43970</v>
      </c>
      <c r="F33" s="2" t="s">
        <v>17</v>
      </c>
      <c r="G33" s="7" t="str">
        <f aca="false">HYPERLINK("https://mncourtfraud.com/file/MCRO_27-CR-19-4578_Returned Mail_2020-05-19_20251126175340.pdf","MCRO_27-CR-19-4578_Returned Mail_2020-05-19_20251126175340.pdf")</f>
        <v>MCRO_27-CR-19-4578_Returned Mail_2020-05-19_20251126175340.pdf</v>
      </c>
      <c r="H33" s="1" t="n">
        <v>4</v>
      </c>
      <c r="I33" s="1" t="s">
        <v>1360</v>
      </c>
      <c r="J33" s="1" t="n">
        <v>1</v>
      </c>
      <c r="K33" s="1" t="n">
        <v>1</v>
      </c>
      <c r="L33" s="2" t="s">
        <v>1439</v>
      </c>
      <c r="M33" s="2" t="s">
        <v>1362</v>
      </c>
      <c r="N33" s="2" t="s">
        <v>1440</v>
      </c>
      <c r="O33" s="2" t="s">
        <v>1364</v>
      </c>
      <c r="P33" s="2" t="s">
        <v>1411</v>
      </c>
      <c r="Q33" s="1" t="n">
        <v>0</v>
      </c>
      <c r="R33" s="2" t="n">
        <v>242016</v>
      </c>
      <c r="S33" s="2" t="n">
        <v>258402</v>
      </c>
      <c r="T33" s="2" t="n">
        <v>4524</v>
      </c>
      <c r="U33" s="2" t="n">
        <v>246540</v>
      </c>
      <c r="V33" s="2" t="n">
        <v>93.77</v>
      </c>
      <c r="W33" s="2" t="s">
        <v>1360</v>
      </c>
    </row>
    <row r="34" customFormat="false" ht="18.7" hidden="false" customHeight="true" outlineLevel="0" collapsed="false">
      <c r="A34" s="1" t="n">
        <v>33</v>
      </c>
      <c r="B34" s="7" t="str">
        <f aca="false">HYPERLINK("https://mncourtfraud.com/file/27-CR-19-5875.pdf","27-CR-19-5875")</f>
        <v>27-CR-19-5875</v>
      </c>
      <c r="C34" s="1" t="n">
        <v>1</v>
      </c>
      <c r="D34" s="2" t="s">
        <v>12</v>
      </c>
      <c r="E34" s="8" t="n">
        <v>44103</v>
      </c>
      <c r="F34" s="2" t="s">
        <v>19</v>
      </c>
      <c r="G34" s="7" t="str">
        <f aca="false">HYPERLINK("https://mncourtfraud.com/file/MCRO_27-CR-19-5875_Findings and Order_2020-09-29_20251126175434.pdf","MCRO_27-CR-19-5875_Findings and Order_2020-09-29_20251126175434.pdf")</f>
        <v>MCRO_27-CR-19-5875_Findings and Order_2020-09-29_20251126175434.pdf</v>
      </c>
      <c r="H34" s="1" t="n">
        <v>4</v>
      </c>
      <c r="I34" s="1" t="s">
        <v>1360</v>
      </c>
      <c r="J34" s="1" t="n">
        <v>1</v>
      </c>
      <c r="K34" s="1" t="n">
        <v>1</v>
      </c>
      <c r="L34" s="2" t="s">
        <v>1441</v>
      </c>
      <c r="M34" s="2" t="s">
        <v>1362</v>
      </c>
      <c r="N34" s="2" t="s">
        <v>1442</v>
      </c>
      <c r="O34" s="2" t="s">
        <v>1364</v>
      </c>
      <c r="P34" s="2" t="s">
        <v>1365</v>
      </c>
      <c r="Q34" s="1" t="n">
        <v>0</v>
      </c>
      <c r="R34" s="2" t="n">
        <v>314047</v>
      </c>
      <c r="S34" s="2" t="n">
        <v>330433</v>
      </c>
      <c r="T34" s="2" t="n">
        <v>4483</v>
      </c>
      <c r="U34" s="2" t="n">
        <v>318530</v>
      </c>
      <c r="V34" s="2" t="n">
        <v>95.11</v>
      </c>
      <c r="W34" s="2" t="s">
        <v>1360</v>
      </c>
    </row>
    <row r="35" customFormat="false" ht="18.7" hidden="false" customHeight="true" outlineLevel="0" collapsed="false">
      <c r="A35" s="1" t="n">
        <v>34</v>
      </c>
      <c r="B35" s="7" t="str">
        <f aca="false">HYPERLINK("https://mncourtfraud.com/file/27-CR-19-5875.pdf","27-CR-19-5875")</f>
        <v>27-CR-19-5875</v>
      </c>
      <c r="C35" s="1" t="n">
        <v>1</v>
      </c>
      <c r="D35" s="2" t="s">
        <v>12</v>
      </c>
      <c r="E35" s="8" t="n">
        <v>44439</v>
      </c>
      <c r="F35" s="2" t="s">
        <v>19</v>
      </c>
      <c r="G35" s="7" t="str">
        <f aca="false">HYPERLINK("https://mncourtfraud.com/file/MCRO_27-CR-19-5875_Findings and Order_2021-08-31_20251126175446.pdf","MCRO_27-CR-19-5875_Findings and Order_2021-08-31_20251126175446.pdf")</f>
        <v>MCRO_27-CR-19-5875_Findings and Order_2021-08-31_20251126175446.pdf</v>
      </c>
      <c r="H35" s="1" t="n">
        <v>5</v>
      </c>
      <c r="I35" s="1" t="s">
        <v>1366</v>
      </c>
      <c r="J35" s="1" t="n">
        <v>1</v>
      </c>
      <c r="K35" s="1" t="n">
        <v>1</v>
      </c>
      <c r="L35" s="2" t="s">
        <v>1367</v>
      </c>
      <c r="M35" s="2" t="s">
        <v>1368</v>
      </c>
      <c r="N35" s="2" t="s">
        <v>1369</v>
      </c>
      <c r="O35" s="2" t="s">
        <v>1364</v>
      </c>
      <c r="P35" s="2" t="s">
        <v>1370</v>
      </c>
      <c r="Q35" s="1" t="n">
        <v>0</v>
      </c>
      <c r="R35" s="2" t="n">
        <v>129996</v>
      </c>
      <c r="S35" s="2" t="n">
        <v>137690</v>
      </c>
      <c r="T35" s="2" t="n">
        <v>19979</v>
      </c>
      <c r="U35" s="2" t="n">
        <v>149975</v>
      </c>
      <c r="V35" s="2" t="n">
        <v>39.94</v>
      </c>
      <c r="W35" s="2" t="s">
        <v>1366</v>
      </c>
    </row>
    <row r="36" customFormat="false" ht="18.7" hidden="false" customHeight="true" outlineLevel="0" collapsed="false">
      <c r="A36" s="1" t="n">
        <v>35</v>
      </c>
      <c r="B36" s="7" t="str">
        <f aca="false">HYPERLINK("https://mncourtfraud.com/file/27-CR-19-5875.pdf","27-CR-19-5875")</f>
        <v>27-CR-19-5875</v>
      </c>
      <c r="C36" s="1" t="n">
        <v>1</v>
      </c>
      <c r="D36" s="2" t="s">
        <v>12</v>
      </c>
      <c r="E36" s="8" t="n">
        <v>44439</v>
      </c>
      <c r="F36" s="2" t="s">
        <v>19</v>
      </c>
      <c r="G36" s="7" t="str">
        <f aca="false">HYPERLINK("https://mncourtfraud.com/file/MCRO_27-CR-19-5875_Findings and Order_2021-08-31_20251126175446.pdf","MCRO_27-CR-19-5875_Findings and Order_2021-08-31_20251126175446.pdf")</f>
        <v>MCRO_27-CR-19-5875_Findings and Order_2021-08-31_20251126175446.pdf</v>
      </c>
      <c r="H36" s="1" t="n">
        <v>5</v>
      </c>
      <c r="I36" s="1" t="s">
        <v>1366</v>
      </c>
      <c r="J36" s="1" t="n">
        <v>2</v>
      </c>
      <c r="K36" s="1" t="n">
        <v>2</v>
      </c>
      <c r="L36" s="2" t="s">
        <v>1443</v>
      </c>
      <c r="M36" s="2" t="s">
        <v>1362</v>
      </c>
      <c r="N36" s="2" t="s">
        <v>1444</v>
      </c>
      <c r="O36" s="2" t="s">
        <v>1364</v>
      </c>
      <c r="P36" s="2" t="s">
        <v>1373</v>
      </c>
      <c r="Q36" s="1" t="n">
        <v>0</v>
      </c>
      <c r="R36" s="2" t="n">
        <v>354065</v>
      </c>
      <c r="S36" s="2" t="n">
        <v>370451</v>
      </c>
      <c r="T36" s="2" t="n">
        <v>5042</v>
      </c>
      <c r="U36" s="2" t="n">
        <v>359107</v>
      </c>
      <c r="V36" s="2" t="n">
        <v>95.64</v>
      </c>
      <c r="W36" s="2" t="s">
        <v>1360</v>
      </c>
    </row>
    <row r="37" customFormat="false" ht="18.7" hidden="false" customHeight="true" outlineLevel="0" collapsed="false">
      <c r="A37" s="1" t="n">
        <v>36</v>
      </c>
      <c r="B37" s="7" t="str">
        <f aca="false">HYPERLINK("https://mncourtfraud.com/file/27-CR-19-5875.pdf","27-CR-19-5875")</f>
        <v>27-CR-19-5875</v>
      </c>
      <c r="C37" s="1" t="n">
        <v>1</v>
      </c>
      <c r="D37" s="2" t="s">
        <v>12</v>
      </c>
      <c r="E37" s="8" t="n">
        <v>44593</v>
      </c>
      <c r="F37" s="2" t="s">
        <v>19</v>
      </c>
      <c r="G37" s="7" t="str">
        <f aca="false">HYPERLINK("https://mncourtfraud.com/file/MCRO_27-CR-19-5875_Findings and Order_2022-02-01_20251126175424.pdf","MCRO_27-CR-19-5875_Findings and Order_2022-02-01_20251126175424.pdf")</f>
        <v>MCRO_27-CR-19-5875_Findings and Order_2022-02-01_20251126175424.pdf</v>
      </c>
      <c r="H37" s="1" t="n">
        <v>4</v>
      </c>
      <c r="I37" s="1" t="s">
        <v>1360</v>
      </c>
      <c r="J37" s="1" t="n">
        <v>1</v>
      </c>
      <c r="K37" s="1" t="n">
        <v>1</v>
      </c>
      <c r="L37" s="2" t="s">
        <v>1367</v>
      </c>
      <c r="M37" s="2" t="s">
        <v>1368</v>
      </c>
      <c r="N37" s="2" t="s">
        <v>1374</v>
      </c>
      <c r="O37" s="2" t="s">
        <v>1364</v>
      </c>
      <c r="P37" s="2" t="s">
        <v>1375</v>
      </c>
      <c r="Q37" s="1" t="n">
        <v>0</v>
      </c>
      <c r="R37" s="2" t="n">
        <v>163153</v>
      </c>
      <c r="S37" s="2" t="n">
        <v>173205</v>
      </c>
      <c r="T37" s="2" t="n">
        <v>9683</v>
      </c>
      <c r="U37" s="2" t="n">
        <v>172836</v>
      </c>
      <c r="V37" s="2" t="n">
        <v>47.77</v>
      </c>
      <c r="W37" s="2" t="s">
        <v>1366</v>
      </c>
    </row>
    <row r="38" customFormat="false" ht="18.7" hidden="false" customHeight="true" outlineLevel="0" collapsed="false">
      <c r="A38" s="1" t="n">
        <v>37</v>
      </c>
      <c r="B38" s="7" t="str">
        <f aca="false">HYPERLINK("https://mncourtfraud.com/file/27-CR-19-5875.pdf","27-CR-19-5875")</f>
        <v>27-CR-19-5875</v>
      </c>
      <c r="C38" s="1" t="n">
        <v>1</v>
      </c>
      <c r="D38" s="2" t="s">
        <v>12</v>
      </c>
      <c r="E38" s="8" t="n">
        <v>44593</v>
      </c>
      <c r="F38" s="2" t="s">
        <v>19</v>
      </c>
      <c r="G38" s="7" t="str">
        <f aca="false">HYPERLINK("https://mncourtfraud.com/file/MCRO_27-CR-19-5875_Findings and Order_2022-02-01_20251126175424.pdf","MCRO_27-CR-19-5875_Findings and Order_2022-02-01_20251126175424.pdf")</f>
        <v>MCRO_27-CR-19-5875_Findings and Order_2022-02-01_20251126175424.pdf</v>
      </c>
      <c r="H38" s="1" t="n">
        <v>4</v>
      </c>
      <c r="I38" s="1" t="s">
        <v>1360</v>
      </c>
      <c r="J38" s="1" t="n">
        <v>2</v>
      </c>
      <c r="K38" s="1" t="n">
        <v>2</v>
      </c>
      <c r="L38" s="2" t="s">
        <v>1445</v>
      </c>
      <c r="M38" s="2" t="s">
        <v>1362</v>
      </c>
      <c r="N38" s="2" t="s">
        <v>1446</v>
      </c>
      <c r="O38" s="2" t="s">
        <v>1364</v>
      </c>
      <c r="P38" s="2" t="s">
        <v>1378</v>
      </c>
      <c r="Q38" s="1" t="n">
        <v>0</v>
      </c>
      <c r="R38" s="2" t="n">
        <v>340312</v>
      </c>
      <c r="S38" s="2" t="n">
        <v>356698</v>
      </c>
      <c r="T38" s="2" t="n">
        <v>5089</v>
      </c>
      <c r="U38" s="2" t="n">
        <v>345401</v>
      </c>
      <c r="V38" s="2" t="n">
        <v>95.47</v>
      </c>
      <c r="W38" s="2" t="s">
        <v>1360</v>
      </c>
    </row>
    <row r="39" customFormat="false" ht="18.7" hidden="false" customHeight="true" outlineLevel="0" collapsed="false">
      <c r="A39" s="1" t="n">
        <v>38</v>
      </c>
      <c r="B39" s="7" t="str">
        <f aca="false">HYPERLINK("https://mncourtfraud.com/file/27-CR-19-5875.pdf","27-CR-19-5875")</f>
        <v>27-CR-19-5875</v>
      </c>
      <c r="C39" s="1" t="n">
        <v>1</v>
      </c>
      <c r="D39" s="2" t="s">
        <v>12</v>
      </c>
      <c r="E39" s="8" t="n">
        <v>43844</v>
      </c>
      <c r="F39" s="2" t="s">
        <v>13</v>
      </c>
      <c r="G39" s="7" t="str">
        <f aca="false">HYPERLINK("https://mncourtfraud.com/file/MCRO_27-CR-19-5875_Find of Fact-Order, Pet Commitment-Dfd Found Incompetent_2020-01-14_20251126175409.pdf","MCRO_27-CR-19-5875_Find of Fact-Order, Pet Commitment-Dfd Found Incompetent_2020-01-14_20251126175409.pdf")</f>
        <v>MCRO_27-CR-19-5875_Find of Fact-Order, Pet Commitment-Dfd Found Incompetent_2020-01-14_20251126175409.pdf</v>
      </c>
      <c r="H39" s="1" t="n">
        <v>5</v>
      </c>
      <c r="I39" s="1" t="s">
        <v>1360</v>
      </c>
      <c r="J39" s="1" t="n">
        <v>1</v>
      </c>
      <c r="K39" s="1" t="n">
        <v>1</v>
      </c>
      <c r="L39" s="2" t="s">
        <v>1447</v>
      </c>
      <c r="M39" s="2" t="s">
        <v>1362</v>
      </c>
      <c r="N39" s="2" t="s">
        <v>1448</v>
      </c>
      <c r="O39" s="2" t="s">
        <v>1364</v>
      </c>
      <c r="P39" s="2" t="s">
        <v>1381</v>
      </c>
      <c r="Q39" s="1" t="n">
        <v>0</v>
      </c>
      <c r="R39" s="2" t="n">
        <v>210718</v>
      </c>
      <c r="S39" s="2" t="n">
        <v>227104</v>
      </c>
      <c r="T39" s="2" t="n">
        <v>5550</v>
      </c>
      <c r="U39" s="2" t="n">
        <v>216268</v>
      </c>
      <c r="V39" s="2" t="n">
        <v>92.96</v>
      </c>
      <c r="W39" s="2" t="s">
        <v>1360</v>
      </c>
    </row>
    <row r="40" customFormat="false" ht="18.7" hidden="false" customHeight="true" outlineLevel="0" collapsed="false">
      <c r="A40" s="1" t="n">
        <v>39</v>
      </c>
      <c r="B40" s="7" t="str">
        <f aca="false">HYPERLINK("https://mncourtfraud.com/file/27-CR-19-5875.pdf","27-CR-19-5875")</f>
        <v>27-CR-19-5875</v>
      </c>
      <c r="C40" s="1" t="n">
        <v>1</v>
      </c>
      <c r="D40" s="2" t="s">
        <v>12</v>
      </c>
      <c r="E40" s="8" t="n">
        <v>43902</v>
      </c>
      <c r="F40" s="2" t="s">
        <v>15</v>
      </c>
      <c r="G40" s="7" t="str">
        <f aca="false">HYPERLINK("https://mncourtfraud.com/file/MCRO_27-CR-19-5875_Order-Evaluation for Competency to Proceed (Rule 20.01)_2020-03-12_20251126175636.pdf","MCRO_27-CR-19-5875_Order-Evaluation for Competency to Proceed (Rule 20.01)_2020-03-12_20251126175636.pdf")</f>
        <v>MCRO_27-CR-19-5875_Order-Evaluation for Competency to Proceed (Rule 20.01)_2020-03-12_20251126175636.pdf</v>
      </c>
      <c r="H40" s="1" t="n">
        <v>4</v>
      </c>
      <c r="I40" s="1" t="s">
        <v>1360</v>
      </c>
      <c r="J40" s="1" t="n">
        <v>1</v>
      </c>
      <c r="K40" s="1" t="n">
        <v>1</v>
      </c>
      <c r="L40" s="2" t="s">
        <v>1449</v>
      </c>
      <c r="M40" s="2" t="s">
        <v>1362</v>
      </c>
      <c r="N40" s="2" t="s">
        <v>1450</v>
      </c>
      <c r="O40" s="2" t="s">
        <v>1364</v>
      </c>
      <c r="P40" s="2" t="s">
        <v>1384</v>
      </c>
      <c r="Q40" s="1" t="n">
        <v>0</v>
      </c>
      <c r="R40" s="2" t="n">
        <v>1151478</v>
      </c>
      <c r="S40" s="2" t="n">
        <v>1167864</v>
      </c>
      <c r="T40" s="2" t="n">
        <v>8614</v>
      </c>
      <c r="U40" s="2" t="n">
        <v>1160092</v>
      </c>
      <c r="V40" s="2" t="n">
        <v>98.61</v>
      </c>
      <c r="W40" s="2" t="s">
        <v>1360</v>
      </c>
    </row>
    <row r="41" customFormat="false" ht="18.7" hidden="false" customHeight="true" outlineLevel="0" collapsed="false">
      <c r="A41" s="1" t="n">
        <v>40</v>
      </c>
      <c r="B41" s="7" t="str">
        <f aca="false">HYPERLINK("https://mncourtfraud.com/file/27-CR-19-5875.pdf","27-CR-19-5875")</f>
        <v>27-CR-19-5875</v>
      </c>
      <c r="C41" s="1" t="n">
        <v>1</v>
      </c>
      <c r="D41" s="2" t="s">
        <v>12</v>
      </c>
      <c r="E41" s="8" t="n">
        <v>44225</v>
      </c>
      <c r="F41" s="2" t="s">
        <v>15</v>
      </c>
      <c r="G41" s="7" t="str">
        <f aca="false">HYPERLINK("https://mncourtfraud.com/file/MCRO_27-CR-19-5875_Order-Evaluation for Competency to Proceed (Rule 20.01)_2021-01-29_20251126175645.pdf","MCRO_27-CR-19-5875_Order-Evaluation for Competency to Proceed (Rule 20.01)_2021-01-29_20251126175645.pdf")</f>
        <v>MCRO_27-CR-19-5875_Order-Evaluation for Competency to Proceed (Rule 20.01)_2021-01-29_20251126175645.pdf</v>
      </c>
      <c r="H41" s="1" t="n">
        <v>3</v>
      </c>
      <c r="I41" s="1" t="s">
        <v>1360</v>
      </c>
      <c r="J41" s="1" t="n">
        <v>1</v>
      </c>
      <c r="K41" s="1" t="n">
        <v>1</v>
      </c>
      <c r="L41" s="2" t="s">
        <v>1451</v>
      </c>
      <c r="M41" s="2" t="s">
        <v>1362</v>
      </c>
      <c r="N41" s="2" t="s">
        <v>1452</v>
      </c>
      <c r="O41" s="2" t="s">
        <v>1364</v>
      </c>
      <c r="P41" s="2" t="s">
        <v>1387</v>
      </c>
      <c r="Q41" s="1" t="n">
        <v>0</v>
      </c>
      <c r="R41" s="2" t="n">
        <v>432739</v>
      </c>
      <c r="S41" s="2" t="n">
        <v>449125</v>
      </c>
      <c r="T41" s="2" t="n">
        <v>5077</v>
      </c>
      <c r="U41" s="2" t="n">
        <v>437816</v>
      </c>
      <c r="V41" s="2" t="n">
        <v>96.39</v>
      </c>
      <c r="W41" s="2" t="s">
        <v>1360</v>
      </c>
    </row>
    <row r="42" customFormat="false" ht="18.7" hidden="false" customHeight="true" outlineLevel="0" collapsed="false">
      <c r="A42" s="1" t="n">
        <v>41</v>
      </c>
      <c r="B42" s="7" t="str">
        <f aca="false">HYPERLINK("https://mncourtfraud.com/file/27-CR-19-5875.pdf","27-CR-19-5875")</f>
        <v>27-CR-19-5875</v>
      </c>
      <c r="C42" s="1" t="n">
        <v>1</v>
      </c>
      <c r="D42" s="2" t="s">
        <v>12</v>
      </c>
      <c r="E42" s="8" t="n">
        <v>44396</v>
      </c>
      <c r="F42" s="2" t="s">
        <v>15</v>
      </c>
      <c r="G42" s="7" t="str">
        <f aca="false">HYPERLINK("https://mncourtfraud.com/file/MCRO_27-CR-19-5875_Order-Evaluation for Competency to Proceed (Rule 20.01)_2021-07-19_20251126175529.pdf","MCRO_27-CR-19-5875_Order-Evaluation for Competency to Proceed (Rule 20.01)_2021-07-19_20251126175529.pdf")</f>
        <v>MCRO_27-CR-19-5875_Order-Evaluation for Competency to Proceed (Rule 20.01)_2021-07-19_20251126175529.pdf</v>
      </c>
      <c r="H42" s="1" t="n">
        <v>4</v>
      </c>
      <c r="I42" s="1" t="s">
        <v>1360</v>
      </c>
      <c r="J42" s="1" t="n">
        <v>1</v>
      </c>
      <c r="K42" s="1" t="n">
        <v>1</v>
      </c>
      <c r="L42" s="2" t="s">
        <v>1453</v>
      </c>
      <c r="M42" s="2" t="s">
        <v>1362</v>
      </c>
      <c r="N42" s="2" t="s">
        <v>1454</v>
      </c>
      <c r="O42" s="2" t="s">
        <v>1364</v>
      </c>
      <c r="P42" s="2" t="s">
        <v>1390</v>
      </c>
      <c r="Q42" s="1" t="n">
        <v>0</v>
      </c>
      <c r="R42" s="2" t="n">
        <v>170158</v>
      </c>
      <c r="S42" s="2" t="n">
        <v>186544</v>
      </c>
      <c r="T42" s="2" t="n">
        <v>8533</v>
      </c>
      <c r="U42" s="2" t="n">
        <v>178691</v>
      </c>
      <c r="V42" s="2" t="n">
        <v>91.6</v>
      </c>
      <c r="W42" s="2" t="s">
        <v>1360</v>
      </c>
    </row>
    <row r="43" customFormat="false" ht="18.7" hidden="false" customHeight="true" outlineLevel="0" collapsed="false">
      <c r="A43" s="1" t="n">
        <v>42</v>
      </c>
      <c r="B43" s="7" t="str">
        <f aca="false">HYPERLINK("https://mncourtfraud.com/file/27-CR-19-5875.pdf","27-CR-19-5875")</f>
        <v>27-CR-19-5875</v>
      </c>
      <c r="C43" s="1" t="n">
        <v>1</v>
      </c>
      <c r="D43" s="2" t="s">
        <v>12</v>
      </c>
      <c r="E43" s="8" t="n">
        <v>44543</v>
      </c>
      <c r="F43" s="2" t="s">
        <v>15</v>
      </c>
      <c r="G43" s="7" t="str">
        <f aca="false">HYPERLINK("https://mncourtfraud.com/file/MCRO_27-CR-19-5875_Order-Evaluation for Competency to Proceed (Rule 20.01)_2021-12-13_20251126175541.pdf","MCRO_27-CR-19-5875_Order-Evaluation for Competency to Proceed (Rule 20.01)_2021-12-13_20251126175541.pdf")</f>
        <v>MCRO_27-CR-19-5875_Order-Evaluation for Competency to Proceed (Rule 20.01)_2021-12-13_20251126175541.pdf</v>
      </c>
      <c r="H43" s="1" t="n">
        <v>3</v>
      </c>
      <c r="I43" s="1" t="s">
        <v>1360</v>
      </c>
      <c r="J43" s="1" t="n">
        <v>1</v>
      </c>
      <c r="K43" s="1" t="n">
        <v>1</v>
      </c>
      <c r="L43" s="2" t="s">
        <v>1455</v>
      </c>
      <c r="M43" s="2" t="s">
        <v>1362</v>
      </c>
      <c r="N43" s="2" t="s">
        <v>1456</v>
      </c>
      <c r="O43" s="2" t="s">
        <v>1364</v>
      </c>
      <c r="P43" s="2" t="s">
        <v>1393</v>
      </c>
      <c r="Q43" s="1" t="n">
        <v>0</v>
      </c>
      <c r="R43" s="2" t="n">
        <v>212330</v>
      </c>
      <c r="S43" s="2" t="n">
        <v>228716</v>
      </c>
      <c r="T43" s="2" t="n">
        <v>5133</v>
      </c>
      <c r="U43" s="2" t="n">
        <v>217463</v>
      </c>
      <c r="V43" s="2" t="n">
        <v>92.99</v>
      </c>
      <c r="W43" s="2" t="s">
        <v>1360</v>
      </c>
    </row>
    <row r="44" customFormat="false" ht="18.7" hidden="false" customHeight="true" outlineLevel="0" collapsed="false">
      <c r="A44" s="1" t="n">
        <v>43</v>
      </c>
      <c r="B44" s="7" t="str">
        <f aca="false">HYPERLINK("https://mncourtfraud.com/file/27-CR-19-5875.pdf","27-CR-19-5875")</f>
        <v>27-CR-19-5875</v>
      </c>
      <c r="C44" s="1" t="n">
        <v>1</v>
      </c>
      <c r="D44" s="2" t="s">
        <v>12</v>
      </c>
      <c r="E44" s="8" t="n">
        <v>44558</v>
      </c>
      <c r="F44" s="2" t="s">
        <v>15</v>
      </c>
      <c r="G44" s="7" t="str">
        <f aca="false">HYPERLINK("https://mncourtfraud.com/file/MCRO_27-CR-19-5875_Order-Evaluation for Competency to Proceed (Rule 20.01)_2021-12-28_20251126175553.pdf","MCRO_27-CR-19-5875_Order-Evaluation for Competency to Proceed (Rule 20.01)_2021-12-28_20251126175553.pdf")</f>
        <v>MCRO_27-CR-19-5875_Order-Evaluation for Competency to Proceed (Rule 20.01)_2021-12-28_20251126175553.pdf</v>
      </c>
      <c r="H44" s="1" t="n">
        <v>4</v>
      </c>
      <c r="I44" s="1" t="s">
        <v>1360</v>
      </c>
      <c r="J44" s="1" t="n">
        <v>1</v>
      </c>
      <c r="K44" s="1" t="n">
        <v>1</v>
      </c>
      <c r="L44" s="2" t="s">
        <v>1457</v>
      </c>
      <c r="M44" s="2" t="s">
        <v>1362</v>
      </c>
      <c r="N44" s="2" t="s">
        <v>1458</v>
      </c>
      <c r="O44" s="2" t="s">
        <v>1364</v>
      </c>
      <c r="P44" s="2" t="s">
        <v>1396</v>
      </c>
      <c r="Q44" s="1" t="n">
        <v>0</v>
      </c>
      <c r="R44" s="2" t="n">
        <v>214019</v>
      </c>
      <c r="S44" s="2" t="n">
        <v>230405</v>
      </c>
      <c r="T44" s="2" t="n">
        <v>8578</v>
      </c>
      <c r="U44" s="2" t="n">
        <v>222597</v>
      </c>
      <c r="V44" s="2" t="n">
        <v>93.14</v>
      </c>
      <c r="W44" s="2" t="s">
        <v>1360</v>
      </c>
    </row>
    <row r="45" customFormat="false" ht="18.7" hidden="false" customHeight="true" outlineLevel="0" collapsed="false">
      <c r="A45" s="1" t="n">
        <v>44</v>
      </c>
      <c r="B45" s="7" t="str">
        <f aca="false">HYPERLINK("https://mncourtfraud.com/file/27-CR-19-5875.pdf","27-CR-19-5875")</f>
        <v>27-CR-19-5875</v>
      </c>
      <c r="C45" s="1" t="n">
        <v>1</v>
      </c>
      <c r="D45" s="2" t="s">
        <v>12</v>
      </c>
      <c r="E45" s="8" t="n">
        <v>44692</v>
      </c>
      <c r="F45" s="2" t="s">
        <v>15</v>
      </c>
      <c r="G45" s="7" t="str">
        <f aca="false">HYPERLINK("https://mncourtfraud.com/file/MCRO_27-CR-19-5875_Order-Evaluation for Competency to Proceed (Rule 20.01)_2022-05-11_20251126175604.pdf","MCRO_27-CR-19-5875_Order-Evaluation for Competency to Proceed (Rule 20.01)_2022-05-11_20251126175604.pdf")</f>
        <v>MCRO_27-CR-19-5875_Order-Evaluation for Competency to Proceed (Rule 20.01)_2022-05-11_20251126175604.pdf</v>
      </c>
      <c r="H45" s="1" t="n">
        <v>3</v>
      </c>
      <c r="I45" s="1" t="s">
        <v>1360</v>
      </c>
      <c r="J45" s="1" t="n">
        <v>1</v>
      </c>
      <c r="K45" s="1" t="n">
        <v>1</v>
      </c>
      <c r="L45" s="2" t="s">
        <v>1459</v>
      </c>
      <c r="M45" s="2" t="s">
        <v>1362</v>
      </c>
      <c r="N45" s="2" t="s">
        <v>1460</v>
      </c>
      <c r="O45" s="2" t="s">
        <v>1364</v>
      </c>
      <c r="P45" s="2" t="s">
        <v>1399</v>
      </c>
      <c r="Q45" s="1" t="n">
        <v>0</v>
      </c>
      <c r="R45" s="2" t="n">
        <v>218703</v>
      </c>
      <c r="S45" s="2" t="n">
        <v>235089</v>
      </c>
      <c r="T45" s="2" t="n">
        <v>4728</v>
      </c>
      <c r="U45" s="2" t="n">
        <v>223431</v>
      </c>
      <c r="V45" s="2" t="n">
        <v>93.17</v>
      </c>
      <c r="W45" s="2" t="s">
        <v>1360</v>
      </c>
    </row>
    <row r="46" customFormat="false" ht="18.7" hidden="false" customHeight="true" outlineLevel="0" collapsed="false">
      <c r="A46" s="1" t="n">
        <v>45</v>
      </c>
      <c r="B46" s="7" t="str">
        <f aca="false">HYPERLINK("https://mncourtfraud.com/file/27-CR-19-5875.pdf","27-CR-19-5875")</f>
        <v>27-CR-19-5875</v>
      </c>
      <c r="C46" s="1" t="n">
        <v>1</v>
      </c>
      <c r="D46" s="2" t="s">
        <v>12</v>
      </c>
      <c r="E46" s="8" t="n">
        <v>44895</v>
      </c>
      <c r="F46" s="2" t="s">
        <v>15</v>
      </c>
      <c r="G46" s="7" t="str">
        <f aca="false">HYPERLINK("https://mncourtfraud.com/file/MCRO_27-CR-19-5875_Order-Evaluation for Competency to Proceed (Rule 20.01)_2022-11-30_20251126175616.pdf","MCRO_27-CR-19-5875_Order-Evaluation for Competency to Proceed (Rule 20.01)_2022-11-30_20251126175616.pdf")</f>
        <v>MCRO_27-CR-19-5875_Order-Evaluation for Competency to Proceed (Rule 20.01)_2022-11-30_20251126175616.pdf</v>
      </c>
      <c r="H46" s="1" t="n">
        <v>4</v>
      </c>
      <c r="I46" s="1" t="s">
        <v>1360</v>
      </c>
      <c r="J46" s="1" t="n">
        <v>1</v>
      </c>
      <c r="K46" s="1" t="n">
        <v>1</v>
      </c>
      <c r="L46" s="2" t="s">
        <v>1461</v>
      </c>
      <c r="M46" s="2" t="s">
        <v>1362</v>
      </c>
      <c r="N46" s="2" t="s">
        <v>1462</v>
      </c>
      <c r="O46" s="2" t="s">
        <v>1364</v>
      </c>
      <c r="P46" s="2" t="s">
        <v>1402</v>
      </c>
      <c r="Q46" s="1" t="n">
        <v>0</v>
      </c>
      <c r="R46" s="2" t="n">
        <v>795534</v>
      </c>
      <c r="S46" s="2" t="n">
        <v>811920</v>
      </c>
      <c r="T46" s="2" t="n">
        <v>5080</v>
      </c>
      <c r="U46" s="2" t="n">
        <v>800614</v>
      </c>
      <c r="V46" s="2" t="n">
        <v>97.99</v>
      </c>
      <c r="W46" s="2" t="s">
        <v>1360</v>
      </c>
    </row>
    <row r="47" customFormat="false" ht="18.7" hidden="false" customHeight="true" outlineLevel="0" collapsed="false">
      <c r="A47" s="1" t="n">
        <v>46</v>
      </c>
      <c r="B47" s="7" t="str">
        <f aca="false">HYPERLINK("https://mncourtfraud.com/file/27-CR-19-5875.pdf","27-CR-19-5875")</f>
        <v>27-CR-19-5875</v>
      </c>
      <c r="C47" s="1" t="n">
        <v>1</v>
      </c>
      <c r="D47" s="2" t="s">
        <v>12</v>
      </c>
      <c r="E47" s="8" t="n">
        <v>44460</v>
      </c>
      <c r="F47" s="2" t="s">
        <v>24</v>
      </c>
      <c r="G47" s="7" t="str">
        <f aca="false">HYPERLINK("https://mncourtfraud.com/file/MCRO_27-CR-19-5875_Order for Conditional Release_2021-09-21_20251126175513.pdf","MCRO_27-CR-19-5875_Order for Conditional Release_2021-09-21_20251126175513.pdf")</f>
        <v>MCRO_27-CR-19-5875_Order for Conditional Release_2021-09-21_20251126175513.pdf</v>
      </c>
      <c r="H47" s="1" t="n">
        <v>4</v>
      </c>
      <c r="I47" s="1" t="s">
        <v>1360</v>
      </c>
      <c r="J47" s="1" t="n">
        <v>1</v>
      </c>
      <c r="K47" s="1" t="n">
        <v>1</v>
      </c>
      <c r="L47" s="2" t="s">
        <v>1463</v>
      </c>
      <c r="M47" s="2" t="s">
        <v>1362</v>
      </c>
      <c r="N47" s="2" t="s">
        <v>1464</v>
      </c>
      <c r="O47" s="2" t="s">
        <v>1364</v>
      </c>
      <c r="P47" s="2" t="s">
        <v>1405</v>
      </c>
      <c r="Q47" s="1" t="n">
        <v>0</v>
      </c>
      <c r="R47" s="2" t="n">
        <v>84991</v>
      </c>
      <c r="S47" s="2" t="n">
        <v>101377</v>
      </c>
      <c r="T47" s="2" t="n">
        <v>4472</v>
      </c>
      <c r="U47" s="2" t="n">
        <v>89463</v>
      </c>
      <c r="V47" s="2" t="n">
        <v>84.52</v>
      </c>
      <c r="W47" s="2" t="s">
        <v>1360</v>
      </c>
    </row>
    <row r="48" customFormat="false" ht="18.7" hidden="false" customHeight="true" outlineLevel="0" collapsed="false">
      <c r="A48" s="1" t="n">
        <v>47</v>
      </c>
      <c r="B48" s="7" t="str">
        <f aca="false">HYPERLINK("https://mncourtfraud.com/file/27-CR-19-5875.pdf","27-CR-19-5875")</f>
        <v>27-CR-19-5875</v>
      </c>
      <c r="C48" s="1" t="n">
        <v>1</v>
      </c>
      <c r="D48" s="2" t="s">
        <v>12</v>
      </c>
      <c r="E48" s="8" t="n">
        <v>44468</v>
      </c>
      <c r="F48" s="2" t="s">
        <v>24</v>
      </c>
      <c r="G48" s="7" t="str">
        <f aca="false">HYPERLINK("https://mncourtfraud.com/file/MCRO_27-CR-19-5875_Order for Conditional Release_2021-09-29_20251126175502.pdf","MCRO_27-CR-19-5875_Order for Conditional Release_2021-09-29_20251126175502.pdf")</f>
        <v>MCRO_27-CR-19-5875_Order for Conditional Release_2021-09-29_20251126175502.pdf</v>
      </c>
      <c r="H48" s="1" t="n">
        <v>4</v>
      </c>
      <c r="I48" s="1" t="s">
        <v>1360</v>
      </c>
      <c r="J48" s="1" t="n">
        <v>1</v>
      </c>
      <c r="K48" s="1" t="n">
        <v>1</v>
      </c>
      <c r="L48" s="2" t="s">
        <v>1465</v>
      </c>
      <c r="M48" s="2" t="s">
        <v>1362</v>
      </c>
      <c r="N48" s="2" t="s">
        <v>1466</v>
      </c>
      <c r="O48" s="2" t="s">
        <v>1364</v>
      </c>
      <c r="P48" s="2" t="s">
        <v>1408</v>
      </c>
      <c r="Q48" s="1" t="n">
        <v>0</v>
      </c>
      <c r="R48" s="2" t="n">
        <v>130451</v>
      </c>
      <c r="S48" s="2" t="n">
        <v>146837</v>
      </c>
      <c r="T48" s="2" t="n">
        <v>4975</v>
      </c>
      <c r="U48" s="2" t="n">
        <v>135426</v>
      </c>
      <c r="V48" s="2" t="n">
        <v>89.21</v>
      </c>
      <c r="W48" s="2" t="s">
        <v>1360</v>
      </c>
    </row>
    <row r="49" customFormat="false" ht="18.7" hidden="false" customHeight="true" outlineLevel="0" collapsed="false">
      <c r="A49" s="1" t="n">
        <v>48</v>
      </c>
      <c r="B49" s="7" t="str">
        <f aca="false">HYPERLINK("https://mncourtfraud.com/file/27-CR-19-5875.pdf","27-CR-19-5875")</f>
        <v>27-CR-19-5875</v>
      </c>
      <c r="C49" s="1" t="n">
        <v>1</v>
      </c>
      <c r="D49" s="2" t="s">
        <v>12</v>
      </c>
      <c r="E49" s="8" t="n">
        <v>43970</v>
      </c>
      <c r="F49" s="2" t="s">
        <v>17</v>
      </c>
      <c r="G49" s="7" t="str">
        <f aca="false">HYPERLINK("https://mncourtfraud.com/file/MCRO_27-CR-19-5875_Returned Mail_2020-05-19_20251126175700.pdf","MCRO_27-CR-19-5875_Returned Mail_2020-05-19_20251126175700.pdf")</f>
        <v>MCRO_27-CR-19-5875_Returned Mail_2020-05-19_20251126175700.pdf</v>
      </c>
      <c r="H49" s="1" t="n">
        <v>4</v>
      </c>
      <c r="I49" s="1" t="s">
        <v>1360</v>
      </c>
      <c r="J49" s="1" t="n">
        <v>1</v>
      </c>
      <c r="K49" s="1" t="n">
        <v>1</v>
      </c>
      <c r="L49" s="2" t="s">
        <v>1467</v>
      </c>
      <c r="M49" s="2" t="s">
        <v>1362</v>
      </c>
      <c r="N49" s="2" t="s">
        <v>1468</v>
      </c>
      <c r="O49" s="2" t="s">
        <v>1364</v>
      </c>
      <c r="P49" s="2" t="s">
        <v>1411</v>
      </c>
      <c r="Q49" s="1" t="n">
        <v>0</v>
      </c>
      <c r="R49" s="2" t="n">
        <v>242022</v>
      </c>
      <c r="S49" s="2" t="n">
        <v>258408</v>
      </c>
      <c r="T49" s="2" t="n">
        <v>4525</v>
      </c>
      <c r="U49" s="2" t="n">
        <v>246547</v>
      </c>
      <c r="V49" s="2" t="n">
        <v>93.77</v>
      </c>
      <c r="W49" s="2" t="s">
        <v>1360</v>
      </c>
    </row>
    <row r="50" customFormat="false" ht="18.7" hidden="false" customHeight="true" outlineLevel="0" collapsed="false">
      <c r="A50" s="1" t="n">
        <v>49</v>
      </c>
      <c r="B50" s="7" t="str">
        <f aca="false">HYPERLINK("https://mncourtfraud.com/file/27-CR-20-14626.pdf","27-CR-20-14626")</f>
        <v>27-CR-20-14626</v>
      </c>
      <c r="C50" s="1" t="n">
        <v>1</v>
      </c>
      <c r="D50" s="2" t="s">
        <v>12</v>
      </c>
      <c r="E50" s="8" t="n">
        <v>44103</v>
      </c>
      <c r="F50" s="2" t="s">
        <v>19</v>
      </c>
      <c r="G50" s="7" t="str">
        <f aca="false">HYPERLINK("https://mncourtfraud.com/file/MCRO_27-CR-20-14626_Findings and Order_2020-09-29_20251126175748.pdf","MCRO_27-CR-20-14626_Findings and Order_2020-09-29_20251126175748.pdf")</f>
        <v>MCRO_27-CR-20-14626_Findings and Order_2020-09-29_20251126175748.pdf</v>
      </c>
      <c r="H50" s="1" t="n">
        <v>4</v>
      </c>
      <c r="I50" s="1" t="s">
        <v>1360</v>
      </c>
      <c r="J50" s="1" t="n">
        <v>1</v>
      </c>
      <c r="K50" s="1" t="n">
        <v>1</v>
      </c>
      <c r="L50" s="2" t="s">
        <v>1469</v>
      </c>
      <c r="M50" s="2" t="s">
        <v>1362</v>
      </c>
      <c r="N50" s="2" t="s">
        <v>1470</v>
      </c>
      <c r="O50" s="2" t="s">
        <v>1364</v>
      </c>
      <c r="P50" s="2" t="s">
        <v>1365</v>
      </c>
      <c r="Q50" s="1" t="n">
        <v>0</v>
      </c>
      <c r="R50" s="2" t="n">
        <v>314048</v>
      </c>
      <c r="S50" s="2" t="n">
        <v>330434</v>
      </c>
      <c r="T50" s="2" t="n">
        <v>4483</v>
      </c>
      <c r="U50" s="2" t="n">
        <v>318531</v>
      </c>
      <c r="V50" s="2" t="n">
        <v>95.11</v>
      </c>
      <c r="W50" s="2" t="s">
        <v>1360</v>
      </c>
    </row>
    <row r="51" customFormat="false" ht="18.7" hidden="false" customHeight="true" outlineLevel="0" collapsed="false">
      <c r="A51" s="1" t="n">
        <v>50</v>
      </c>
      <c r="B51" s="7" t="str">
        <f aca="false">HYPERLINK("https://mncourtfraud.com/file/27-CR-20-14626.pdf","27-CR-20-14626")</f>
        <v>27-CR-20-14626</v>
      </c>
      <c r="C51" s="1" t="n">
        <v>1</v>
      </c>
      <c r="D51" s="2" t="s">
        <v>12</v>
      </c>
      <c r="E51" s="8" t="n">
        <v>44439</v>
      </c>
      <c r="F51" s="2" t="s">
        <v>19</v>
      </c>
      <c r="G51" s="7" t="str">
        <f aca="false">HYPERLINK("https://mncourtfraud.com/file/MCRO_27-CR-20-14626_Findings and Order_2021-08-31_20251126175800.pdf","MCRO_27-CR-20-14626_Findings and Order_2021-08-31_20251126175800.pdf")</f>
        <v>MCRO_27-CR-20-14626_Findings and Order_2021-08-31_20251126175800.pdf</v>
      </c>
      <c r="H51" s="1" t="n">
        <v>5</v>
      </c>
      <c r="I51" s="1" t="s">
        <v>1366</v>
      </c>
      <c r="J51" s="1" t="n">
        <v>1</v>
      </c>
      <c r="K51" s="1" t="n">
        <v>1</v>
      </c>
      <c r="L51" s="2" t="s">
        <v>1367</v>
      </c>
      <c r="M51" s="2" t="s">
        <v>1368</v>
      </c>
      <c r="N51" s="2" t="s">
        <v>1369</v>
      </c>
      <c r="O51" s="2" t="s">
        <v>1364</v>
      </c>
      <c r="P51" s="2" t="s">
        <v>1370</v>
      </c>
      <c r="Q51" s="1" t="n">
        <v>0</v>
      </c>
      <c r="R51" s="2" t="n">
        <v>129996</v>
      </c>
      <c r="S51" s="2" t="n">
        <v>137690</v>
      </c>
      <c r="T51" s="2" t="n">
        <v>19979</v>
      </c>
      <c r="U51" s="2" t="n">
        <v>149975</v>
      </c>
      <c r="V51" s="2" t="n">
        <v>39.94</v>
      </c>
      <c r="W51" s="2" t="s">
        <v>1366</v>
      </c>
    </row>
    <row r="52" customFormat="false" ht="18.7" hidden="false" customHeight="true" outlineLevel="0" collapsed="false">
      <c r="A52" s="1" t="n">
        <v>51</v>
      </c>
      <c r="B52" s="7" t="str">
        <f aca="false">HYPERLINK("https://mncourtfraud.com/file/27-CR-20-14626.pdf","27-CR-20-14626")</f>
        <v>27-CR-20-14626</v>
      </c>
      <c r="C52" s="1" t="n">
        <v>1</v>
      </c>
      <c r="D52" s="2" t="s">
        <v>12</v>
      </c>
      <c r="E52" s="8" t="n">
        <v>44439</v>
      </c>
      <c r="F52" s="2" t="s">
        <v>19</v>
      </c>
      <c r="G52" s="7" t="str">
        <f aca="false">HYPERLINK("https://mncourtfraud.com/file/MCRO_27-CR-20-14626_Findings and Order_2021-08-31_20251126175800.pdf","MCRO_27-CR-20-14626_Findings and Order_2021-08-31_20251126175800.pdf")</f>
        <v>MCRO_27-CR-20-14626_Findings and Order_2021-08-31_20251126175800.pdf</v>
      </c>
      <c r="H52" s="1" t="n">
        <v>5</v>
      </c>
      <c r="I52" s="1" t="s">
        <v>1366</v>
      </c>
      <c r="J52" s="1" t="n">
        <v>2</v>
      </c>
      <c r="K52" s="1" t="n">
        <v>2</v>
      </c>
      <c r="L52" s="2" t="s">
        <v>1471</v>
      </c>
      <c r="M52" s="2" t="s">
        <v>1362</v>
      </c>
      <c r="N52" s="2" t="s">
        <v>1472</v>
      </c>
      <c r="O52" s="2" t="s">
        <v>1364</v>
      </c>
      <c r="P52" s="2" t="s">
        <v>1373</v>
      </c>
      <c r="Q52" s="1" t="n">
        <v>0</v>
      </c>
      <c r="R52" s="2" t="n">
        <v>354060</v>
      </c>
      <c r="S52" s="2" t="n">
        <v>370446</v>
      </c>
      <c r="T52" s="2" t="n">
        <v>5042</v>
      </c>
      <c r="U52" s="2" t="n">
        <v>359102</v>
      </c>
      <c r="V52" s="2" t="n">
        <v>95.64</v>
      </c>
      <c r="W52" s="2" t="s">
        <v>1360</v>
      </c>
    </row>
    <row r="53" customFormat="false" ht="18.7" hidden="false" customHeight="true" outlineLevel="0" collapsed="false">
      <c r="A53" s="1" t="n">
        <v>52</v>
      </c>
      <c r="B53" s="7" t="str">
        <f aca="false">HYPERLINK("https://mncourtfraud.com/file/27-CR-20-14626.pdf","27-CR-20-14626")</f>
        <v>27-CR-20-14626</v>
      </c>
      <c r="C53" s="1" t="n">
        <v>1</v>
      </c>
      <c r="D53" s="2" t="s">
        <v>12</v>
      </c>
      <c r="E53" s="8" t="n">
        <v>44593</v>
      </c>
      <c r="F53" s="2" t="s">
        <v>19</v>
      </c>
      <c r="G53" s="7" t="str">
        <f aca="false">HYPERLINK("https://mncourtfraud.com/file/MCRO_27-CR-20-14626_Findings and Order_2022-02-01_20251126175736.pdf","MCRO_27-CR-20-14626_Findings and Order_2022-02-01_20251126175736.pdf")</f>
        <v>MCRO_27-CR-20-14626_Findings and Order_2022-02-01_20251126175736.pdf</v>
      </c>
      <c r="H53" s="1" t="n">
        <v>4</v>
      </c>
      <c r="I53" s="1" t="s">
        <v>1360</v>
      </c>
      <c r="J53" s="1" t="n">
        <v>1</v>
      </c>
      <c r="K53" s="1" t="n">
        <v>1</v>
      </c>
      <c r="L53" s="2" t="s">
        <v>1367</v>
      </c>
      <c r="M53" s="2" t="s">
        <v>1368</v>
      </c>
      <c r="N53" s="2" t="s">
        <v>1374</v>
      </c>
      <c r="O53" s="2" t="s">
        <v>1364</v>
      </c>
      <c r="P53" s="2" t="s">
        <v>1375</v>
      </c>
      <c r="Q53" s="1" t="n">
        <v>0</v>
      </c>
      <c r="R53" s="2" t="n">
        <v>163153</v>
      </c>
      <c r="S53" s="2" t="n">
        <v>173205</v>
      </c>
      <c r="T53" s="2" t="n">
        <v>9683</v>
      </c>
      <c r="U53" s="2" t="n">
        <v>172836</v>
      </c>
      <c r="V53" s="2" t="n">
        <v>47.77</v>
      </c>
      <c r="W53" s="2" t="s">
        <v>1366</v>
      </c>
    </row>
    <row r="54" customFormat="false" ht="18.7" hidden="false" customHeight="true" outlineLevel="0" collapsed="false">
      <c r="A54" s="1" t="n">
        <v>53</v>
      </c>
      <c r="B54" s="7" t="str">
        <f aca="false">HYPERLINK("https://mncourtfraud.com/file/27-CR-20-14626.pdf","27-CR-20-14626")</f>
        <v>27-CR-20-14626</v>
      </c>
      <c r="C54" s="1" t="n">
        <v>1</v>
      </c>
      <c r="D54" s="2" t="s">
        <v>12</v>
      </c>
      <c r="E54" s="8" t="n">
        <v>44593</v>
      </c>
      <c r="F54" s="2" t="s">
        <v>19</v>
      </c>
      <c r="G54" s="7" t="str">
        <f aca="false">HYPERLINK("https://mncourtfraud.com/file/MCRO_27-CR-20-14626_Findings and Order_2022-02-01_20251126175736.pdf","MCRO_27-CR-20-14626_Findings and Order_2022-02-01_20251126175736.pdf")</f>
        <v>MCRO_27-CR-20-14626_Findings and Order_2022-02-01_20251126175736.pdf</v>
      </c>
      <c r="H54" s="1" t="n">
        <v>4</v>
      </c>
      <c r="I54" s="1" t="s">
        <v>1360</v>
      </c>
      <c r="J54" s="1" t="n">
        <v>2</v>
      </c>
      <c r="K54" s="1" t="n">
        <v>2</v>
      </c>
      <c r="L54" s="2" t="s">
        <v>1473</v>
      </c>
      <c r="M54" s="2" t="s">
        <v>1362</v>
      </c>
      <c r="N54" s="2" t="s">
        <v>1474</v>
      </c>
      <c r="O54" s="2" t="s">
        <v>1364</v>
      </c>
      <c r="P54" s="2" t="s">
        <v>1378</v>
      </c>
      <c r="Q54" s="1" t="n">
        <v>0</v>
      </c>
      <c r="R54" s="2" t="n">
        <v>340310</v>
      </c>
      <c r="S54" s="2" t="n">
        <v>356696</v>
      </c>
      <c r="T54" s="2" t="n">
        <v>5091</v>
      </c>
      <c r="U54" s="2" t="n">
        <v>345401</v>
      </c>
      <c r="V54" s="2" t="n">
        <v>95.47</v>
      </c>
      <c r="W54" s="2" t="s">
        <v>1360</v>
      </c>
    </row>
    <row r="55" customFormat="false" ht="18.7" hidden="false" customHeight="true" outlineLevel="0" collapsed="false">
      <c r="A55" s="1" t="n">
        <v>54</v>
      </c>
      <c r="B55" s="7" t="str">
        <f aca="false">HYPERLINK("https://mncourtfraud.com/file/27-CR-20-14626.pdf","27-CR-20-14626")</f>
        <v>27-CR-20-14626</v>
      </c>
      <c r="C55" s="1" t="n">
        <v>1</v>
      </c>
      <c r="D55" s="2" t="s">
        <v>12</v>
      </c>
      <c r="E55" s="8" t="n">
        <v>44225</v>
      </c>
      <c r="F55" s="2" t="s">
        <v>15</v>
      </c>
      <c r="G55" s="7" t="str">
        <f aca="false">HYPERLINK("https://mncourtfraud.com/file/MCRO_27-CR-20-14626_Order-Evaluation for Competency to Proceed (Rule 20.01)_2021-01-29_20251126175944.pdf","MCRO_27-CR-20-14626_Order-Evaluation for Competency to Proceed (Rule 20.01)_2021-01-29_20251126175944.pdf")</f>
        <v>MCRO_27-CR-20-14626_Order-Evaluation for Competency to Proceed (Rule 20.01)_2021-01-29_20251126175944.pdf</v>
      </c>
      <c r="H55" s="1" t="n">
        <v>3</v>
      </c>
      <c r="I55" s="1" t="s">
        <v>1360</v>
      </c>
      <c r="J55" s="1" t="n">
        <v>1</v>
      </c>
      <c r="K55" s="1" t="n">
        <v>1</v>
      </c>
      <c r="L55" s="2" t="s">
        <v>1475</v>
      </c>
      <c r="M55" s="2" t="s">
        <v>1362</v>
      </c>
      <c r="N55" s="2" t="s">
        <v>1476</v>
      </c>
      <c r="O55" s="2" t="s">
        <v>1364</v>
      </c>
      <c r="P55" s="2" t="s">
        <v>1387</v>
      </c>
      <c r="Q55" s="1" t="n">
        <v>0</v>
      </c>
      <c r="R55" s="2" t="n">
        <v>432745</v>
      </c>
      <c r="S55" s="2" t="n">
        <v>449131</v>
      </c>
      <c r="T55" s="2" t="n">
        <v>5077</v>
      </c>
      <c r="U55" s="2" t="n">
        <v>437822</v>
      </c>
      <c r="V55" s="2" t="n">
        <v>96.39</v>
      </c>
      <c r="W55" s="2" t="s">
        <v>1360</v>
      </c>
    </row>
    <row r="56" customFormat="false" ht="18.7" hidden="false" customHeight="true" outlineLevel="0" collapsed="false">
      <c r="A56" s="1" t="n">
        <v>55</v>
      </c>
      <c r="B56" s="7" t="str">
        <f aca="false">HYPERLINK("https://mncourtfraud.com/file/27-CR-20-14626.pdf","27-CR-20-14626")</f>
        <v>27-CR-20-14626</v>
      </c>
      <c r="C56" s="1" t="n">
        <v>1</v>
      </c>
      <c r="D56" s="2" t="s">
        <v>12</v>
      </c>
      <c r="E56" s="8" t="n">
        <v>44396</v>
      </c>
      <c r="F56" s="2" t="s">
        <v>15</v>
      </c>
      <c r="G56" s="7" t="str">
        <f aca="false">HYPERLINK("https://mncourtfraud.com/file/MCRO_27-CR-20-14626_Order-Evaluation for Competency to Proceed (Rule 20.01)_2021-07-19_20251126175844.pdf","MCRO_27-CR-20-14626_Order-Evaluation for Competency to Proceed (Rule 20.01)_2021-07-19_20251126175844.pdf")</f>
        <v>MCRO_27-CR-20-14626_Order-Evaluation for Competency to Proceed (Rule 20.01)_2021-07-19_20251126175844.pdf</v>
      </c>
      <c r="H56" s="1" t="n">
        <v>4</v>
      </c>
      <c r="I56" s="1" t="s">
        <v>1360</v>
      </c>
      <c r="J56" s="1" t="n">
        <v>1</v>
      </c>
      <c r="K56" s="1" t="n">
        <v>1</v>
      </c>
      <c r="L56" s="2" t="s">
        <v>1477</v>
      </c>
      <c r="M56" s="2" t="s">
        <v>1362</v>
      </c>
      <c r="N56" s="2" t="s">
        <v>1478</v>
      </c>
      <c r="O56" s="2" t="s">
        <v>1364</v>
      </c>
      <c r="P56" s="2" t="s">
        <v>1390</v>
      </c>
      <c r="Q56" s="1" t="n">
        <v>0</v>
      </c>
      <c r="R56" s="2" t="n">
        <v>171374</v>
      </c>
      <c r="S56" s="2" t="n">
        <v>187760</v>
      </c>
      <c r="T56" s="2" t="n">
        <v>8533</v>
      </c>
      <c r="U56" s="2" t="n">
        <v>179907</v>
      </c>
      <c r="V56" s="2" t="n">
        <v>91.65</v>
      </c>
      <c r="W56" s="2" t="s">
        <v>1360</v>
      </c>
    </row>
    <row r="57" customFormat="false" ht="18.7" hidden="false" customHeight="true" outlineLevel="0" collapsed="false">
      <c r="A57" s="1" t="n">
        <v>56</v>
      </c>
      <c r="B57" s="7" t="str">
        <f aca="false">HYPERLINK("https://mncourtfraud.com/file/27-CR-20-14626.pdf","27-CR-20-14626")</f>
        <v>27-CR-20-14626</v>
      </c>
      <c r="C57" s="1" t="n">
        <v>1</v>
      </c>
      <c r="D57" s="2" t="s">
        <v>12</v>
      </c>
      <c r="E57" s="8" t="n">
        <v>44543</v>
      </c>
      <c r="F57" s="2" t="s">
        <v>15</v>
      </c>
      <c r="G57" s="7" t="str">
        <f aca="false">HYPERLINK("https://mncourtfraud.com/file/MCRO_27-CR-20-14626_Order-Evaluation for Competency to Proceed (Rule 20.01)_2021-12-13_20251126175855.pdf","MCRO_27-CR-20-14626_Order-Evaluation for Competency to Proceed (Rule 20.01)_2021-12-13_20251126175855.pdf")</f>
        <v>MCRO_27-CR-20-14626_Order-Evaluation for Competency to Proceed (Rule 20.01)_2021-12-13_20251126175855.pdf</v>
      </c>
      <c r="H57" s="1" t="n">
        <v>3</v>
      </c>
      <c r="I57" s="1" t="s">
        <v>1360</v>
      </c>
      <c r="J57" s="1" t="n">
        <v>1</v>
      </c>
      <c r="K57" s="1" t="n">
        <v>1</v>
      </c>
      <c r="L57" s="2" t="s">
        <v>1479</v>
      </c>
      <c r="M57" s="2" t="s">
        <v>1362</v>
      </c>
      <c r="N57" s="2" t="s">
        <v>1480</v>
      </c>
      <c r="O57" s="2" t="s">
        <v>1364</v>
      </c>
      <c r="P57" s="2" t="s">
        <v>1393</v>
      </c>
      <c r="Q57" s="1" t="n">
        <v>0</v>
      </c>
      <c r="R57" s="2" t="n">
        <v>212321</v>
      </c>
      <c r="S57" s="2" t="n">
        <v>228707</v>
      </c>
      <c r="T57" s="2" t="n">
        <v>5134</v>
      </c>
      <c r="U57" s="2" t="n">
        <v>217455</v>
      </c>
      <c r="V57" s="2" t="n">
        <v>92.99</v>
      </c>
      <c r="W57" s="2" t="s">
        <v>1360</v>
      </c>
    </row>
    <row r="58" customFormat="false" ht="18.7" hidden="false" customHeight="true" outlineLevel="0" collapsed="false">
      <c r="A58" s="1" t="n">
        <v>57</v>
      </c>
      <c r="B58" s="7" t="str">
        <f aca="false">HYPERLINK("https://mncourtfraud.com/file/27-CR-20-14626.pdf","27-CR-20-14626")</f>
        <v>27-CR-20-14626</v>
      </c>
      <c r="C58" s="1" t="n">
        <v>1</v>
      </c>
      <c r="D58" s="2" t="s">
        <v>12</v>
      </c>
      <c r="E58" s="8" t="n">
        <v>44558</v>
      </c>
      <c r="F58" s="2" t="s">
        <v>15</v>
      </c>
      <c r="G58" s="7" t="str">
        <f aca="false">HYPERLINK("https://mncourtfraud.com/file/MCRO_27-CR-20-14626_Order-Evaluation for Competency to Proceed (Rule 20.01)_2021-12-28_20251126175907.pdf","MCRO_27-CR-20-14626_Order-Evaluation for Competency to Proceed (Rule 20.01)_2021-12-28_20251126175907.pdf")</f>
        <v>MCRO_27-CR-20-14626_Order-Evaluation for Competency to Proceed (Rule 20.01)_2021-12-28_20251126175907.pdf</v>
      </c>
      <c r="H58" s="1" t="n">
        <v>4</v>
      </c>
      <c r="I58" s="1" t="s">
        <v>1360</v>
      </c>
      <c r="J58" s="1" t="n">
        <v>1</v>
      </c>
      <c r="K58" s="1" t="n">
        <v>1</v>
      </c>
      <c r="L58" s="2" t="s">
        <v>1481</v>
      </c>
      <c r="M58" s="2" t="s">
        <v>1362</v>
      </c>
      <c r="N58" s="2" t="s">
        <v>1482</v>
      </c>
      <c r="O58" s="2" t="s">
        <v>1364</v>
      </c>
      <c r="P58" s="2" t="s">
        <v>1396</v>
      </c>
      <c r="Q58" s="1" t="n">
        <v>0</v>
      </c>
      <c r="R58" s="2" t="n">
        <v>215949</v>
      </c>
      <c r="S58" s="2" t="n">
        <v>232335</v>
      </c>
      <c r="T58" s="2" t="n">
        <v>8578</v>
      </c>
      <c r="U58" s="2" t="n">
        <v>224527</v>
      </c>
      <c r="V58" s="2" t="n">
        <v>93.2</v>
      </c>
      <c r="W58" s="2" t="s">
        <v>1360</v>
      </c>
    </row>
    <row r="59" customFormat="false" ht="18.7" hidden="false" customHeight="true" outlineLevel="0" collapsed="false">
      <c r="A59" s="1" t="n">
        <v>58</v>
      </c>
      <c r="B59" s="7" t="str">
        <f aca="false">HYPERLINK("https://mncourtfraud.com/file/27-CR-20-14626.pdf","27-CR-20-14626")</f>
        <v>27-CR-20-14626</v>
      </c>
      <c r="C59" s="1" t="n">
        <v>1</v>
      </c>
      <c r="D59" s="2" t="s">
        <v>12</v>
      </c>
      <c r="E59" s="8" t="n">
        <v>44692</v>
      </c>
      <c r="F59" s="2" t="s">
        <v>15</v>
      </c>
      <c r="G59" s="7" t="str">
        <f aca="false">HYPERLINK("https://mncourtfraud.com/file/MCRO_27-CR-20-14626_Order-Evaluation for Competency to Proceed (Rule 20.01)_2022-05-11_20251126175918.pdf","MCRO_27-CR-20-14626_Order-Evaluation for Competency to Proceed (Rule 20.01)_2022-05-11_20251126175918.pdf")</f>
        <v>MCRO_27-CR-20-14626_Order-Evaluation for Competency to Proceed (Rule 20.01)_2022-05-11_20251126175918.pdf</v>
      </c>
      <c r="H59" s="1" t="n">
        <v>3</v>
      </c>
      <c r="I59" s="1" t="s">
        <v>1360</v>
      </c>
      <c r="J59" s="1" t="n">
        <v>1</v>
      </c>
      <c r="K59" s="1" t="n">
        <v>1</v>
      </c>
      <c r="L59" s="2" t="s">
        <v>1483</v>
      </c>
      <c r="M59" s="2" t="s">
        <v>1362</v>
      </c>
      <c r="N59" s="2" t="s">
        <v>1484</v>
      </c>
      <c r="O59" s="2" t="s">
        <v>1364</v>
      </c>
      <c r="P59" s="2" t="s">
        <v>1399</v>
      </c>
      <c r="Q59" s="1" t="n">
        <v>0</v>
      </c>
      <c r="R59" s="2" t="n">
        <v>218705</v>
      </c>
      <c r="S59" s="2" t="n">
        <v>235091</v>
      </c>
      <c r="T59" s="2" t="n">
        <v>4726</v>
      </c>
      <c r="U59" s="2" t="n">
        <v>223431</v>
      </c>
      <c r="V59" s="2" t="n">
        <v>93.17</v>
      </c>
      <c r="W59" s="2" t="s">
        <v>1360</v>
      </c>
    </row>
    <row r="60" customFormat="false" ht="18.7" hidden="false" customHeight="true" outlineLevel="0" collapsed="false">
      <c r="A60" s="1" t="n">
        <v>59</v>
      </c>
      <c r="B60" s="7" t="str">
        <f aca="false">HYPERLINK("https://mncourtfraud.com/file/27-CR-20-14626.pdf","27-CR-20-14626")</f>
        <v>27-CR-20-14626</v>
      </c>
      <c r="C60" s="1" t="n">
        <v>1</v>
      </c>
      <c r="D60" s="2" t="s">
        <v>12</v>
      </c>
      <c r="E60" s="8" t="n">
        <v>44895</v>
      </c>
      <c r="F60" s="2" t="s">
        <v>15</v>
      </c>
      <c r="G60" s="7" t="str">
        <f aca="false">HYPERLINK("https://mncourtfraud.com/file/MCRO_27-CR-20-14626_Order-Evaluation for Competency to Proceed (Rule 20.01)_2022-11-30_20251126175928.pdf","MCRO_27-CR-20-14626_Order-Evaluation for Competency to Proceed (Rule 20.01)_2022-11-30_20251126175928.pdf")</f>
        <v>MCRO_27-CR-20-14626_Order-Evaluation for Competency to Proceed (Rule 20.01)_2022-11-30_20251126175928.pdf</v>
      </c>
      <c r="H60" s="1" t="n">
        <v>4</v>
      </c>
      <c r="I60" s="1" t="s">
        <v>1360</v>
      </c>
      <c r="J60" s="1" t="n">
        <v>1</v>
      </c>
      <c r="K60" s="1" t="n">
        <v>1</v>
      </c>
      <c r="L60" s="2" t="s">
        <v>1485</v>
      </c>
      <c r="M60" s="2" t="s">
        <v>1362</v>
      </c>
      <c r="N60" s="2" t="s">
        <v>1486</v>
      </c>
      <c r="O60" s="2" t="s">
        <v>1364</v>
      </c>
      <c r="P60" s="2" t="s">
        <v>1402</v>
      </c>
      <c r="Q60" s="1" t="n">
        <v>0</v>
      </c>
      <c r="R60" s="2" t="n">
        <v>795532</v>
      </c>
      <c r="S60" s="2" t="n">
        <v>811918</v>
      </c>
      <c r="T60" s="2" t="n">
        <v>5080</v>
      </c>
      <c r="U60" s="2" t="n">
        <v>800612</v>
      </c>
      <c r="V60" s="2" t="n">
        <v>97.99</v>
      </c>
      <c r="W60" s="2" t="s">
        <v>1360</v>
      </c>
    </row>
    <row r="61" customFormat="false" ht="18.7" hidden="false" customHeight="true" outlineLevel="0" collapsed="false">
      <c r="A61" s="1" t="n">
        <v>60</v>
      </c>
      <c r="B61" s="7" t="str">
        <f aca="false">HYPERLINK("https://mncourtfraud.com/file/27-CR-20-14626.pdf","27-CR-20-14626")</f>
        <v>27-CR-20-14626</v>
      </c>
      <c r="C61" s="1" t="n">
        <v>1</v>
      </c>
      <c r="D61" s="2" t="s">
        <v>12</v>
      </c>
      <c r="E61" s="8" t="n">
        <v>44460</v>
      </c>
      <c r="F61" s="2" t="s">
        <v>24</v>
      </c>
      <c r="G61" s="7" t="str">
        <f aca="false">HYPERLINK("https://mncourtfraud.com/file/MCRO_27-CR-20-14626_Order for Conditional Release_2021-09-21_20251126175819.pdf","MCRO_27-CR-20-14626_Order for Conditional Release_2021-09-21_20251126175819.pdf")</f>
        <v>MCRO_27-CR-20-14626_Order for Conditional Release_2021-09-21_20251126175819.pdf</v>
      </c>
      <c r="H61" s="1" t="n">
        <v>4</v>
      </c>
      <c r="I61" s="1" t="s">
        <v>1360</v>
      </c>
      <c r="J61" s="1" t="n">
        <v>1</v>
      </c>
      <c r="K61" s="1" t="n">
        <v>1</v>
      </c>
      <c r="L61" s="2" t="s">
        <v>1487</v>
      </c>
      <c r="M61" s="2" t="s">
        <v>1362</v>
      </c>
      <c r="N61" s="2" t="s">
        <v>1488</v>
      </c>
      <c r="O61" s="2" t="s">
        <v>1364</v>
      </c>
      <c r="P61" s="2" t="s">
        <v>1405</v>
      </c>
      <c r="Q61" s="1" t="n">
        <v>0</v>
      </c>
      <c r="R61" s="2" t="n">
        <v>84991</v>
      </c>
      <c r="S61" s="2" t="n">
        <v>101377</v>
      </c>
      <c r="T61" s="2" t="n">
        <v>4472</v>
      </c>
      <c r="U61" s="2" t="n">
        <v>89463</v>
      </c>
      <c r="V61" s="2" t="n">
        <v>84.52</v>
      </c>
      <c r="W61" s="2" t="s">
        <v>1360</v>
      </c>
    </row>
    <row r="62" customFormat="false" ht="18.7" hidden="false" customHeight="true" outlineLevel="0" collapsed="false">
      <c r="A62" s="1" t="n">
        <v>61</v>
      </c>
      <c r="B62" s="7" t="str">
        <f aca="false">HYPERLINK("https://mncourtfraud.com/file/27-CR-20-14626.pdf","27-CR-20-14626")</f>
        <v>27-CR-20-14626</v>
      </c>
      <c r="C62" s="1" t="n">
        <v>1</v>
      </c>
      <c r="D62" s="2" t="s">
        <v>12</v>
      </c>
      <c r="E62" s="8" t="n">
        <v>44468</v>
      </c>
      <c r="F62" s="2" t="s">
        <v>24</v>
      </c>
      <c r="G62" s="7" t="str">
        <f aca="false">HYPERLINK("https://mncourtfraud.com/file/MCRO_27-CR-20-14626_Order for Conditional Release_2021-09-29_20251126175828.pdf","MCRO_27-CR-20-14626_Order for Conditional Release_2021-09-29_20251126175828.pdf")</f>
        <v>MCRO_27-CR-20-14626_Order for Conditional Release_2021-09-29_20251126175828.pdf</v>
      </c>
      <c r="H62" s="1" t="n">
        <v>4</v>
      </c>
      <c r="I62" s="1" t="s">
        <v>1360</v>
      </c>
      <c r="J62" s="1" t="n">
        <v>1</v>
      </c>
      <c r="K62" s="1" t="n">
        <v>1</v>
      </c>
      <c r="L62" s="2" t="s">
        <v>1489</v>
      </c>
      <c r="M62" s="2" t="s">
        <v>1362</v>
      </c>
      <c r="N62" s="2" t="s">
        <v>1490</v>
      </c>
      <c r="O62" s="2" t="s">
        <v>1364</v>
      </c>
      <c r="P62" s="2" t="s">
        <v>1408</v>
      </c>
      <c r="Q62" s="1" t="n">
        <v>0</v>
      </c>
      <c r="R62" s="2" t="n">
        <v>130451</v>
      </c>
      <c r="S62" s="2" t="n">
        <v>146837</v>
      </c>
      <c r="T62" s="2" t="n">
        <v>4974</v>
      </c>
      <c r="U62" s="2" t="n">
        <v>135425</v>
      </c>
      <c r="V62" s="2" t="n">
        <v>89.21</v>
      </c>
      <c r="W62" s="2" t="s">
        <v>1360</v>
      </c>
    </row>
    <row r="63" customFormat="false" ht="18.7" hidden="false" customHeight="true" outlineLevel="0" collapsed="false">
      <c r="A63" s="1" t="n">
        <v>62</v>
      </c>
      <c r="B63" s="7" t="str">
        <f aca="false">HYPERLINK("https://mncourtfraud.com/file/27-CR-20-25524.pdf","27-CR-20-25524")</f>
        <v>27-CR-20-25524</v>
      </c>
      <c r="C63" s="1" t="n">
        <v>1</v>
      </c>
      <c r="D63" s="2" t="s">
        <v>12</v>
      </c>
      <c r="E63" s="8" t="n">
        <v>45048</v>
      </c>
      <c r="F63" s="2" t="s">
        <v>80</v>
      </c>
      <c r="G63" s="7" t="str">
        <f aca="false">HYPERLINK("https://mncourtfraud.com/file/MCRO_27-CR-20-25524_Finding of Incompetency and Order_2023-05-02_20251126180022.pdf","MCRO_27-CR-20-25524_Finding of Incompetency and Order_2023-05-02_20251126180022.pdf")</f>
        <v>MCRO_27-CR-20-25524_Finding of Incompetency and Order_2023-05-02_20251126180022.pdf</v>
      </c>
      <c r="H63" s="1" t="n">
        <v>9</v>
      </c>
      <c r="I63" s="1" t="s">
        <v>1366</v>
      </c>
      <c r="J63" s="1" t="n">
        <v>1</v>
      </c>
      <c r="K63" s="1" t="n">
        <v>1</v>
      </c>
      <c r="L63" s="2" t="s">
        <v>1491</v>
      </c>
      <c r="M63" s="2" t="s">
        <v>1492</v>
      </c>
      <c r="N63" s="2" t="s">
        <v>1493</v>
      </c>
      <c r="O63" s="2" t="s">
        <v>1494</v>
      </c>
      <c r="P63" s="2" t="s">
        <v>1495</v>
      </c>
      <c r="Q63" s="1" t="n">
        <v>0</v>
      </c>
      <c r="R63" s="2" t="n">
        <v>100288</v>
      </c>
      <c r="S63" s="2" t="n">
        <v>112370</v>
      </c>
      <c r="T63" s="2" t="n">
        <v>48200</v>
      </c>
      <c r="U63" s="2" t="n">
        <v>148488</v>
      </c>
      <c r="V63" s="2" t="n">
        <v>15.21</v>
      </c>
      <c r="W63" s="2" t="s">
        <v>1366</v>
      </c>
    </row>
    <row r="64" customFormat="false" ht="18.7" hidden="false" customHeight="true" outlineLevel="0" collapsed="false">
      <c r="A64" s="1" t="n">
        <v>63</v>
      </c>
      <c r="B64" s="7" t="str">
        <f aca="false">HYPERLINK("https://mncourtfraud.com/file/27-CR-20-25524.pdf","27-CR-20-25524")</f>
        <v>27-CR-20-25524</v>
      </c>
      <c r="C64" s="1" t="n">
        <v>1</v>
      </c>
      <c r="D64" s="2" t="s">
        <v>12</v>
      </c>
      <c r="E64" s="8" t="n">
        <v>45048</v>
      </c>
      <c r="F64" s="2" t="s">
        <v>80</v>
      </c>
      <c r="G64" s="7" t="str">
        <f aca="false">HYPERLINK("https://mncourtfraud.com/file/MCRO_27-CR-20-25524_Finding of Incompetency and Order_2023-05-02_20251126180022.pdf","MCRO_27-CR-20-25524_Finding of Incompetency and Order_2023-05-02_20251126180022.pdf")</f>
        <v>MCRO_27-CR-20-25524_Finding of Incompetency and Order_2023-05-02_20251126180022.pdf</v>
      </c>
      <c r="H64" s="1" t="n">
        <v>9</v>
      </c>
      <c r="I64" s="1" t="s">
        <v>1366</v>
      </c>
      <c r="J64" s="1" t="n">
        <v>2</v>
      </c>
      <c r="K64" s="1" t="n">
        <v>2</v>
      </c>
      <c r="L64" s="2" t="s">
        <v>1367</v>
      </c>
      <c r="M64" s="2" t="s">
        <v>1496</v>
      </c>
      <c r="N64" s="2" t="s">
        <v>1497</v>
      </c>
      <c r="O64" s="2" t="s">
        <v>1494</v>
      </c>
      <c r="P64" s="2" t="s">
        <v>1498</v>
      </c>
      <c r="Q64" s="1" t="n">
        <v>0</v>
      </c>
      <c r="R64" s="2" t="n">
        <v>160968</v>
      </c>
      <c r="S64" s="2" t="n">
        <v>167974</v>
      </c>
      <c r="T64" s="2" t="n">
        <v>59084</v>
      </c>
      <c r="U64" s="2" t="n">
        <v>220052</v>
      </c>
      <c r="V64" s="2" t="n">
        <v>22.53</v>
      </c>
      <c r="W64" s="2" t="s">
        <v>1366</v>
      </c>
    </row>
    <row r="65" customFormat="false" ht="18.7" hidden="false" customHeight="true" outlineLevel="0" collapsed="false">
      <c r="A65" s="1" t="n">
        <v>64</v>
      </c>
      <c r="B65" s="7" t="str">
        <f aca="false">HYPERLINK("https://mncourtfraud.com/file/27-CR-20-25524.pdf","27-CR-20-25524")</f>
        <v>27-CR-20-25524</v>
      </c>
      <c r="C65" s="1" t="n">
        <v>1</v>
      </c>
      <c r="D65" s="2" t="s">
        <v>12</v>
      </c>
      <c r="E65" s="8" t="n">
        <v>45048</v>
      </c>
      <c r="F65" s="2" t="s">
        <v>80</v>
      </c>
      <c r="G65" s="7" t="str">
        <f aca="false">HYPERLINK("https://mncourtfraud.com/file/MCRO_27-CR-20-25524_Finding of Incompetency and Order_2023-05-02_20251126180022.pdf","MCRO_27-CR-20-25524_Finding of Incompetency and Order_2023-05-02_20251126180022.pdf")</f>
        <v>MCRO_27-CR-20-25524_Finding of Incompetency and Order_2023-05-02_20251126180022.pdf</v>
      </c>
      <c r="H65" s="1" t="n">
        <v>9</v>
      </c>
      <c r="I65" s="1" t="s">
        <v>1366</v>
      </c>
      <c r="J65" s="1" t="n">
        <v>3</v>
      </c>
      <c r="K65" s="1" t="n">
        <v>3</v>
      </c>
      <c r="L65" s="2" t="s">
        <v>1499</v>
      </c>
      <c r="M65" s="2" t="s">
        <v>1362</v>
      </c>
      <c r="N65" s="2" t="s">
        <v>1500</v>
      </c>
      <c r="O65" s="2" t="s">
        <v>1364</v>
      </c>
      <c r="P65" s="2" t="s">
        <v>1501</v>
      </c>
      <c r="Q65" s="1" t="n">
        <v>0</v>
      </c>
      <c r="R65" s="2" t="n">
        <v>954855</v>
      </c>
      <c r="S65" s="2" t="n">
        <v>971241</v>
      </c>
      <c r="T65" s="2" t="n">
        <v>5305</v>
      </c>
      <c r="U65" s="2" t="n">
        <v>960160</v>
      </c>
      <c r="V65" s="2" t="n">
        <v>98.32</v>
      </c>
      <c r="W65" s="2" t="s">
        <v>1360</v>
      </c>
    </row>
    <row r="66" customFormat="false" ht="18.7" hidden="false" customHeight="true" outlineLevel="0" collapsed="false">
      <c r="A66" s="1" t="n">
        <v>65</v>
      </c>
      <c r="B66" s="7" t="str">
        <f aca="false">HYPERLINK("https://mncourtfraud.com/file/27-CR-20-25524.pdf","27-CR-20-25524")</f>
        <v>27-CR-20-25524</v>
      </c>
      <c r="C66" s="1" t="n">
        <v>1</v>
      </c>
      <c r="D66" s="2" t="s">
        <v>12</v>
      </c>
      <c r="E66" s="8" t="n">
        <v>44439</v>
      </c>
      <c r="F66" s="2" t="s">
        <v>19</v>
      </c>
      <c r="G66" s="7" t="str">
        <f aca="false">HYPERLINK("https://mncourtfraud.com/file/MCRO_27-CR-20-25524_Findings and Order_2021-08-31_20251126180048.pdf","MCRO_27-CR-20-25524_Findings and Order_2021-08-31_20251126180048.pdf")</f>
        <v>MCRO_27-CR-20-25524_Findings and Order_2021-08-31_20251126180048.pdf</v>
      </c>
      <c r="H66" s="1" t="n">
        <v>5</v>
      </c>
      <c r="I66" s="1" t="s">
        <v>1366</v>
      </c>
      <c r="J66" s="1" t="n">
        <v>1</v>
      </c>
      <c r="K66" s="1" t="n">
        <v>1</v>
      </c>
      <c r="L66" s="2" t="s">
        <v>1367</v>
      </c>
      <c r="M66" s="2" t="s">
        <v>1368</v>
      </c>
      <c r="N66" s="2" t="s">
        <v>1369</v>
      </c>
      <c r="O66" s="2" t="s">
        <v>1364</v>
      </c>
      <c r="P66" s="2" t="s">
        <v>1370</v>
      </c>
      <c r="Q66" s="1" t="n">
        <v>0</v>
      </c>
      <c r="R66" s="2" t="n">
        <v>129996</v>
      </c>
      <c r="S66" s="2" t="n">
        <v>137690</v>
      </c>
      <c r="T66" s="2" t="n">
        <v>19979</v>
      </c>
      <c r="U66" s="2" t="n">
        <v>149975</v>
      </c>
      <c r="V66" s="2" t="n">
        <v>39.94</v>
      </c>
      <c r="W66" s="2" t="s">
        <v>1366</v>
      </c>
    </row>
    <row r="67" customFormat="false" ht="18.7" hidden="false" customHeight="true" outlineLevel="0" collapsed="false">
      <c r="A67" s="1" t="n">
        <v>66</v>
      </c>
      <c r="B67" s="7" t="str">
        <f aca="false">HYPERLINK("https://mncourtfraud.com/file/27-CR-20-25524.pdf","27-CR-20-25524")</f>
        <v>27-CR-20-25524</v>
      </c>
      <c r="C67" s="1" t="n">
        <v>1</v>
      </c>
      <c r="D67" s="2" t="s">
        <v>12</v>
      </c>
      <c r="E67" s="8" t="n">
        <v>44439</v>
      </c>
      <c r="F67" s="2" t="s">
        <v>19</v>
      </c>
      <c r="G67" s="7" t="str">
        <f aca="false">HYPERLINK("https://mncourtfraud.com/file/MCRO_27-CR-20-25524_Findings and Order_2021-08-31_20251126180048.pdf","MCRO_27-CR-20-25524_Findings and Order_2021-08-31_20251126180048.pdf")</f>
        <v>MCRO_27-CR-20-25524_Findings and Order_2021-08-31_20251126180048.pdf</v>
      </c>
      <c r="H67" s="1" t="n">
        <v>5</v>
      </c>
      <c r="I67" s="1" t="s">
        <v>1366</v>
      </c>
      <c r="J67" s="1" t="n">
        <v>2</v>
      </c>
      <c r="K67" s="1" t="n">
        <v>2</v>
      </c>
      <c r="L67" s="2" t="s">
        <v>1502</v>
      </c>
      <c r="M67" s="2" t="s">
        <v>1362</v>
      </c>
      <c r="N67" s="2" t="s">
        <v>1503</v>
      </c>
      <c r="O67" s="2" t="s">
        <v>1364</v>
      </c>
      <c r="P67" s="2" t="s">
        <v>1373</v>
      </c>
      <c r="Q67" s="1" t="n">
        <v>0</v>
      </c>
      <c r="R67" s="2" t="n">
        <v>354062</v>
      </c>
      <c r="S67" s="2" t="n">
        <v>370448</v>
      </c>
      <c r="T67" s="2" t="n">
        <v>5041</v>
      </c>
      <c r="U67" s="2" t="n">
        <v>359103</v>
      </c>
      <c r="V67" s="2" t="n">
        <v>95.64</v>
      </c>
      <c r="W67" s="2" t="s">
        <v>1360</v>
      </c>
    </row>
    <row r="68" customFormat="false" ht="18.7" hidden="false" customHeight="true" outlineLevel="0" collapsed="false">
      <c r="A68" s="1" t="n">
        <v>67</v>
      </c>
      <c r="B68" s="7" t="str">
        <f aca="false">HYPERLINK("https://mncourtfraud.com/file/27-CR-20-25524.pdf","27-CR-20-25524")</f>
        <v>27-CR-20-25524</v>
      </c>
      <c r="C68" s="1" t="n">
        <v>1</v>
      </c>
      <c r="D68" s="2" t="s">
        <v>12</v>
      </c>
      <c r="E68" s="8" t="n">
        <v>44593</v>
      </c>
      <c r="F68" s="2" t="s">
        <v>19</v>
      </c>
      <c r="G68" s="7" t="str">
        <f aca="false">HYPERLINK("https://mncourtfraud.com/file/MCRO_27-CR-20-25524_Findings and Order_2022-02-01_20251126180037.pdf","MCRO_27-CR-20-25524_Findings and Order_2022-02-01_20251126180037.pdf")</f>
        <v>MCRO_27-CR-20-25524_Findings and Order_2022-02-01_20251126180037.pdf</v>
      </c>
      <c r="H68" s="1" t="n">
        <v>4</v>
      </c>
      <c r="I68" s="1" t="s">
        <v>1360</v>
      </c>
      <c r="J68" s="1" t="n">
        <v>1</v>
      </c>
      <c r="K68" s="1" t="n">
        <v>1</v>
      </c>
      <c r="L68" s="2" t="s">
        <v>1367</v>
      </c>
      <c r="M68" s="2" t="s">
        <v>1368</v>
      </c>
      <c r="N68" s="2" t="s">
        <v>1374</v>
      </c>
      <c r="O68" s="2" t="s">
        <v>1364</v>
      </c>
      <c r="P68" s="2" t="s">
        <v>1375</v>
      </c>
      <c r="Q68" s="1" t="n">
        <v>0</v>
      </c>
      <c r="R68" s="2" t="n">
        <v>163153</v>
      </c>
      <c r="S68" s="2" t="n">
        <v>173205</v>
      </c>
      <c r="T68" s="2" t="n">
        <v>9683</v>
      </c>
      <c r="U68" s="2" t="n">
        <v>172836</v>
      </c>
      <c r="V68" s="2" t="n">
        <v>47.77</v>
      </c>
      <c r="W68" s="2" t="s">
        <v>1366</v>
      </c>
    </row>
    <row r="69" customFormat="false" ht="18.7" hidden="false" customHeight="true" outlineLevel="0" collapsed="false">
      <c r="A69" s="1" t="n">
        <v>68</v>
      </c>
      <c r="B69" s="7" t="str">
        <f aca="false">HYPERLINK("https://mncourtfraud.com/file/27-CR-20-25524.pdf","27-CR-20-25524")</f>
        <v>27-CR-20-25524</v>
      </c>
      <c r="C69" s="1" t="n">
        <v>1</v>
      </c>
      <c r="D69" s="2" t="s">
        <v>12</v>
      </c>
      <c r="E69" s="8" t="n">
        <v>44593</v>
      </c>
      <c r="F69" s="2" t="s">
        <v>19</v>
      </c>
      <c r="G69" s="7" t="str">
        <f aca="false">HYPERLINK("https://mncourtfraud.com/file/MCRO_27-CR-20-25524_Findings and Order_2022-02-01_20251126180037.pdf","MCRO_27-CR-20-25524_Findings and Order_2022-02-01_20251126180037.pdf")</f>
        <v>MCRO_27-CR-20-25524_Findings and Order_2022-02-01_20251126180037.pdf</v>
      </c>
      <c r="H69" s="1" t="n">
        <v>4</v>
      </c>
      <c r="I69" s="1" t="s">
        <v>1360</v>
      </c>
      <c r="J69" s="1" t="n">
        <v>2</v>
      </c>
      <c r="K69" s="1" t="n">
        <v>2</v>
      </c>
      <c r="L69" s="2" t="s">
        <v>1504</v>
      </c>
      <c r="M69" s="2" t="s">
        <v>1362</v>
      </c>
      <c r="N69" s="2" t="s">
        <v>1505</v>
      </c>
      <c r="O69" s="2" t="s">
        <v>1364</v>
      </c>
      <c r="P69" s="2" t="s">
        <v>1378</v>
      </c>
      <c r="Q69" s="1" t="n">
        <v>0</v>
      </c>
      <c r="R69" s="2" t="n">
        <v>340310</v>
      </c>
      <c r="S69" s="2" t="n">
        <v>356696</v>
      </c>
      <c r="T69" s="2" t="n">
        <v>5091</v>
      </c>
      <c r="U69" s="2" t="n">
        <v>345401</v>
      </c>
      <c r="V69" s="2" t="n">
        <v>95.47</v>
      </c>
      <c r="W69" s="2" t="s">
        <v>1360</v>
      </c>
    </row>
    <row r="70" customFormat="false" ht="18.7" hidden="false" customHeight="true" outlineLevel="0" collapsed="false">
      <c r="A70" s="1" t="n">
        <v>69</v>
      </c>
      <c r="B70" s="7" t="str">
        <f aca="false">HYPERLINK("https://mncourtfraud.com/file/27-CR-20-25524.pdf","27-CR-20-25524")</f>
        <v>27-CR-20-25524</v>
      </c>
      <c r="C70" s="1" t="n">
        <v>1</v>
      </c>
      <c r="D70" s="2" t="s">
        <v>12</v>
      </c>
      <c r="E70" s="8" t="n">
        <v>45093</v>
      </c>
      <c r="F70" s="2" t="s">
        <v>82</v>
      </c>
      <c r="G70" s="7" t="str">
        <f aca="false">HYPERLINK("https://mncourtfraud.com/file/MCRO_27-CR-20-25524_Notice of Case Reassignment_2023-06-16_20251126180103.pdf","MCRO_27-CR-20-25524_Notice of Case Reassignment_2023-06-16_20251126180103.pdf")</f>
        <v>MCRO_27-CR-20-25524_Notice of Case Reassignment_2023-06-16_20251126180103.pdf</v>
      </c>
      <c r="H70" s="1" t="n">
        <v>3</v>
      </c>
      <c r="I70" s="1" t="s">
        <v>1360</v>
      </c>
      <c r="J70" s="1" t="n">
        <v>1</v>
      </c>
      <c r="K70" s="1" t="n">
        <v>1</v>
      </c>
      <c r="L70" s="2" t="s">
        <v>1506</v>
      </c>
      <c r="M70" s="2" t="s">
        <v>1362</v>
      </c>
      <c r="N70" s="2" t="s">
        <v>1507</v>
      </c>
      <c r="O70" s="2" t="s">
        <v>1364</v>
      </c>
      <c r="P70" s="2" t="s">
        <v>1508</v>
      </c>
      <c r="Q70" s="1" t="n">
        <v>0</v>
      </c>
      <c r="R70" s="2" t="n">
        <v>92676</v>
      </c>
      <c r="S70" s="2" t="n">
        <v>109062</v>
      </c>
      <c r="T70" s="2" t="n">
        <v>4554</v>
      </c>
      <c r="U70" s="2" t="n">
        <v>97230</v>
      </c>
      <c r="V70" s="2" t="n">
        <v>85.58</v>
      </c>
      <c r="W70" s="2" t="s">
        <v>1360</v>
      </c>
    </row>
    <row r="71" customFormat="false" ht="18.7" hidden="false" customHeight="true" outlineLevel="0" collapsed="false">
      <c r="A71" s="1" t="n">
        <v>70</v>
      </c>
      <c r="B71" s="7" t="str">
        <f aca="false">HYPERLINK("https://mncourtfraud.com/file/27-CR-20-25524.pdf","27-CR-20-25524")</f>
        <v>27-CR-20-25524</v>
      </c>
      <c r="C71" s="1" t="n">
        <v>1</v>
      </c>
      <c r="D71" s="2" t="s">
        <v>12</v>
      </c>
      <c r="E71" s="8" t="n">
        <v>44396</v>
      </c>
      <c r="F71" s="2" t="s">
        <v>15</v>
      </c>
      <c r="G71" s="7" t="str">
        <f aca="false">HYPERLINK("https://mncourtfraud.com/file/MCRO_27-CR-20-25524_Order-Evaluation for Competency to Proceed (Rule 20.01)_2021-07-19_20251126180153.pdf","MCRO_27-CR-20-25524_Order-Evaluation for Competency to Proceed (Rule 20.01)_2021-07-19_20251126180153.pdf")</f>
        <v>MCRO_27-CR-20-25524_Order-Evaluation for Competency to Proceed (Rule 20.01)_2021-07-19_20251126180153.pdf</v>
      </c>
      <c r="H71" s="1" t="n">
        <v>4</v>
      </c>
      <c r="I71" s="1" t="s">
        <v>1360</v>
      </c>
      <c r="J71" s="1" t="n">
        <v>1</v>
      </c>
      <c r="K71" s="1" t="n">
        <v>1</v>
      </c>
      <c r="L71" s="2" t="s">
        <v>1509</v>
      </c>
      <c r="M71" s="2" t="s">
        <v>1362</v>
      </c>
      <c r="N71" s="2" t="s">
        <v>1510</v>
      </c>
      <c r="O71" s="2" t="s">
        <v>1364</v>
      </c>
      <c r="P71" s="2" t="s">
        <v>1390</v>
      </c>
      <c r="Q71" s="1" t="n">
        <v>0</v>
      </c>
      <c r="R71" s="2" t="n">
        <v>172368</v>
      </c>
      <c r="S71" s="2" t="n">
        <v>188754</v>
      </c>
      <c r="T71" s="2" t="n">
        <v>8533</v>
      </c>
      <c r="U71" s="2" t="n">
        <v>180901</v>
      </c>
      <c r="V71" s="2" t="n">
        <v>91.69</v>
      </c>
      <c r="W71" s="2" t="s">
        <v>1360</v>
      </c>
    </row>
    <row r="72" customFormat="false" ht="18.7" hidden="false" customHeight="true" outlineLevel="0" collapsed="false">
      <c r="A72" s="1" t="n">
        <v>71</v>
      </c>
      <c r="B72" s="7" t="str">
        <f aca="false">HYPERLINK("https://mncourtfraud.com/file/27-CR-20-25524.pdf","27-CR-20-25524")</f>
        <v>27-CR-20-25524</v>
      </c>
      <c r="C72" s="1" t="n">
        <v>1</v>
      </c>
      <c r="D72" s="2" t="s">
        <v>12</v>
      </c>
      <c r="E72" s="8" t="n">
        <v>44543</v>
      </c>
      <c r="F72" s="2" t="s">
        <v>15</v>
      </c>
      <c r="G72" s="7" t="str">
        <f aca="false">HYPERLINK("https://mncourtfraud.com/file/MCRO_27-CR-20-25524_Order-Evaluation for Competency to Proceed (Rule 20.01)_2021-12-13_20251126180204.pdf","MCRO_27-CR-20-25524_Order-Evaluation for Competency to Proceed (Rule 20.01)_2021-12-13_20251126180204.pdf")</f>
        <v>MCRO_27-CR-20-25524_Order-Evaluation for Competency to Proceed (Rule 20.01)_2021-12-13_20251126180204.pdf</v>
      </c>
      <c r="H72" s="1" t="n">
        <v>3</v>
      </c>
      <c r="I72" s="1" t="s">
        <v>1360</v>
      </c>
      <c r="J72" s="1" t="n">
        <v>1</v>
      </c>
      <c r="K72" s="1" t="n">
        <v>1</v>
      </c>
      <c r="L72" s="2" t="s">
        <v>1511</v>
      </c>
      <c r="M72" s="2" t="s">
        <v>1362</v>
      </c>
      <c r="N72" s="2" t="s">
        <v>1512</v>
      </c>
      <c r="O72" s="2" t="s">
        <v>1364</v>
      </c>
      <c r="P72" s="2" t="s">
        <v>1393</v>
      </c>
      <c r="Q72" s="1" t="n">
        <v>0</v>
      </c>
      <c r="R72" s="2" t="n">
        <v>212332</v>
      </c>
      <c r="S72" s="2" t="n">
        <v>228718</v>
      </c>
      <c r="T72" s="2" t="n">
        <v>5135</v>
      </c>
      <c r="U72" s="2" t="n">
        <v>217467</v>
      </c>
      <c r="V72" s="2" t="n">
        <v>92.99</v>
      </c>
      <c r="W72" s="2" t="s">
        <v>1360</v>
      </c>
    </row>
    <row r="73" customFormat="false" ht="18.7" hidden="false" customHeight="true" outlineLevel="0" collapsed="false">
      <c r="A73" s="1" t="n">
        <v>72</v>
      </c>
      <c r="B73" s="7" t="str">
        <f aca="false">HYPERLINK("https://mncourtfraud.com/file/27-CR-20-25524.pdf","27-CR-20-25524")</f>
        <v>27-CR-20-25524</v>
      </c>
      <c r="C73" s="1" t="n">
        <v>1</v>
      </c>
      <c r="D73" s="2" t="s">
        <v>12</v>
      </c>
      <c r="E73" s="8" t="n">
        <v>44558</v>
      </c>
      <c r="F73" s="2" t="s">
        <v>15</v>
      </c>
      <c r="G73" s="7" t="str">
        <f aca="false">HYPERLINK("https://mncourtfraud.com/file/MCRO_27-CR-20-25524_Order-Evaluation for Competency to Proceed (Rule 20.01)_2021-12-28_20251126180216.pdf","MCRO_27-CR-20-25524_Order-Evaluation for Competency to Proceed (Rule 20.01)_2021-12-28_20251126180216.pdf")</f>
        <v>MCRO_27-CR-20-25524_Order-Evaluation for Competency to Proceed (Rule 20.01)_2021-12-28_20251126180216.pdf</v>
      </c>
      <c r="H73" s="1" t="n">
        <v>4</v>
      </c>
      <c r="I73" s="1" t="s">
        <v>1360</v>
      </c>
      <c r="J73" s="1" t="n">
        <v>1</v>
      </c>
      <c r="K73" s="1" t="n">
        <v>1</v>
      </c>
      <c r="L73" s="2" t="s">
        <v>1513</v>
      </c>
      <c r="M73" s="2" t="s">
        <v>1362</v>
      </c>
      <c r="N73" s="2" t="s">
        <v>1514</v>
      </c>
      <c r="O73" s="2" t="s">
        <v>1364</v>
      </c>
      <c r="P73" s="2" t="s">
        <v>1396</v>
      </c>
      <c r="Q73" s="1" t="n">
        <v>0</v>
      </c>
      <c r="R73" s="2" t="n">
        <v>216055</v>
      </c>
      <c r="S73" s="2" t="n">
        <v>232441</v>
      </c>
      <c r="T73" s="2" t="n">
        <v>8578</v>
      </c>
      <c r="U73" s="2" t="n">
        <v>224633</v>
      </c>
      <c r="V73" s="2" t="n">
        <v>93.2</v>
      </c>
      <c r="W73" s="2" t="s">
        <v>1360</v>
      </c>
    </row>
    <row r="74" customFormat="false" ht="18.7" hidden="false" customHeight="true" outlineLevel="0" collapsed="false">
      <c r="A74" s="1" t="n">
        <v>73</v>
      </c>
      <c r="B74" s="7" t="str">
        <f aca="false">HYPERLINK("https://mncourtfraud.com/file/27-CR-20-25524.pdf","27-CR-20-25524")</f>
        <v>27-CR-20-25524</v>
      </c>
      <c r="C74" s="1" t="n">
        <v>1</v>
      </c>
      <c r="D74" s="2" t="s">
        <v>12</v>
      </c>
      <c r="E74" s="8" t="n">
        <v>44692</v>
      </c>
      <c r="F74" s="2" t="s">
        <v>15</v>
      </c>
      <c r="G74" s="7" t="str">
        <f aca="false">HYPERLINK("https://mncourtfraud.com/file/MCRO_27-CR-20-25524_Order-Evaluation for Competency to Proceed (Rule 20.01)_2022-05-11_20251126180226.pdf","MCRO_27-CR-20-25524_Order-Evaluation for Competency to Proceed (Rule 20.01)_2022-05-11_20251126180226.pdf")</f>
        <v>MCRO_27-CR-20-25524_Order-Evaluation for Competency to Proceed (Rule 20.01)_2022-05-11_20251126180226.pdf</v>
      </c>
      <c r="H74" s="1" t="n">
        <v>3</v>
      </c>
      <c r="I74" s="1" t="s">
        <v>1360</v>
      </c>
      <c r="J74" s="1" t="n">
        <v>1</v>
      </c>
      <c r="K74" s="1" t="n">
        <v>1</v>
      </c>
      <c r="L74" s="2" t="s">
        <v>1515</v>
      </c>
      <c r="M74" s="2" t="s">
        <v>1362</v>
      </c>
      <c r="N74" s="2" t="s">
        <v>1516</v>
      </c>
      <c r="O74" s="2" t="s">
        <v>1364</v>
      </c>
      <c r="P74" s="2" t="s">
        <v>1399</v>
      </c>
      <c r="Q74" s="1" t="n">
        <v>0</v>
      </c>
      <c r="R74" s="2" t="n">
        <v>218702</v>
      </c>
      <c r="S74" s="2" t="n">
        <v>235088</v>
      </c>
      <c r="T74" s="2" t="n">
        <v>4728</v>
      </c>
      <c r="U74" s="2" t="n">
        <v>223430</v>
      </c>
      <c r="V74" s="2" t="n">
        <v>93.17</v>
      </c>
      <c r="W74" s="2" t="s">
        <v>1360</v>
      </c>
    </row>
    <row r="75" customFormat="false" ht="18.7" hidden="false" customHeight="true" outlineLevel="0" collapsed="false">
      <c r="A75" s="1" t="n">
        <v>74</v>
      </c>
      <c r="B75" s="7" t="str">
        <f aca="false">HYPERLINK("https://mncourtfraud.com/file/27-CR-20-25524.pdf","27-CR-20-25524")</f>
        <v>27-CR-20-25524</v>
      </c>
      <c r="C75" s="1" t="n">
        <v>1</v>
      </c>
      <c r="D75" s="2" t="s">
        <v>12</v>
      </c>
      <c r="E75" s="8" t="n">
        <v>44895</v>
      </c>
      <c r="F75" s="2" t="s">
        <v>15</v>
      </c>
      <c r="G75" s="7" t="str">
        <f aca="false">HYPERLINK("https://mncourtfraud.com/file/MCRO_27-CR-20-25524_Order-Evaluation for Competency to Proceed (Rule 20.01)_2022-11-30_20251126180238.pdf","MCRO_27-CR-20-25524_Order-Evaluation for Competency to Proceed (Rule 20.01)_2022-11-30_20251126180238.pdf")</f>
        <v>MCRO_27-CR-20-25524_Order-Evaluation for Competency to Proceed (Rule 20.01)_2022-11-30_20251126180238.pdf</v>
      </c>
      <c r="H75" s="1" t="n">
        <v>4</v>
      </c>
      <c r="I75" s="1" t="s">
        <v>1360</v>
      </c>
      <c r="J75" s="1" t="n">
        <v>1</v>
      </c>
      <c r="K75" s="1" t="n">
        <v>1</v>
      </c>
      <c r="L75" s="2" t="s">
        <v>1517</v>
      </c>
      <c r="M75" s="2" t="s">
        <v>1362</v>
      </c>
      <c r="N75" s="2" t="s">
        <v>1518</v>
      </c>
      <c r="O75" s="2" t="s">
        <v>1364</v>
      </c>
      <c r="P75" s="2" t="s">
        <v>1402</v>
      </c>
      <c r="Q75" s="1" t="n">
        <v>0</v>
      </c>
      <c r="R75" s="2" t="n">
        <v>795532</v>
      </c>
      <c r="S75" s="2" t="n">
        <v>811918</v>
      </c>
      <c r="T75" s="2" t="n">
        <v>5080</v>
      </c>
      <c r="U75" s="2" t="n">
        <v>800612</v>
      </c>
      <c r="V75" s="2" t="n">
        <v>97.99</v>
      </c>
      <c r="W75" s="2" t="s">
        <v>1360</v>
      </c>
    </row>
    <row r="76" customFormat="false" ht="18.7" hidden="false" customHeight="true" outlineLevel="0" collapsed="false">
      <c r="A76" s="1" t="n">
        <v>75</v>
      </c>
      <c r="B76" s="7" t="str">
        <f aca="false">HYPERLINK("https://mncourtfraud.com/file/27-CR-20-25524.pdf","27-CR-20-25524")</f>
        <v>27-CR-20-25524</v>
      </c>
      <c r="C76" s="1" t="n">
        <v>1</v>
      </c>
      <c r="D76" s="2" t="s">
        <v>12</v>
      </c>
      <c r="E76" s="8" t="n">
        <v>45160</v>
      </c>
      <c r="F76" s="2" t="s">
        <v>15</v>
      </c>
      <c r="G76" s="7" t="str">
        <f aca="false">HYPERLINK("https://mncourtfraud.com/file/MCRO_27-CR-20-25524_Order-Evaluation for Competency to Proceed (Rule 20.01)_2023-08-22_20251126180250.pdf","MCRO_27-CR-20-25524_Order-Evaluation for Competency to Proceed (Rule 20.01)_2023-08-22_20251126180250.pdf")</f>
        <v>MCRO_27-CR-20-25524_Order-Evaluation for Competency to Proceed (Rule 20.01)_2023-08-22_20251126180250.pdf</v>
      </c>
      <c r="H76" s="1" t="n">
        <v>6</v>
      </c>
      <c r="I76" s="1" t="s">
        <v>1366</v>
      </c>
      <c r="J76" s="1" t="n">
        <v>1</v>
      </c>
      <c r="K76" s="1" t="n">
        <v>1</v>
      </c>
      <c r="L76" s="2" t="s">
        <v>1367</v>
      </c>
      <c r="M76" s="2" t="s">
        <v>1519</v>
      </c>
      <c r="N76" s="2" t="s">
        <v>1520</v>
      </c>
      <c r="O76" s="2" t="s">
        <v>1494</v>
      </c>
      <c r="P76" s="2" t="s">
        <v>1521</v>
      </c>
      <c r="Q76" s="1" t="n">
        <v>0</v>
      </c>
      <c r="R76" s="2" t="n">
        <v>122115</v>
      </c>
      <c r="S76" s="2" t="n">
        <v>129143</v>
      </c>
      <c r="T76" s="2" t="n">
        <v>87775</v>
      </c>
      <c r="U76" s="2" t="n">
        <v>209890</v>
      </c>
      <c r="V76" s="2" t="n">
        <v>23.95</v>
      </c>
      <c r="W76" s="2" t="s">
        <v>1366</v>
      </c>
    </row>
    <row r="77" customFormat="false" ht="18.7" hidden="false" customHeight="true" outlineLevel="0" collapsed="false">
      <c r="A77" s="1" t="n">
        <v>76</v>
      </c>
      <c r="B77" s="7" t="str">
        <f aca="false">HYPERLINK("https://mncourtfraud.com/file/27-CR-20-25524.pdf","27-CR-20-25524")</f>
        <v>27-CR-20-25524</v>
      </c>
      <c r="C77" s="1" t="n">
        <v>1</v>
      </c>
      <c r="D77" s="2" t="s">
        <v>12</v>
      </c>
      <c r="E77" s="8" t="n">
        <v>45160</v>
      </c>
      <c r="F77" s="2" t="s">
        <v>15</v>
      </c>
      <c r="G77" s="7" t="str">
        <f aca="false">HYPERLINK("https://mncourtfraud.com/file/MCRO_27-CR-20-25524_Order-Evaluation for Competency to Proceed (Rule 20.01)_2023-08-22_20251126180250.pdf","MCRO_27-CR-20-25524_Order-Evaluation for Competency to Proceed (Rule 20.01)_2023-08-22_20251126180250.pdf")</f>
        <v>MCRO_27-CR-20-25524_Order-Evaluation for Competency to Proceed (Rule 20.01)_2023-08-22_20251126180250.pdf</v>
      </c>
      <c r="H77" s="1" t="n">
        <v>6</v>
      </c>
      <c r="I77" s="1" t="s">
        <v>1366</v>
      </c>
      <c r="J77" s="1" t="n">
        <v>2</v>
      </c>
      <c r="K77" s="1" t="n">
        <v>2</v>
      </c>
      <c r="L77" s="2" t="s">
        <v>1522</v>
      </c>
      <c r="M77" s="2" t="s">
        <v>1362</v>
      </c>
      <c r="N77" s="2" t="s">
        <v>1523</v>
      </c>
      <c r="O77" s="2" t="s">
        <v>1364</v>
      </c>
      <c r="P77" s="2" t="s">
        <v>1524</v>
      </c>
      <c r="Q77" s="1" t="n">
        <v>0</v>
      </c>
      <c r="R77" s="2" t="n">
        <v>855041</v>
      </c>
      <c r="S77" s="2" t="n">
        <v>871427</v>
      </c>
      <c r="T77" s="2" t="n">
        <v>4972</v>
      </c>
      <c r="U77" s="2" t="n">
        <v>860013</v>
      </c>
      <c r="V77" s="2" t="n">
        <v>98.13</v>
      </c>
      <c r="W77" s="2" t="s">
        <v>1360</v>
      </c>
    </row>
    <row r="78" customFormat="false" ht="18.7" hidden="false" customHeight="true" outlineLevel="0" collapsed="false">
      <c r="A78" s="1" t="n">
        <v>77</v>
      </c>
      <c r="B78" s="7" t="str">
        <f aca="false">HYPERLINK("https://mncourtfraud.com/file/27-CR-20-25524.pdf","27-CR-20-25524")</f>
        <v>27-CR-20-25524</v>
      </c>
      <c r="C78" s="1" t="n">
        <v>1</v>
      </c>
      <c r="D78" s="2" t="s">
        <v>12</v>
      </c>
      <c r="E78" s="8" t="n">
        <v>45412</v>
      </c>
      <c r="F78" s="2" t="s">
        <v>15</v>
      </c>
      <c r="G78" s="7" t="str">
        <f aca="false">HYPERLINK("https://mncourtfraud.com/file/MCRO_27-CR-20-25524_Order-Evaluation for Competency to Proceed (Rule 20.01)_2024-04-30_20251126180301.pdf","MCRO_27-CR-20-25524_Order-Evaluation for Competency to Proceed (Rule 20.01)_2024-04-30_20251126180301.pdf")</f>
        <v>MCRO_27-CR-20-25524_Order-Evaluation for Competency to Proceed (Rule 20.01)_2024-04-30_20251126180301.pdf</v>
      </c>
      <c r="H78" s="1" t="n">
        <v>4</v>
      </c>
      <c r="I78" s="1" t="s">
        <v>1360</v>
      </c>
      <c r="J78" s="1" t="n">
        <v>1</v>
      </c>
      <c r="K78" s="1" t="n">
        <v>1</v>
      </c>
      <c r="L78" s="2" t="s">
        <v>1525</v>
      </c>
      <c r="M78" s="2" t="s">
        <v>1362</v>
      </c>
      <c r="N78" s="2" t="s">
        <v>1526</v>
      </c>
      <c r="O78" s="2" t="s">
        <v>1364</v>
      </c>
      <c r="P78" s="2" t="s">
        <v>1390</v>
      </c>
      <c r="Q78" s="1" t="n">
        <v>0</v>
      </c>
      <c r="R78" s="2" t="n">
        <v>198659</v>
      </c>
      <c r="S78" s="2" t="n">
        <v>215045</v>
      </c>
      <c r="T78" s="2" t="n">
        <v>4474</v>
      </c>
      <c r="U78" s="2" t="n">
        <v>203133</v>
      </c>
      <c r="V78" s="2" t="n">
        <v>92.54</v>
      </c>
      <c r="W78" s="2" t="s">
        <v>1360</v>
      </c>
    </row>
    <row r="79" customFormat="false" ht="18.7" hidden="false" customHeight="true" outlineLevel="0" collapsed="false">
      <c r="A79" s="1" t="n">
        <v>78</v>
      </c>
      <c r="B79" s="7" t="str">
        <f aca="false">HYPERLINK("https://mncourtfraud.com/file/27-CR-20-25524.pdf","27-CR-20-25524")</f>
        <v>27-CR-20-25524</v>
      </c>
      <c r="C79" s="1" t="n">
        <v>1</v>
      </c>
      <c r="D79" s="2" t="s">
        <v>12</v>
      </c>
      <c r="E79" s="8" t="n">
        <v>45414</v>
      </c>
      <c r="F79" s="2" t="s">
        <v>15</v>
      </c>
      <c r="G79" s="7" t="str">
        <f aca="false">HYPERLINK("https://mncourtfraud.com/file/MCRO_27-CR-20-25524_Order-Evaluation for Competency to Proceed (Rule 20.01)_2024-05-02_20251126180315.pdf","MCRO_27-CR-20-25524_Order-Evaluation for Competency to Proceed (Rule 20.01)_2024-05-02_20251126180315.pdf")</f>
        <v>MCRO_27-CR-20-25524_Order-Evaluation for Competency to Proceed (Rule 20.01)_2024-05-02_20251126180315.pdf</v>
      </c>
      <c r="H79" s="1" t="n">
        <v>4</v>
      </c>
      <c r="I79" s="1" t="s">
        <v>1360</v>
      </c>
      <c r="J79" s="1" t="n">
        <v>1</v>
      </c>
      <c r="K79" s="1" t="n">
        <v>1</v>
      </c>
      <c r="L79" s="2" t="s">
        <v>1527</v>
      </c>
      <c r="M79" s="2" t="s">
        <v>1362</v>
      </c>
      <c r="N79" s="2" t="s">
        <v>1528</v>
      </c>
      <c r="O79" s="2" t="s">
        <v>1364</v>
      </c>
      <c r="P79" s="2" t="s">
        <v>1529</v>
      </c>
      <c r="Q79" s="1" t="n">
        <v>0</v>
      </c>
      <c r="R79" s="2" t="n">
        <v>215445</v>
      </c>
      <c r="S79" s="2" t="n">
        <v>231831</v>
      </c>
      <c r="T79" s="2" t="n">
        <v>4506</v>
      </c>
      <c r="U79" s="2" t="n">
        <v>219951</v>
      </c>
      <c r="V79" s="2" t="n">
        <v>93.07</v>
      </c>
      <c r="W79" s="2" t="s">
        <v>1360</v>
      </c>
    </row>
    <row r="80" customFormat="false" ht="18.7" hidden="false" customHeight="true" outlineLevel="0" collapsed="false">
      <c r="A80" s="1" t="n">
        <v>79</v>
      </c>
      <c r="B80" s="7" t="str">
        <f aca="false">HYPERLINK("https://mncourtfraud.com/file/27-CR-20-25524.pdf","27-CR-20-25524")</f>
        <v>27-CR-20-25524</v>
      </c>
      <c r="C80" s="1" t="n">
        <v>1</v>
      </c>
      <c r="D80" s="2" t="s">
        <v>12</v>
      </c>
      <c r="E80" s="8" t="n">
        <v>44460</v>
      </c>
      <c r="F80" s="2" t="s">
        <v>24</v>
      </c>
      <c r="G80" s="7" t="str">
        <f aca="false">HYPERLINK("https://mncourtfraud.com/file/MCRO_27-CR-20-25524_Order for Conditional Release_2021-09-21_20251126180139.pdf","MCRO_27-CR-20-25524_Order for Conditional Release_2021-09-21_20251126180139.pdf")</f>
        <v>MCRO_27-CR-20-25524_Order for Conditional Release_2021-09-21_20251126180139.pdf</v>
      </c>
      <c r="H80" s="1" t="n">
        <v>4</v>
      </c>
      <c r="I80" s="1" t="s">
        <v>1360</v>
      </c>
      <c r="J80" s="1" t="n">
        <v>1</v>
      </c>
      <c r="K80" s="1" t="n">
        <v>1</v>
      </c>
      <c r="L80" s="2" t="s">
        <v>1530</v>
      </c>
      <c r="M80" s="2" t="s">
        <v>1362</v>
      </c>
      <c r="N80" s="2" t="s">
        <v>1531</v>
      </c>
      <c r="O80" s="2" t="s">
        <v>1364</v>
      </c>
      <c r="P80" s="2" t="s">
        <v>1405</v>
      </c>
      <c r="Q80" s="1" t="n">
        <v>0</v>
      </c>
      <c r="R80" s="2" t="n">
        <v>84991</v>
      </c>
      <c r="S80" s="2" t="n">
        <v>101377</v>
      </c>
      <c r="T80" s="2" t="n">
        <v>4472</v>
      </c>
      <c r="U80" s="2" t="n">
        <v>89463</v>
      </c>
      <c r="V80" s="2" t="n">
        <v>84.52</v>
      </c>
      <c r="W80" s="2" t="s">
        <v>1360</v>
      </c>
    </row>
    <row r="81" customFormat="false" ht="18.7" hidden="false" customHeight="true" outlineLevel="0" collapsed="false">
      <c r="A81" s="1" t="n">
        <v>80</v>
      </c>
      <c r="B81" s="7" t="str">
        <f aca="false">HYPERLINK("https://mncourtfraud.com/file/27-CR-20-25524.pdf","27-CR-20-25524")</f>
        <v>27-CR-20-25524</v>
      </c>
      <c r="C81" s="1" t="n">
        <v>1</v>
      </c>
      <c r="D81" s="2" t="s">
        <v>12</v>
      </c>
      <c r="E81" s="8" t="n">
        <v>44468</v>
      </c>
      <c r="F81" s="2" t="s">
        <v>24</v>
      </c>
      <c r="G81" s="7" t="str">
        <f aca="false">HYPERLINK("https://mncourtfraud.com/file/MCRO_27-CR-20-25524_Order for Conditional Release_2021-09-29_20251126180115.pdf","MCRO_27-CR-20-25524_Order for Conditional Release_2021-09-29_20251126180115.pdf")</f>
        <v>MCRO_27-CR-20-25524_Order for Conditional Release_2021-09-29_20251126180115.pdf</v>
      </c>
      <c r="H81" s="1" t="n">
        <v>4</v>
      </c>
      <c r="I81" s="1" t="s">
        <v>1360</v>
      </c>
      <c r="J81" s="1" t="n">
        <v>1</v>
      </c>
      <c r="K81" s="1" t="n">
        <v>1</v>
      </c>
      <c r="L81" s="2" t="s">
        <v>1532</v>
      </c>
      <c r="M81" s="2" t="s">
        <v>1362</v>
      </c>
      <c r="N81" s="2" t="s">
        <v>1533</v>
      </c>
      <c r="O81" s="2" t="s">
        <v>1364</v>
      </c>
      <c r="P81" s="2" t="s">
        <v>1408</v>
      </c>
      <c r="Q81" s="1" t="n">
        <v>0</v>
      </c>
      <c r="R81" s="2" t="n">
        <v>130451</v>
      </c>
      <c r="S81" s="2" t="n">
        <v>146837</v>
      </c>
      <c r="T81" s="2" t="n">
        <v>4976</v>
      </c>
      <c r="U81" s="2" t="n">
        <v>135427</v>
      </c>
      <c r="V81" s="2" t="n">
        <v>89.21</v>
      </c>
      <c r="W81" s="2" t="s">
        <v>1360</v>
      </c>
    </row>
    <row r="82" customFormat="false" ht="18.7" hidden="false" customHeight="true" outlineLevel="0" collapsed="false">
      <c r="A82" s="1" t="n">
        <v>81</v>
      </c>
      <c r="B82" s="7" t="str">
        <f aca="false">HYPERLINK("https://mncourtfraud.com/file/27-CR-20-25524.pdf","27-CR-20-25524")</f>
        <v>27-CR-20-25524</v>
      </c>
      <c r="C82" s="1" t="n">
        <v>1</v>
      </c>
      <c r="D82" s="2" t="s">
        <v>12</v>
      </c>
      <c r="E82" s="8" t="n">
        <v>45412</v>
      </c>
      <c r="F82" s="2" t="s">
        <v>24</v>
      </c>
      <c r="G82" s="7" t="str">
        <f aca="false">HYPERLINK("https://mncourtfraud.com/file/MCRO_27-CR-20-25524_Order for Conditional Release_2024-04-30_20251126180129.pdf","MCRO_27-CR-20-25524_Order for Conditional Release_2024-04-30_20251126180129.pdf")</f>
        <v>MCRO_27-CR-20-25524_Order for Conditional Release_2024-04-30_20251126180129.pdf</v>
      </c>
      <c r="H82" s="1" t="n">
        <v>4</v>
      </c>
      <c r="I82" s="1" t="s">
        <v>1360</v>
      </c>
      <c r="J82" s="1" t="n">
        <v>1</v>
      </c>
      <c r="K82" s="1" t="n">
        <v>1</v>
      </c>
      <c r="L82" s="2" t="s">
        <v>1534</v>
      </c>
      <c r="M82" s="2" t="s">
        <v>1362</v>
      </c>
      <c r="N82" s="2" t="s">
        <v>1535</v>
      </c>
      <c r="O82" s="2" t="s">
        <v>1364</v>
      </c>
      <c r="P82" s="2" t="s">
        <v>1536</v>
      </c>
      <c r="Q82" s="1" t="n">
        <v>0</v>
      </c>
      <c r="R82" s="2" t="n">
        <v>129679</v>
      </c>
      <c r="S82" s="2" t="n">
        <v>146065</v>
      </c>
      <c r="T82" s="2" t="n">
        <v>4468</v>
      </c>
      <c r="U82" s="2" t="n">
        <v>134147</v>
      </c>
      <c r="V82" s="2" t="n">
        <v>89.11</v>
      </c>
      <c r="W82" s="2" t="s">
        <v>1360</v>
      </c>
    </row>
    <row r="83" customFormat="false" ht="18.7" hidden="false" customHeight="true" outlineLevel="0" collapsed="false">
      <c r="A83" s="1" t="n">
        <v>82</v>
      </c>
      <c r="B83" s="7" t="str">
        <f aca="false">HYPERLINK("https://mncourtfraud.com/file/27-CR-20-2581.pdf","27-CR-20-2581")</f>
        <v>27-CR-20-2581</v>
      </c>
      <c r="C83" s="1" t="n">
        <v>1</v>
      </c>
      <c r="D83" s="2" t="s">
        <v>12</v>
      </c>
      <c r="E83" s="8" t="n">
        <v>45048</v>
      </c>
      <c r="F83" s="2" t="s">
        <v>80</v>
      </c>
      <c r="G83" s="7" t="str">
        <f aca="false">HYPERLINK("https://mncourtfraud.com/file/MCRO_27-CR-20-2581_Finding of Incompetency and Order_2023-05-02_20251126180343.pdf","MCRO_27-CR-20-2581_Finding of Incompetency and Order_2023-05-02_20251126180343.pdf")</f>
        <v>MCRO_27-CR-20-2581_Finding of Incompetency and Order_2023-05-02_20251126180343.pdf</v>
      </c>
      <c r="H83" s="1" t="n">
        <v>9</v>
      </c>
      <c r="I83" s="1" t="s">
        <v>1366</v>
      </c>
      <c r="J83" s="1" t="n">
        <v>1</v>
      </c>
      <c r="K83" s="1" t="n">
        <v>1</v>
      </c>
      <c r="L83" s="2" t="s">
        <v>1491</v>
      </c>
      <c r="M83" s="2" t="s">
        <v>1492</v>
      </c>
      <c r="N83" s="2" t="s">
        <v>1493</v>
      </c>
      <c r="O83" s="2" t="s">
        <v>1494</v>
      </c>
      <c r="P83" s="2" t="s">
        <v>1495</v>
      </c>
      <c r="Q83" s="1" t="n">
        <v>0</v>
      </c>
      <c r="R83" s="2" t="n">
        <v>100288</v>
      </c>
      <c r="S83" s="2" t="n">
        <v>112370</v>
      </c>
      <c r="T83" s="2" t="n">
        <v>48200</v>
      </c>
      <c r="U83" s="2" t="n">
        <v>148488</v>
      </c>
      <c r="V83" s="2" t="n">
        <v>15.21</v>
      </c>
      <c r="W83" s="2" t="s">
        <v>1366</v>
      </c>
    </row>
    <row r="84" customFormat="false" ht="18.7" hidden="false" customHeight="true" outlineLevel="0" collapsed="false">
      <c r="A84" s="1" t="n">
        <v>83</v>
      </c>
      <c r="B84" s="7" t="str">
        <f aca="false">HYPERLINK("https://mncourtfraud.com/file/27-CR-20-2581.pdf","27-CR-20-2581")</f>
        <v>27-CR-20-2581</v>
      </c>
      <c r="C84" s="1" t="n">
        <v>1</v>
      </c>
      <c r="D84" s="2" t="s">
        <v>12</v>
      </c>
      <c r="E84" s="8" t="n">
        <v>45048</v>
      </c>
      <c r="F84" s="2" t="s">
        <v>80</v>
      </c>
      <c r="G84" s="7" t="str">
        <f aca="false">HYPERLINK("https://mncourtfraud.com/file/MCRO_27-CR-20-2581_Finding of Incompetency and Order_2023-05-02_20251126180343.pdf","MCRO_27-CR-20-2581_Finding of Incompetency and Order_2023-05-02_20251126180343.pdf")</f>
        <v>MCRO_27-CR-20-2581_Finding of Incompetency and Order_2023-05-02_20251126180343.pdf</v>
      </c>
      <c r="H84" s="1" t="n">
        <v>9</v>
      </c>
      <c r="I84" s="1" t="s">
        <v>1366</v>
      </c>
      <c r="J84" s="1" t="n">
        <v>2</v>
      </c>
      <c r="K84" s="1" t="n">
        <v>2</v>
      </c>
      <c r="L84" s="2" t="s">
        <v>1367</v>
      </c>
      <c r="M84" s="2" t="s">
        <v>1496</v>
      </c>
      <c r="N84" s="2" t="s">
        <v>1497</v>
      </c>
      <c r="O84" s="2" t="s">
        <v>1494</v>
      </c>
      <c r="P84" s="2" t="s">
        <v>1498</v>
      </c>
      <c r="Q84" s="1" t="n">
        <v>0</v>
      </c>
      <c r="R84" s="2" t="n">
        <v>160968</v>
      </c>
      <c r="S84" s="2" t="n">
        <v>167974</v>
      </c>
      <c r="T84" s="2" t="n">
        <v>59084</v>
      </c>
      <c r="U84" s="2" t="n">
        <v>220052</v>
      </c>
      <c r="V84" s="2" t="n">
        <v>22.53</v>
      </c>
      <c r="W84" s="2" t="s">
        <v>1366</v>
      </c>
    </row>
    <row r="85" customFormat="false" ht="18.7" hidden="false" customHeight="true" outlineLevel="0" collapsed="false">
      <c r="A85" s="1" t="n">
        <v>84</v>
      </c>
      <c r="B85" s="7" t="str">
        <f aca="false">HYPERLINK("https://mncourtfraud.com/file/27-CR-20-2581.pdf","27-CR-20-2581")</f>
        <v>27-CR-20-2581</v>
      </c>
      <c r="C85" s="1" t="n">
        <v>1</v>
      </c>
      <c r="D85" s="2" t="s">
        <v>12</v>
      </c>
      <c r="E85" s="8" t="n">
        <v>45048</v>
      </c>
      <c r="F85" s="2" t="s">
        <v>80</v>
      </c>
      <c r="G85" s="7" t="str">
        <f aca="false">HYPERLINK("https://mncourtfraud.com/file/MCRO_27-CR-20-2581_Finding of Incompetency and Order_2023-05-02_20251126180343.pdf","MCRO_27-CR-20-2581_Finding of Incompetency and Order_2023-05-02_20251126180343.pdf")</f>
        <v>MCRO_27-CR-20-2581_Finding of Incompetency and Order_2023-05-02_20251126180343.pdf</v>
      </c>
      <c r="H85" s="1" t="n">
        <v>9</v>
      </c>
      <c r="I85" s="1" t="s">
        <v>1366</v>
      </c>
      <c r="J85" s="1" t="n">
        <v>3</v>
      </c>
      <c r="K85" s="1" t="n">
        <v>3</v>
      </c>
      <c r="L85" s="2" t="s">
        <v>1537</v>
      </c>
      <c r="M85" s="2" t="s">
        <v>1362</v>
      </c>
      <c r="N85" s="2" t="s">
        <v>1538</v>
      </c>
      <c r="O85" s="2" t="s">
        <v>1364</v>
      </c>
      <c r="P85" s="2" t="s">
        <v>1501</v>
      </c>
      <c r="Q85" s="1" t="n">
        <v>0</v>
      </c>
      <c r="R85" s="2" t="n">
        <v>954854</v>
      </c>
      <c r="S85" s="2" t="n">
        <v>971240</v>
      </c>
      <c r="T85" s="2" t="n">
        <v>5306</v>
      </c>
      <c r="U85" s="2" t="n">
        <v>960160</v>
      </c>
      <c r="V85" s="2" t="n">
        <v>98.32</v>
      </c>
      <c r="W85" s="2" t="s">
        <v>1360</v>
      </c>
    </row>
    <row r="86" customFormat="false" ht="18.7" hidden="false" customHeight="true" outlineLevel="0" collapsed="false">
      <c r="A86" s="1" t="n">
        <v>85</v>
      </c>
      <c r="B86" s="7" t="str">
        <f aca="false">HYPERLINK("https://mncourtfraud.com/file/27-CR-20-2581.pdf","27-CR-20-2581")</f>
        <v>27-CR-20-2581</v>
      </c>
      <c r="C86" s="1" t="n">
        <v>1</v>
      </c>
      <c r="D86" s="2" t="s">
        <v>12</v>
      </c>
      <c r="E86" s="8" t="n">
        <v>44103</v>
      </c>
      <c r="F86" s="2" t="s">
        <v>19</v>
      </c>
      <c r="G86" s="7" t="str">
        <f aca="false">HYPERLINK("https://mncourtfraud.com/file/MCRO_27-CR-20-2581_Findings and Order_2020-09-29_20251126180408.pdf","MCRO_27-CR-20-2581_Findings and Order_2020-09-29_20251126180408.pdf")</f>
        <v>MCRO_27-CR-20-2581_Findings and Order_2020-09-29_20251126180408.pdf</v>
      </c>
      <c r="H86" s="1" t="n">
        <v>4</v>
      </c>
      <c r="I86" s="1" t="s">
        <v>1360</v>
      </c>
      <c r="J86" s="1" t="n">
        <v>1</v>
      </c>
      <c r="K86" s="1" t="n">
        <v>1</v>
      </c>
      <c r="L86" s="2" t="s">
        <v>1539</v>
      </c>
      <c r="M86" s="2" t="s">
        <v>1362</v>
      </c>
      <c r="N86" s="2" t="s">
        <v>1540</v>
      </c>
      <c r="O86" s="2" t="s">
        <v>1364</v>
      </c>
      <c r="P86" s="2" t="s">
        <v>1365</v>
      </c>
      <c r="Q86" s="1" t="n">
        <v>0</v>
      </c>
      <c r="R86" s="2" t="n">
        <v>314049</v>
      </c>
      <c r="S86" s="2" t="n">
        <v>330435</v>
      </c>
      <c r="T86" s="2" t="n">
        <v>4483</v>
      </c>
      <c r="U86" s="2" t="n">
        <v>318532</v>
      </c>
      <c r="V86" s="2" t="n">
        <v>95.11</v>
      </c>
      <c r="W86" s="2" t="s">
        <v>1360</v>
      </c>
    </row>
    <row r="87" customFormat="false" ht="18.7" hidden="false" customHeight="true" outlineLevel="0" collapsed="false">
      <c r="A87" s="1" t="n">
        <v>86</v>
      </c>
      <c r="B87" s="7" t="str">
        <f aca="false">HYPERLINK("https://mncourtfraud.com/file/27-CR-20-2581.pdf","27-CR-20-2581")</f>
        <v>27-CR-20-2581</v>
      </c>
      <c r="C87" s="1" t="n">
        <v>1</v>
      </c>
      <c r="D87" s="2" t="s">
        <v>12</v>
      </c>
      <c r="E87" s="8" t="n">
        <v>44439</v>
      </c>
      <c r="F87" s="2" t="s">
        <v>19</v>
      </c>
      <c r="G87" s="7" t="str">
        <f aca="false">HYPERLINK("https://mncourtfraud.com/file/MCRO_27-CR-20-2581_Findings and Order_2021-08-31_20251126180418.pdf","MCRO_27-CR-20-2581_Findings and Order_2021-08-31_20251126180418.pdf")</f>
        <v>MCRO_27-CR-20-2581_Findings and Order_2021-08-31_20251126180418.pdf</v>
      </c>
      <c r="H87" s="1" t="n">
        <v>5</v>
      </c>
      <c r="I87" s="1" t="s">
        <v>1366</v>
      </c>
      <c r="J87" s="1" t="n">
        <v>1</v>
      </c>
      <c r="K87" s="1" t="n">
        <v>1</v>
      </c>
      <c r="L87" s="2" t="s">
        <v>1367</v>
      </c>
      <c r="M87" s="2" t="s">
        <v>1368</v>
      </c>
      <c r="N87" s="2" t="s">
        <v>1369</v>
      </c>
      <c r="O87" s="2" t="s">
        <v>1364</v>
      </c>
      <c r="P87" s="2" t="s">
        <v>1370</v>
      </c>
      <c r="Q87" s="1" t="n">
        <v>0</v>
      </c>
      <c r="R87" s="2" t="n">
        <v>129996</v>
      </c>
      <c r="S87" s="2" t="n">
        <v>137690</v>
      </c>
      <c r="T87" s="2" t="n">
        <v>19979</v>
      </c>
      <c r="U87" s="2" t="n">
        <v>149975</v>
      </c>
      <c r="V87" s="2" t="n">
        <v>39.94</v>
      </c>
      <c r="W87" s="2" t="s">
        <v>1366</v>
      </c>
    </row>
    <row r="88" customFormat="false" ht="18.7" hidden="false" customHeight="true" outlineLevel="0" collapsed="false">
      <c r="A88" s="1" t="n">
        <v>87</v>
      </c>
      <c r="B88" s="7" t="str">
        <f aca="false">HYPERLINK("https://mncourtfraud.com/file/27-CR-20-2581.pdf","27-CR-20-2581")</f>
        <v>27-CR-20-2581</v>
      </c>
      <c r="C88" s="1" t="n">
        <v>1</v>
      </c>
      <c r="D88" s="2" t="s">
        <v>12</v>
      </c>
      <c r="E88" s="8" t="n">
        <v>44439</v>
      </c>
      <c r="F88" s="2" t="s">
        <v>19</v>
      </c>
      <c r="G88" s="7" t="str">
        <f aca="false">HYPERLINK("https://mncourtfraud.com/file/MCRO_27-CR-20-2581_Findings and Order_2021-08-31_20251126180418.pdf","MCRO_27-CR-20-2581_Findings and Order_2021-08-31_20251126180418.pdf")</f>
        <v>MCRO_27-CR-20-2581_Findings and Order_2021-08-31_20251126180418.pdf</v>
      </c>
      <c r="H88" s="1" t="n">
        <v>5</v>
      </c>
      <c r="I88" s="1" t="s">
        <v>1366</v>
      </c>
      <c r="J88" s="1" t="n">
        <v>2</v>
      </c>
      <c r="K88" s="1" t="n">
        <v>2</v>
      </c>
      <c r="L88" s="2" t="s">
        <v>1541</v>
      </c>
      <c r="M88" s="2" t="s">
        <v>1362</v>
      </c>
      <c r="N88" s="2" t="s">
        <v>1542</v>
      </c>
      <c r="O88" s="2" t="s">
        <v>1364</v>
      </c>
      <c r="P88" s="2" t="s">
        <v>1373</v>
      </c>
      <c r="Q88" s="1" t="n">
        <v>0</v>
      </c>
      <c r="R88" s="2" t="n">
        <v>354060</v>
      </c>
      <c r="S88" s="2" t="n">
        <v>370446</v>
      </c>
      <c r="T88" s="2" t="n">
        <v>5041</v>
      </c>
      <c r="U88" s="2" t="n">
        <v>359101</v>
      </c>
      <c r="V88" s="2" t="n">
        <v>95.64</v>
      </c>
      <c r="W88" s="2" t="s">
        <v>1360</v>
      </c>
    </row>
    <row r="89" customFormat="false" ht="18.7" hidden="false" customHeight="true" outlineLevel="0" collapsed="false">
      <c r="A89" s="1" t="n">
        <v>88</v>
      </c>
      <c r="B89" s="7" t="str">
        <f aca="false">HYPERLINK("https://mncourtfraud.com/file/27-CR-20-2581.pdf","27-CR-20-2581")</f>
        <v>27-CR-20-2581</v>
      </c>
      <c r="C89" s="1" t="n">
        <v>1</v>
      </c>
      <c r="D89" s="2" t="s">
        <v>12</v>
      </c>
      <c r="E89" s="8" t="n">
        <v>44593</v>
      </c>
      <c r="F89" s="2" t="s">
        <v>19</v>
      </c>
      <c r="G89" s="7" t="str">
        <f aca="false">HYPERLINK("https://mncourtfraud.com/file/MCRO_27-CR-20-2581_Findings and Order_2022-02-01_20251126180358.pdf","MCRO_27-CR-20-2581_Findings and Order_2022-02-01_20251126180358.pdf")</f>
        <v>MCRO_27-CR-20-2581_Findings and Order_2022-02-01_20251126180358.pdf</v>
      </c>
      <c r="H89" s="1" t="n">
        <v>4</v>
      </c>
      <c r="I89" s="1" t="s">
        <v>1360</v>
      </c>
      <c r="J89" s="1" t="n">
        <v>1</v>
      </c>
      <c r="K89" s="1" t="n">
        <v>1</v>
      </c>
      <c r="L89" s="2" t="s">
        <v>1367</v>
      </c>
      <c r="M89" s="2" t="s">
        <v>1368</v>
      </c>
      <c r="N89" s="2" t="s">
        <v>1374</v>
      </c>
      <c r="O89" s="2" t="s">
        <v>1364</v>
      </c>
      <c r="P89" s="2" t="s">
        <v>1375</v>
      </c>
      <c r="Q89" s="1" t="n">
        <v>0</v>
      </c>
      <c r="R89" s="2" t="n">
        <v>163153</v>
      </c>
      <c r="S89" s="2" t="n">
        <v>173205</v>
      </c>
      <c r="T89" s="2" t="n">
        <v>9683</v>
      </c>
      <c r="U89" s="2" t="n">
        <v>172836</v>
      </c>
      <c r="V89" s="2" t="n">
        <v>47.77</v>
      </c>
      <c r="W89" s="2" t="s">
        <v>1366</v>
      </c>
    </row>
    <row r="90" customFormat="false" ht="18.7" hidden="false" customHeight="true" outlineLevel="0" collapsed="false">
      <c r="A90" s="1" t="n">
        <v>89</v>
      </c>
      <c r="B90" s="7" t="str">
        <f aca="false">HYPERLINK("https://mncourtfraud.com/file/27-CR-20-2581.pdf","27-CR-20-2581")</f>
        <v>27-CR-20-2581</v>
      </c>
      <c r="C90" s="1" t="n">
        <v>1</v>
      </c>
      <c r="D90" s="2" t="s">
        <v>12</v>
      </c>
      <c r="E90" s="8" t="n">
        <v>44593</v>
      </c>
      <c r="F90" s="2" t="s">
        <v>19</v>
      </c>
      <c r="G90" s="7" t="str">
        <f aca="false">HYPERLINK("https://mncourtfraud.com/file/MCRO_27-CR-20-2581_Findings and Order_2022-02-01_20251126180358.pdf","MCRO_27-CR-20-2581_Findings and Order_2022-02-01_20251126180358.pdf")</f>
        <v>MCRO_27-CR-20-2581_Findings and Order_2022-02-01_20251126180358.pdf</v>
      </c>
      <c r="H90" s="1" t="n">
        <v>4</v>
      </c>
      <c r="I90" s="1" t="s">
        <v>1360</v>
      </c>
      <c r="J90" s="1" t="n">
        <v>2</v>
      </c>
      <c r="K90" s="1" t="n">
        <v>2</v>
      </c>
      <c r="L90" s="2" t="s">
        <v>1543</v>
      </c>
      <c r="M90" s="2" t="s">
        <v>1362</v>
      </c>
      <c r="N90" s="2" t="s">
        <v>1544</v>
      </c>
      <c r="O90" s="2" t="s">
        <v>1364</v>
      </c>
      <c r="P90" s="2" t="s">
        <v>1378</v>
      </c>
      <c r="Q90" s="1" t="n">
        <v>0</v>
      </c>
      <c r="R90" s="2" t="n">
        <v>340312</v>
      </c>
      <c r="S90" s="2" t="n">
        <v>356698</v>
      </c>
      <c r="T90" s="2" t="n">
        <v>5091</v>
      </c>
      <c r="U90" s="2" t="n">
        <v>345403</v>
      </c>
      <c r="V90" s="2" t="n">
        <v>95.47</v>
      </c>
      <c r="W90" s="2" t="s">
        <v>1360</v>
      </c>
    </row>
    <row r="91" customFormat="false" ht="18.7" hidden="false" customHeight="true" outlineLevel="0" collapsed="false">
      <c r="A91" s="1" t="n">
        <v>90</v>
      </c>
      <c r="B91" s="7" t="str">
        <f aca="false">HYPERLINK("https://mncourtfraud.com/file/27-CR-20-2581.pdf","27-CR-20-2581")</f>
        <v>27-CR-20-2581</v>
      </c>
      <c r="C91" s="1" t="n">
        <v>1</v>
      </c>
      <c r="D91" s="2" t="s">
        <v>12</v>
      </c>
      <c r="E91" s="8" t="n">
        <v>45093</v>
      </c>
      <c r="F91" s="2" t="s">
        <v>82</v>
      </c>
      <c r="G91" s="7" t="str">
        <f aca="false">HYPERLINK("https://mncourtfraud.com/file/MCRO_27-CR-20-2581_Notice of Case Reassignment_2023-06-16_20251126180444.pdf","MCRO_27-CR-20-2581_Notice of Case Reassignment_2023-06-16_20251126180444.pdf")</f>
        <v>MCRO_27-CR-20-2581_Notice of Case Reassignment_2023-06-16_20251126180444.pdf</v>
      </c>
      <c r="H91" s="1" t="n">
        <v>3</v>
      </c>
      <c r="I91" s="1" t="s">
        <v>1360</v>
      </c>
      <c r="J91" s="1" t="n">
        <v>1</v>
      </c>
      <c r="K91" s="1" t="n">
        <v>1</v>
      </c>
      <c r="L91" s="2" t="s">
        <v>1545</v>
      </c>
      <c r="M91" s="2" t="s">
        <v>1362</v>
      </c>
      <c r="N91" s="2" t="s">
        <v>1546</v>
      </c>
      <c r="O91" s="2" t="s">
        <v>1364</v>
      </c>
      <c r="P91" s="2" t="s">
        <v>1508</v>
      </c>
      <c r="Q91" s="1" t="n">
        <v>0</v>
      </c>
      <c r="R91" s="2" t="n">
        <v>92691</v>
      </c>
      <c r="S91" s="2" t="n">
        <v>109077</v>
      </c>
      <c r="T91" s="2" t="n">
        <v>4554</v>
      </c>
      <c r="U91" s="2" t="n">
        <v>97245</v>
      </c>
      <c r="V91" s="2" t="n">
        <v>85.58</v>
      </c>
      <c r="W91" s="2" t="s">
        <v>1360</v>
      </c>
    </row>
    <row r="92" customFormat="false" ht="18.7" hidden="false" customHeight="true" outlineLevel="0" collapsed="false">
      <c r="A92" s="1" t="n">
        <v>91</v>
      </c>
      <c r="B92" s="7" t="str">
        <f aca="false">HYPERLINK("https://mncourtfraud.com/file/27-CR-20-2581.pdf","27-CR-20-2581")</f>
        <v>27-CR-20-2581</v>
      </c>
      <c r="C92" s="1" t="n">
        <v>1</v>
      </c>
      <c r="D92" s="2" t="s">
        <v>12</v>
      </c>
      <c r="E92" s="8" t="n">
        <v>44225</v>
      </c>
      <c r="F92" s="2" t="s">
        <v>15</v>
      </c>
      <c r="G92" s="7" t="str">
        <f aca="false">HYPERLINK("https://mncourtfraud.com/file/MCRO_27-CR-20-2581_Order-Evaluation for Competency to Proceed (Rule 20.01)_2021-01-29_20251126180652.pdf","MCRO_27-CR-20-2581_Order-Evaluation for Competency to Proceed (Rule 20.01)_2021-01-29_20251126180652.pdf")</f>
        <v>MCRO_27-CR-20-2581_Order-Evaluation for Competency to Proceed (Rule 20.01)_2021-01-29_20251126180652.pdf</v>
      </c>
      <c r="H92" s="1" t="n">
        <v>3</v>
      </c>
      <c r="I92" s="1" t="s">
        <v>1360</v>
      </c>
      <c r="J92" s="1" t="n">
        <v>1</v>
      </c>
      <c r="K92" s="1" t="n">
        <v>1</v>
      </c>
      <c r="L92" s="2" t="s">
        <v>1547</v>
      </c>
      <c r="M92" s="2" t="s">
        <v>1362</v>
      </c>
      <c r="N92" s="2" t="s">
        <v>1548</v>
      </c>
      <c r="O92" s="2" t="s">
        <v>1364</v>
      </c>
      <c r="P92" s="2" t="s">
        <v>1387</v>
      </c>
      <c r="Q92" s="1" t="n">
        <v>0</v>
      </c>
      <c r="R92" s="2" t="n">
        <v>432740</v>
      </c>
      <c r="S92" s="2" t="n">
        <v>449126</v>
      </c>
      <c r="T92" s="2" t="n">
        <v>5078</v>
      </c>
      <c r="U92" s="2" t="n">
        <v>437818</v>
      </c>
      <c r="V92" s="2" t="n">
        <v>96.39</v>
      </c>
      <c r="W92" s="2" t="s">
        <v>1360</v>
      </c>
    </row>
    <row r="93" customFormat="false" ht="18.7" hidden="false" customHeight="true" outlineLevel="0" collapsed="false">
      <c r="A93" s="1" t="n">
        <v>92</v>
      </c>
      <c r="B93" s="7" t="str">
        <f aca="false">HYPERLINK("https://mncourtfraud.com/file/27-CR-20-2581.pdf","27-CR-20-2581")</f>
        <v>27-CR-20-2581</v>
      </c>
      <c r="C93" s="1" t="n">
        <v>1</v>
      </c>
      <c r="D93" s="2" t="s">
        <v>12</v>
      </c>
      <c r="E93" s="8" t="n">
        <v>44396</v>
      </c>
      <c r="F93" s="2" t="s">
        <v>15</v>
      </c>
      <c r="G93" s="7" t="str">
        <f aca="false">HYPERLINK("https://mncourtfraud.com/file/MCRO_27-CR-20-2581_Order-Evaluation for Competency to Proceed (Rule 20.01)_2021-07-19_20251126180534.pdf","MCRO_27-CR-20-2581_Order-Evaluation for Competency to Proceed (Rule 20.01)_2021-07-19_20251126180534.pdf")</f>
        <v>MCRO_27-CR-20-2581_Order-Evaluation for Competency to Proceed (Rule 20.01)_2021-07-19_20251126180534.pdf</v>
      </c>
      <c r="H93" s="1" t="n">
        <v>4</v>
      </c>
      <c r="I93" s="1" t="s">
        <v>1360</v>
      </c>
      <c r="J93" s="1" t="n">
        <v>1</v>
      </c>
      <c r="K93" s="1" t="n">
        <v>1</v>
      </c>
      <c r="L93" s="2" t="s">
        <v>1549</v>
      </c>
      <c r="M93" s="2" t="s">
        <v>1362</v>
      </c>
      <c r="N93" s="2" t="s">
        <v>1550</v>
      </c>
      <c r="O93" s="2" t="s">
        <v>1364</v>
      </c>
      <c r="P93" s="2" t="s">
        <v>1390</v>
      </c>
      <c r="Q93" s="1" t="n">
        <v>0</v>
      </c>
      <c r="R93" s="2" t="n">
        <v>168252</v>
      </c>
      <c r="S93" s="2" t="n">
        <v>184638</v>
      </c>
      <c r="T93" s="2" t="n">
        <v>8533</v>
      </c>
      <c r="U93" s="2" t="n">
        <v>176785</v>
      </c>
      <c r="V93" s="2" t="n">
        <v>91.52</v>
      </c>
      <c r="W93" s="2" t="s">
        <v>1360</v>
      </c>
    </row>
    <row r="94" customFormat="false" ht="18.7" hidden="false" customHeight="true" outlineLevel="0" collapsed="false">
      <c r="A94" s="1" t="n">
        <v>93</v>
      </c>
      <c r="B94" s="7" t="str">
        <f aca="false">HYPERLINK("https://mncourtfraud.com/file/27-CR-20-2581.pdf","27-CR-20-2581")</f>
        <v>27-CR-20-2581</v>
      </c>
      <c r="C94" s="1" t="n">
        <v>1</v>
      </c>
      <c r="D94" s="2" t="s">
        <v>12</v>
      </c>
      <c r="E94" s="8" t="n">
        <v>44543</v>
      </c>
      <c r="F94" s="2" t="s">
        <v>15</v>
      </c>
      <c r="G94" s="7" t="str">
        <f aca="false">HYPERLINK("https://mncourtfraud.com/file/MCRO_27-CR-20-2581_Order-Evaluation for Competency to Proceed (Rule 20.01)_2021-12-13_20251126180544.pdf","MCRO_27-CR-20-2581_Order-Evaluation for Competency to Proceed (Rule 20.01)_2021-12-13_20251126180544.pdf")</f>
        <v>MCRO_27-CR-20-2581_Order-Evaluation for Competency to Proceed (Rule 20.01)_2021-12-13_20251126180544.pdf</v>
      </c>
      <c r="H94" s="1" t="n">
        <v>3</v>
      </c>
      <c r="I94" s="1" t="s">
        <v>1360</v>
      </c>
      <c r="J94" s="1" t="n">
        <v>1</v>
      </c>
      <c r="K94" s="1" t="n">
        <v>1</v>
      </c>
      <c r="L94" s="2" t="s">
        <v>1551</v>
      </c>
      <c r="M94" s="2" t="s">
        <v>1362</v>
      </c>
      <c r="N94" s="2" t="s">
        <v>1552</v>
      </c>
      <c r="O94" s="2" t="s">
        <v>1364</v>
      </c>
      <c r="P94" s="2" t="s">
        <v>1393</v>
      </c>
      <c r="Q94" s="1" t="n">
        <v>0</v>
      </c>
      <c r="R94" s="2" t="n">
        <v>212327</v>
      </c>
      <c r="S94" s="2" t="n">
        <v>228713</v>
      </c>
      <c r="T94" s="2" t="n">
        <v>5132</v>
      </c>
      <c r="U94" s="2" t="n">
        <v>217459</v>
      </c>
      <c r="V94" s="2" t="n">
        <v>92.99</v>
      </c>
      <c r="W94" s="2" t="s">
        <v>1360</v>
      </c>
    </row>
    <row r="95" customFormat="false" ht="18.7" hidden="false" customHeight="true" outlineLevel="0" collapsed="false">
      <c r="A95" s="1" t="n">
        <v>94</v>
      </c>
      <c r="B95" s="7" t="str">
        <f aca="false">HYPERLINK("https://mncourtfraud.com/file/27-CR-20-2581.pdf","27-CR-20-2581")</f>
        <v>27-CR-20-2581</v>
      </c>
      <c r="C95" s="1" t="n">
        <v>1</v>
      </c>
      <c r="D95" s="2" t="s">
        <v>12</v>
      </c>
      <c r="E95" s="8" t="n">
        <v>44558</v>
      </c>
      <c r="F95" s="2" t="s">
        <v>15</v>
      </c>
      <c r="G95" s="7" t="str">
        <f aca="false">HYPERLINK("https://mncourtfraud.com/file/MCRO_27-CR-20-2581_Order-Evaluation for Competency to Proceed (Rule 20.01)_2021-12-28_20251126180556.pdf","MCRO_27-CR-20-2581_Order-Evaluation for Competency to Proceed (Rule 20.01)_2021-12-28_20251126180556.pdf")</f>
        <v>MCRO_27-CR-20-2581_Order-Evaluation for Competency to Proceed (Rule 20.01)_2021-12-28_20251126180556.pdf</v>
      </c>
      <c r="H95" s="1" t="n">
        <v>4</v>
      </c>
      <c r="I95" s="1" t="s">
        <v>1360</v>
      </c>
      <c r="J95" s="1" t="n">
        <v>1</v>
      </c>
      <c r="K95" s="1" t="n">
        <v>1</v>
      </c>
      <c r="L95" s="2" t="s">
        <v>1553</v>
      </c>
      <c r="M95" s="2" t="s">
        <v>1362</v>
      </c>
      <c r="N95" s="2" t="s">
        <v>1554</v>
      </c>
      <c r="O95" s="2" t="s">
        <v>1364</v>
      </c>
      <c r="P95" s="2" t="s">
        <v>1555</v>
      </c>
      <c r="Q95" s="1" t="n">
        <v>0</v>
      </c>
      <c r="R95" s="2" t="n">
        <v>241992</v>
      </c>
      <c r="S95" s="2" t="n">
        <v>258378</v>
      </c>
      <c r="T95" s="2" t="n">
        <v>8628</v>
      </c>
      <c r="U95" s="2" t="n">
        <v>250620</v>
      </c>
      <c r="V95" s="2" t="n">
        <v>93.86</v>
      </c>
      <c r="W95" s="2" t="s">
        <v>1360</v>
      </c>
    </row>
    <row r="96" customFormat="false" ht="18.7" hidden="false" customHeight="true" outlineLevel="0" collapsed="false">
      <c r="A96" s="1" t="n">
        <v>95</v>
      </c>
      <c r="B96" s="7" t="str">
        <f aca="false">HYPERLINK("https://mncourtfraud.com/file/27-CR-20-2581.pdf","27-CR-20-2581")</f>
        <v>27-CR-20-2581</v>
      </c>
      <c r="C96" s="1" t="n">
        <v>1</v>
      </c>
      <c r="D96" s="2" t="s">
        <v>12</v>
      </c>
      <c r="E96" s="8" t="n">
        <v>44692</v>
      </c>
      <c r="F96" s="2" t="s">
        <v>15</v>
      </c>
      <c r="G96" s="7" t="str">
        <f aca="false">HYPERLINK("https://mncourtfraud.com/file/MCRO_27-CR-20-2581_Order-Evaluation for Competency to Proceed (Rule 20.01)_2022-05-11_20251126180606.pdf","MCRO_27-CR-20-2581_Order-Evaluation for Competency to Proceed (Rule 20.01)_2022-05-11_20251126180606.pdf")</f>
        <v>MCRO_27-CR-20-2581_Order-Evaluation for Competency to Proceed (Rule 20.01)_2022-05-11_20251126180606.pdf</v>
      </c>
      <c r="H96" s="1" t="n">
        <v>3</v>
      </c>
      <c r="I96" s="1" t="s">
        <v>1360</v>
      </c>
      <c r="J96" s="1" t="n">
        <v>1</v>
      </c>
      <c r="K96" s="1" t="n">
        <v>1</v>
      </c>
      <c r="L96" s="2" t="s">
        <v>1556</v>
      </c>
      <c r="M96" s="2" t="s">
        <v>1362</v>
      </c>
      <c r="N96" s="2" t="s">
        <v>1557</v>
      </c>
      <c r="O96" s="2" t="s">
        <v>1364</v>
      </c>
      <c r="P96" s="2" t="s">
        <v>1399</v>
      </c>
      <c r="Q96" s="1" t="n">
        <v>0</v>
      </c>
      <c r="R96" s="2" t="n">
        <v>218702</v>
      </c>
      <c r="S96" s="2" t="n">
        <v>235088</v>
      </c>
      <c r="T96" s="2" t="n">
        <v>4728</v>
      </c>
      <c r="U96" s="2" t="n">
        <v>223430</v>
      </c>
      <c r="V96" s="2" t="n">
        <v>93.17</v>
      </c>
      <c r="W96" s="2" t="s">
        <v>1360</v>
      </c>
    </row>
    <row r="97" customFormat="false" ht="18.7" hidden="false" customHeight="true" outlineLevel="0" collapsed="false">
      <c r="A97" s="1" t="n">
        <v>96</v>
      </c>
      <c r="B97" s="7" t="str">
        <f aca="false">HYPERLINK("https://mncourtfraud.com/file/27-CR-20-2581.pdf","27-CR-20-2581")</f>
        <v>27-CR-20-2581</v>
      </c>
      <c r="C97" s="1" t="n">
        <v>1</v>
      </c>
      <c r="D97" s="2" t="s">
        <v>12</v>
      </c>
      <c r="E97" s="8" t="n">
        <v>44895</v>
      </c>
      <c r="F97" s="2" t="s">
        <v>15</v>
      </c>
      <c r="G97" s="7" t="str">
        <f aca="false">HYPERLINK("https://mncourtfraud.com/file/MCRO_27-CR-20-2581_Order-Evaluation for Competency to Proceed (Rule 20.01)_2022-11-30_20251126180618.pdf","MCRO_27-CR-20-2581_Order-Evaluation for Competency to Proceed (Rule 20.01)_2022-11-30_20251126180618.pdf")</f>
        <v>MCRO_27-CR-20-2581_Order-Evaluation for Competency to Proceed (Rule 20.01)_2022-11-30_20251126180618.pdf</v>
      </c>
      <c r="H97" s="1" t="n">
        <v>4</v>
      </c>
      <c r="I97" s="1" t="s">
        <v>1360</v>
      </c>
      <c r="J97" s="1" t="n">
        <v>1</v>
      </c>
      <c r="K97" s="1" t="n">
        <v>1</v>
      </c>
      <c r="L97" s="2" t="s">
        <v>1558</v>
      </c>
      <c r="M97" s="2" t="s">
        <v>1362</v>
      </c>
      <c r="N97" s="2" t="s">
        <v>1559</v>
      </c>
      <c r="O97" s="2" t="s">
        <v>1364</v>
      </c>
      <c r="P97" s="2" t="s">
        <v>1402</v>
      </c>
      <c r="Q97" s="1" t="n">
        <v>0</v>
      </c>
      <c r="R97" s="2" t="n">
        <v>795534</v>
      </c>
      <c r="S97" s="2" t="n">
        <v>811920</v>
      </c>
      <c r="T97" s="2" t="n">
        <v>5077</v>
      </c>
      <c r="U97" s="2" t="n">
        <v>800611</v>
      </c>
      <c r="V97" s="2" t="n">
        <v>97.99</v>
      </c>
      <c r="W97" s="2" t="s">
        <v>1360</v>
      </c>
    </row>
    <row r="98" customFormat="false" ht="18.7" hidden="false" customHeight="true" outlineLevel="0" collapsed="false">
      <c r="A98" s="1" t="n">
        <v>97</v>
      </c>
      <c r="B98" s="7" t="str">
        <f aca="false">HYPERLINK("https://mncourtfraud.com/file/27-CR-20-2581.pdf","27-CR-20-2581")</f>
        <v>27-CR-20-2581</v>
      </c>
      <c r="C98" s="1" t="n">
        <v>1</v>
      </c>
      <c r="D98" s="2" t="s">
        <v>12</v>
      </c>
      <c r="E98" s="8" t="n">
        <v>45160</v>
      </c>
      <c r="F98" s="2" t="s">
        <v>15</v>
      </c>
      <c r="G98" s="7" t="str">
        <f aca="false">HYPERLINK("https://mncourtfraud.com/file/MCRO_27-CR-20-2581_Order-Evaluation for Competency to Proceed (Rule 20.01)_2023-08-22_20251126180632.pdf","MCRO_27-CR-20-2581_Order-Evaluation for Competency to Proceed (Rule 20.01)_2023-08-22_20251126180632.pdf")</f>
        <v>MCRO_27-CR-20-2581_Order-Evaluation for Competency to Proceed (Rule 20.01)_2023-08-22_20251126180632.pdf</v>
      </c>
      <c r="H98" s="1" t="n">
        <v>6</v>
      </c>
      <c r="I98" s="1" t="s">
        <v>1366</v>
      </c>
      <c r="J98" s="1" t="n">
        <v>1</v>
      </c>
      <c r="K98" s="1" t="n">
        <v>1</v>
      </c>
      <c r="L98" s="2" t="s">
        <v>1367</v>
      </c>
      <c r="M98" s="2" t="s">
        <v>1519</v>
      </c>
      <c r="N98" s="2" t="s">
        <v>1520</v>
      </c>
      <c r="O98" s="2" t="s">
        <v>1494</v>
      </c>
      <c r="P98" s="2" t="s">
        <v>1521</v>
      </c>
      <c r="Q98" s="1" t="n">
        <v>0</v>
      </c>
      <c r="R98" s="2" t="n">
        <v>122115</v>
      </c>
      <c r="S98" s="2" t="n">
        <v>129143</v>
      </c>
      <c r="T98" s="2" t="n">
        <v>87775</v>
      </c>
      <c r="U98" s="2" t="n">
        <v>209890</v>
      </c>
      <c r="V98" s="2" t="n">
        <v>23.95</v>
      </c>
      <c r="W98" s="2" t="s">
        <v>1366</v>
      </c>
    </row>
    <row r="99" customFormat="false" ht="18.7" hidden="false" customHeight="true" outlineLevel="0" collapsed="false">
      <c r="A99" s="1" t="n">
        <v>98</v>
      </c>
      <c r="B99" s="7" t="str">
        <f aca="false">HYPERLINK("https://mncourtfraud.com/file/27-CR-20-2581.pdf","27-CR-20-2581")</f>
        <v>27-CR-20-2581</v>
      </c>
      <c r="C99" s="1" t="n">
        <v>1</v>
      </c>
      <c r="D99" s="2" t="s">
        <v>12</v>
      </c>
      <c r="E99" s="8" t="n">
        <v>45160</v>
      </c>
      <c r="F99" s="2" t="s">
        <v>15</v>
      </c>
      <c r="G99" s="7" t="str">
        <f aca="false">HYPERLINK("https://mncourtfraud.com/file/MCRO_27-CR-20-2581_Order-Evaluation for Competency to Proceed (Rule 20.01)_2023-08-22_20251126180632.pdf","MCRO_27-CR-20-2581_Order-Evaluation for Competency to Proceed (Rule 20.01)_2023-08-22_20251126180632.pdf")</f>
        <v>MCRO_27-CR-20-2581_Order-Evaluation for Competency to Proceed (Rule 20.01)_2023-08-22_20251126180632.pdf</v>
      </c>
      <c r="H99" s="1" t="n">
        <v>6</v>
      </c>
      <c r="I99" s="1" t="s">
        <v>1366</v>
      </c>
      <c r="J99" s="1" t="n">
        <v>2</v>
      </c>
      <c r="K99" s="1" t="n">
        <v>2</v>
      </c>
      <c r="L99" s="2" t="s">
        <v>1560</v>
      </c>
      <c r="M99" s="2" t="s">
        <v>1362</v>
      </c>
      <c r="N99" s="2" t="s">
        <v>1561</v>
      </c>
      <c r="O99" s="2" t="s">
        <v>1364</v>
      </c>
      <c r="P99" s="2" t="s">
        <v>1524</v>
      </c>
      <c r="Q99" s="1" t="n">
        <v>0</v>
      </c>
      <c r="R99" s="2" t="n">
        <v>855041</v>
      </c>
      <c r="S99" s="2" t="n">
        <v>871427</v>
      </c>
      <c r="T99" s="2" t="n">
        <v>4974</v>
      </c>
      <c r="U99" s="2" t="n">
        <v>860015</v>
      </c>
      <c r="V99" s="2" t="n">
        <v>98.13</v>
      </c>
      <c r="W99" s="2" t="s">
        <v>1360</v>
      </c>
    </row>
    <row r="100" customFormat="false" ht="18.7" hidden="false" customHeight="true" outlineLevel="0" collapsed="false">
      <c r="A100" s="1" t="n">
        <v>99</v>
      </c>
      <c r="B100" s="7" t="str">
        <f aca="false">HYPERLINK("https://mncourtfraud.com/file/27-CR-20-2581.pdf","27-CR-20-2581")</f>
        <v>27-CR-20-2581</v>
      </c>
      <c r="C100" s="1" t="n">
        <v>1</v>
      </c>
      <c r="D100" s="2" t="s">
        <v>12</v>
      </c>
      <c r="E100" s="8" t="n">
        <v>44460</v>
      </c>
      <c r="F100" s="2" t="s">
        <v>24</v>
      </c>
      <c r="G100" s="7" t="str">
        <f aca="false">HYPERLINK("https://mncourtfraud.com/file/MCRO_27-CR-20-2581_Order for Conditional Release_2021-09-21_20251126180509.pdf","MCRO_27-CR-20-2581_Order for Conditional Release_2021-09-21_20251126180509.pdf")</f>
        <v>MCRO_27-CR-20-2581_Order for Conditional Release_2021-09-21_20251126180509.pdf</v>
      </c>
      <c r="H100" s="1" t="n">
        <v>4</v>
      </c>
      <c r="I100" s="1" t="s">
        <v>1360</v>
      </c>
      <c r="J100" s="1" t="n">
        <v>1</v>
      </c>
      <c r="K100" s="1" t="n">
        <v>1</v>
      </c>
      <c r="L100" s="2" t="s">
        <v>1562</v>
      </c>
      <c r="M100" s="2" t="s">
        <v>1362</v>
      </c>
      <c r="N100" s="2" t="s">
        <v>1563</v>
      </c>
      <c r="O100" s="2" t="s">
        <v>1364</v>
      </c>
      <c r="P100" s="2" t="s">
        <v>1405</v>
      </c>
      <c r="Q100" s="1" t="n">
        <v>0</v>
      </c>
      <c r="R100" s="2" t="n">
        <v>84991</v>
      </c>
      <c r="S100" s="2" t="n">
        <v>101377</v>
      </c>
      <c r="T100" s="2" t="n">
        <v>4472</v>
      </c>
      <c r="U100" s="2" t="n">
        <v>89463</v>
      </c>
      <c r="V100" s="2" t="n">
        <v>84.52</v>
      </c>
      <c r="W100" s="2" t="s">
        <v>1360</v>
      </c>
    </row>
    <row r="101" customFormat="false" ht="18.7" hidden="false" customHeight="true" outlineLevel="0" collapsed="false">
      <c r="A101" s="1" t="n">
        <v>100</v>
      </c>
      <c r="B101" s="7" t="str">
        <f aca="false">HYPERLINK("https://mncourtfraud.com/file/27-CR-20-2581.pdf","27-CR-20-2581")</f>
        <v>27-CR-20-2581</v>
      </c>
      <c r="C101" s="1" t="n">
        <v>1</v>
      </c>
      <c r="D101" s="2" t="s">
        <v>12</v>
      </c>
      <c r="E101" s="8" t="n">
        <v>44468</v>
      </c>
      <c r="F101" s="2" t="s">
        <v>24</v>
      </c>
      <c r="G101" s="7" t="str">
        <f aca="false">HYPERLINK("https://mncourtfraud.com/file/MCRO_27-CR-20-2581_Order for Conditional Release_2021-09-29_20251126180519.pdf","MCRO_27-CR-20-2581_Order for Conditional Release_2021-09-29_20251126180519.pdf")</f>
        <v>MCRO_27-CR-20-2581_Order for Conditional Release_2021-09-29_20251126180519.pdf</v>
      </c>
      <c r="H101" s="1" t="n">
        <v>4</v>
      </c>
      <c r="I101" s="1" t="s">
        <v>1360</v>
      </c>
      <c r="J101" s="1" t="n">
        <v>1</v>
      </c>
      <c r="K101" s="1" t="n">
        <v>1</v>
      </c>
      <c r="L101" s="2" t="s">
        <v>1564</v>
      </c>
      <c r="M101" s="2" t="s">
        <v>1362</v>
      </c>
      <c r="N101" s="2" t="s">
        <v>1565</v>
      </c>
      <c r="O101" s="2" t="s">
        <v>1364</v>
      </c>
      <c r="P101" s="2" t="s">
        <v>1408</v>
      </c>
      <c r="Q101" s="1" t="n">
        <v>0</v>
      </c>
      <c r="R101" s="2" t="n">
        <v>130451</v>
      </c>
      <c r="S101" s="2" t="n">
        <v>146837</v>
      </c>
      <c r="T101" s="2" t="n">
        <v>4975</v>
      </c>
      <c r="U101" s="2" t="n">
        <v>135426</v>
      </c>
      <c r="V101" s="2" t="n">
        <v>89.21</v>
      </c>
      <c r="W101" s="2" t="s">
        <v>1360</v>
      </c>
    </row>
    <row r="102" customFormat="false" ht="18.7" hidden="false" customHeight="true" outlineLevel="0" collapsed="false">
      <c r="A102" s="1" t="n">
        <v>101</v>
      </c>
      <c r="B102" s="7" t="str">
        <f aca="false">HYPERLINK("https://mncourtfraud.com/file/27-CR-20-2581.pdf","27-CR-20-2581")</f>
        <v>27-CR-20-2581</v>
      </c>
      <c r="C102" s="1" t="n">
        <v>1</v>
      </c>
      <c r="D102" s="2" t="s">
        <v>12</v>
      </c>
      <c r="E102" s="8" t="n">
        <v>43970</v>
      </c>
      <c r="F102" s="2" t="s">
        <v>17</v>
      </c>
      <c r="G102" s="7" t="str">
        <f aca="false">HYPERLINK("https://mncourtfraud.com/file/MCRO_27-CR-20-2581_Returned Mail_2020-05-19_20251126180706.pdf","MCRO_27-CR-20-2581_Returned Mail_2020-05-19_20251126180706.pdf")</f>
        <v>MCRO_27-CR-20-2581_Returned Mail_2020-05-19_20251126180706.pdf</v>
      </c>
      <c r="H102" s="1" t="n">
        <v>4</v>
      </c>
      <c r="I102" s="1" t="s">
        <v>1360</v>
      </c>
      <c r="J102" s="1" t="n">
        <v>1</v>
      </c>
      <c r="K102" s="1" t="n">
        <v>1</v>
      </c>
      <c r="L102" s="2" t="s">
        <v>1566</v>
      </c>
      <c r="M102" s="2" t="s">
        <v>1362</v>
      </c>
      <c r="N102" s="2" t="s">
        <v>1567</v>
      </c>
      <c r="O102" s="2" t="s">
        <v>1364</v>
      </c>
      <c r="P102" s="2" t="s">
        <v>1411</v>
      </c>
      <c r="Q102" s="1" t="n">
        <v>0</v>
      </c>
      <c r="R102" s="2" t="n">
        <v>242015</v>
      </c>
      <c r="S102" s="2" t="n">
        <v>258401</v>
      </c>
      <c r="T102" s="2" t="n">
        <v>4524</v>
      </c>
      <c r="U102" s="2" t="n">
        <v>246539</v>
      </c>
      <c r="V102" s="2" t="n">
        <v>93.77</v>
      </c>
      <c r="W102" s="2" t="s">
        <v>1360</v>
      </c>
    </row>
    <row r="103" customFormat="false" ht="18.7" hidden="false" customHeight="true" outlineLevel="0" collapsed="false">
      <c r="A103" s="1" t="n">
        <v>102</v>
      </c>
      <c r="B103" s="7" t="str">
        <f aca="false">HYPERLINK("https://mncourtfraud.com/file/27-CR-20-5618.pdf","27-CR-20-5618")</f>
        <v>27-CR-20-5618</v>
      </c>
      <c r="C103" s="1" t="n">
        <v>1</v>
      </c>
      <c r="D103" s="2" t="s">
        <v>12</v>
      </c>
      <c r="E103" s="8" t="n">
        <v>45048</v>
      </c>
      <c r="F103" s="2" t="s">
        <v>80</v>
      </c>
      <c r="G103" s="7" t="str">
        <f aca="false">HYPERLINK("https://mncourtfraud.com/file/MCRO_27-CR-20-5618_Finding of Incompetency and Order_2023-05-02_20251126180741.pdf","MCRO_27-CR-20-5618_Finding of Incompetency and Order_2023-05-02_20251126180741.pdf")</f>
        <v>MCRO_27-CR-20-5618_Finding of Incompetency and Order_2023-05-02_20251126180741.pdf</v>
      </c>
      <c r="H103" s="1" t="n">
        <v>9</v>
      </c>
      <c r="I103" s="1" t="s">
        <v>1366</v>
      </c>
      <c r="J103" s="1" t="n">
        <v>1</v>
      </c>
      <c r="K103" s="1" t="n">
        <v>1</v>
      </c>
      <c r="L103" s="2" t="s">
        <v>1491</v>
      </c>
      <c r="M103" s="2" t="s">
        <v>1492</v>
      </c>
      <c r="N103" s="2" t="s">
        <v>1493</v>
      </c>
      <c r="O103" s="2" t="s">
        <v>1494</v>
      </c>
      <c r="P103" s="2" t="s">
        <v>1495</v>
      </c>
      <c r="Q103" s="1" t="n">
        <v>0</v>
      </c>
      <c r="R103" s="2" t="n">
        <v>100288</v>
      </c>
      <c r="S103" s="2" t="n">
        <v>112370</v>
      </c>
      <c r="T103" s="2" t="n">
        <v>48200</v>
      </c>
      <c r="U103" s="2" t="n">
        <v>148488</v>
      </c>
      <c r="V103" s="2" t="n">
        <v>15.21</v>
      </c>
      <c r="W103" s="2" t="s">
        <v>1366</v>
      </c>
    </row>
    <row r="104" customFormat="false" ht="18.7" hidden="false" customHeight="true" outlineLevel="0" collapsed="false">
      <c r="A104" s="1" t="n">
        <v>103</v>
      </c>
      <c r="B104" s="7" t="str">
        <f aca="false">HYPERLINK("https://mncourtfraud.com/file/27-CR-20-5618.pdf","27-CR-20-5618")</f>
        <v>27-CR-20-5618</v>
      </c>
      <c r="C104" s="1" t="n">
        <v>1</v>
      </c>
      <c r="D104" s="2" t="s">
        <v>12</v>
      </c>
      <c r="E104" s="8" t="n">
        <v>45048</v>
      </c>
      <c r="F104" s="2" t="s">
        <v>80</v>
      </c>
      <c r="G104" s="7" t="str">
        <f aca="false">HYPERLINK("https://mncourtfraud.com/file/MCRO_27-CR-20-5618_Finding of Incompetency and Order_2023-05-02_20251126180741.pdf","MCRO_27-CR-20-5618_Finding of Incompetency and Order_2023-05-02_20251126180741.pdf")</f>
        <v>MCRO_27-CR-20-5618_Finding of Incompetency and Order_2023-05-02_20251126180741.pdf</v>
      </c>
      <c r="H104" s="1" t="n">
        <v>9</v>
      </c>
      <c r="I104" s="1" t="s">
        <v>1366</v>
      </c>
      <c r="J104" s="1" t="n">
        <v>2</v>
      </c>
      <c r="K104" s="1" t="n">
        <v>2</v>
      </c>
      <c r="L104" s="2" t="s">
        <v>1367</v>
      </c>
      <c r="M104" s="2" t="s">
        <v>1496</v>
      </c>
      <c r="N104" s="2" t="s">
        <v>1497</v>
      </c>
      <c r="O104" s="2" t="s">
        <v>1494</v>
      </c>
      <c r="P104" s="2" t="s">
        <v>1498</v>
      </c>
      <c r="Q104" s="1" t="n">
        <v>0</v>
      </c>
      <c r="R104" s="2" t="n">
        <v>160968</v>
      </c>
      <c r="S104" s="2" t="n">
        <v>167974</v>
      </c>
      <c r="T104" s="2" t="n">
        <v>59084</v>
      </c>
      <c r="U104" s="2" t="n">
        <v>220052</v>
      </c>
      <c r="V104" s="2" t="n">
        <v>22.53</v>
      </c>
      <c r="W104" s="2" t="s">
        <v>1366</v>
      </c>
    </row>
    <row r="105" customFormat="false" ht="18.7" hidden="false" customHeight="true" outlineLevel="0" collapsed="false">
      <c r="A105" s="1" t="n">
        <v>104</v>
      </c>
      <c r="B105" s="7" t="str">
        <f aca="false">HYPERLINK("https://mncourtfraud.com/file/27-CR-20-5618.pdf","27-CR-20-5618")</f>
        <v>27-CR-20-5618</v>
      </c>
      <c r="C105" s="1" t="n">
        <v>1</v>
      </c>
      <c r="D105" s="2" t="s">
        <v>12</v>
      </c>
      <c r="E105" s="8" t="n">
        <v>45048</v>
      </c>
      <c r="F105" s="2" t="s">
        <v>80</v>
      </c>
      <c r="G105" s="7" t="str">
        <f aca="false">HYPERLINK("https://mncourtfraud.com/file/MCRO_27-CR-20-5618_Finding of Incompetency and Order_2023-05-02_20251126180741.pdf","MCRO_27-CR-20-5618_Finding of Incompetency and Order_2023-05-02_20251126180741.pdf")</f>
        <v>MCRO_27-CR-20-5618_Finding of Incompetency and Order_2023-05-02_20251126180741.pdf</v>
      </c>
      <c r="H105" s="1" t="n">
        <v>9</v>
      </c>
      <c r="I105" s="1" t="s">
        <v>1366</v>
      </c>
      <c r="J105" s="1" t="n">
        <v>3</v>
      </c>
      <c r="K105" s="1" t="n">
        <v>3</v>
      </c>
      <c r="L105" s="2" t="s">
        <v>1568</v>
      </c>
      <c r="M105" s="2" t="s">
        <v>1362</v>
      </c>
      <c r="N105" s="2" t="s">
        <v>1569</v>
      </c>
      <c r="O105" s="2" t="s">
        <v>1364</v>
      </c>
      <c r="P105" s="2" t="s">
        <v>1501</v>
      </c>
      <c r="Q105" s="1" t="n">
        <v>0</v>
      </c>
      <c r="R105" s="2" t="n">
        <v>954854</v>
      </c>
      <c r="S105" s="2" t="n">
        <v>971240</v>
      </c>
      <c r="T105" s="2" t="n">
        <v>5309</v>
      </c>
      <c r="U105" s="2" t="n">
        <v>960163</v>
      </c>
      <c r="V105" s="2" t="n">
        <v>98.32</v>
      </c>
      <c r="W105" s="2" t="s">
        <v>1360</v>
      </c>
    </row>
    <row r="106" customFormat="false" ht="18.7" hidden="false" customHeight="true" outlineLevel="0" collapsed="false">
      <c r="A106" s="1" t="n">
        <v>105</v>
      </c>
      <c r="B106" s="7" t="str">
        <f aca="false">HYPERLINK("https://mncourtfraud.com/file/27-CR-20-5618.pdf","27-CR-20-5618")</f>
        <v>27-CR-20-5618</v>
      </c>
      <c r="C106" s="1" t="n">
        <v>1</v>
      </c>
      <c r="D106" s="2" t="s">
        <v>12</v>
      </c>
      <c r="E106" s="8" t="n">
        <v>44103</v>
      </c>
      <c r="F106" s="2" t="s">
        <v>19</v>
      </c>
      <c r="G106" s="7" t="str">
        <f aca="false">HYPERLINK("https://mncourtfraud.com/file/MCRO_27-CR-20-5618_Findings and Order_2020-09-29_20251126180807.pdf","MCRO_27-CR-20-5618_Findings and Order_2020-09-29_20251126180807.pdf")</f>
        <v>MCRO_27-CR-20-5618_Findings and Order_2020-09-29_20251126180807.pdf</v>
      </c>
      <c r="H106" s="1" t="n">
        <v>4</v>
      </c>
      <c r="I106" s="1" t="s">
        <v>1360</v>
      </c>
      <c r="J106" s="1" t="n">
        <v>1</v>
      </c>
      <c r="K106" s="1" t="n">
        <v>1</v>
      </c>
      <c r="L106" s="2" t="s">
        <v>1570</v>
      </c>
      <c r="M106" s="2" t="s">
        <v>1362</v>
      </c>
      <c r="N106" s="2" t="s">
        <v>1571</v>
      </c>
      <c r="O106" s="2" t="s">
        <v>1364</v>
      </c>
      <c r="P106" s="2" t="s">
        <v>1365</v>
      </c>
      <c r="Q106" s="1" t="n">
        <v>0</v>
      </c>
      <c r="R106" s="2" t="n">
        <v>314050</v>
      </c>
      <c r="S106" s="2" t="n">
        <v>330436</v>
      </c>
      <c r="T106" s="2" t="n">
        <v>4483</v>
      </c>
      <c r="U106" s="2" t="n">
        <v>318533</v>
      </c>
      <c r="V106" s="2" t="n">
        <v>95.11</v>
      </c>
      <c r="W106" s="2" t="s">
        <v>1360</v>
      </c>
    </row>
    <row r="107" customFormat="false" ht="18.7" hidden="false" customHeight="true" outlineLevel="0" collapsed="false">
      <c r="A107" s="1" t="n">
        <v>106</v>
      </c>
      <c r="B107" s="7" t="str">
        <f aca="false">HYPERLINK("https://mncourtfraud.com/file/27-CR-20-5618.pdf","27-CR-20-5618")</f>
        <v>27-CR-20-5618</v>
      </c>
      <c r="C107" s="1" t="n">
        <v>1</v>
      </c>
      <c r="D107" s="2" t="s">
        <v>12</v>
      </c>
      <c r="E107" s="8" t="n">
        <v>44439</v>
      </c>
      <c r="F107" s="2" t="s">
        <v>19</v>
      </c>
      <c r="G107" s="7" t="str">
        <f aca="false">HYPERLINK("https://mncourtfraud.com/file/MCRO_27-CR-20-5618_Findings and Order_2021-08-31_20251126180821.pdf","MCRO_27-CR-20-5618_Findings and Order_2021-08-31_20251126180821.pdf")</f>
        <v>MCRO_27-CR-20-5618_Findings and Order_2021-08-31_20251126180821.pdf</v>
      </c>
      <c r="H107" s="1" t="n">
        <v>5</v>
      </c>
      <c r="I107" s="1" t="s">
        <v>1366</v>
      </c>
      <c r="J107" s="1" t="n">
        <v>1</v>
      </c>
      <c r="K107" s="1" t="n">
        <v>1</v>
      </c>
      <c r="L107" s="2" t="s">
        <v>1367</v>
      </c>
      <c r="M107" s="2" t="s">
        <v>1368</v>
      </c>
      <c r="N107" s="2" t="s">
        <v>1369</v>
      </c>
      <c r="O107" s="2" t="s">
        <v>1364</v>
      </c>
      <c r="P107" s="2" t="s">
        <v>1370</v>
      </c>
      <c r="Q107" s="1" t="n">
        <v>0</v>
      </c>
      <c r="R107" s="2" t="n">
        <v>129996</v>
      </c>
      <c r="S107" s="2" t="n">
        <v>137690</v>
      </c>
      <c r="T107" s="2" t="n">
        <v>19979</v>
      </c>
      <c r="U107" s="2" t="n">
        <v>149975</v>
      </c>
      <c r="V107" s="2" t="n">
        <v>39.94</v>
      </c>
      <c r="W107" s="2" t="s">
        <v>1366</v>
      </c>
    </row>
    <row r="108" customFormat="false" ht="18.7" hidden="false" customHeight="true" outlineLevel="0" collapsed="false">
      <c r="A108" s="1" t="n">
        <v>107</v>
      </c>
      <c r="B108" s="7" t="str">
        <f aca="false">HYPERLINK("https://mncourtfraud.com/file/27-CR-20-5618.pdf","27-CR-20-5618")</f>
        <v>27-CR-20-5618</v>
      </c>
      <c r="C108" s="1" t="n">
        <v>1</v>
      </c>
      <c r="D108" s="2" t="s">
        <v>12</v>
      </c>
      <c r="E108" s="8" t="n">
        <v>44439</v>
      </c>
      <c r="F108" s="2" t="s">
        <v>19</v>
      </c>
      <c r="G108" s="7" t="str">
        <f aca="false">HYPERLINK("https://mncourtfraud.com/file/MCRO_27-CR-20-5618_Findings and Order_2021-08-31_20251126180821.pdf","MCRO_27-CR-20-5618_Findings and Order_2021-08-31_20251126180821.pdf")</f>
        <v>MCRO_27-CR-20-5618_Findings and Order_2021-08-31_20251126180821.pdf</v>
      </c>
      <c r="H108" s="1" t="n">
        <v>5</v>
      </c>
      <c r="I108" s="1" t="s">
        <v>1366</v>
      </c>
      <c r="J108" s="1" t="n">
        <v>2</v>
      </c>
      <c r="K108" s="1" t="n">
        <v>2</v>
      </c>
      <c r="L108" s="2" t="s">
        <v>1572</v>
      </c>
      <c r="M108" s="2" t="s">
        <v>1362</v>
      </c>
      <c r="N108" s="2" t="s">
        <v>1573</v>
      </c>
      <c r="O108" s="2" t="s">
        <v>1364</v>
      </c>
      <c r="P108" s="2" t="s">
        <v>1373</v>
      </c>
      <c r="Q108" s="1" t="n">
        <v>0</v>
      </c>
      <c r="R108" s="2" t="n">
        <v>354061</v>
      </c>
      <c r="S108" s="2" t="n">
        <v>370447</v>
      </c>
      <c r="T108" s="2" t="n">
        <v>5041</v>
      </c>
      <c r="U108" s="2" t="n">
        <v>359102</v>
      </c>
      <c r="V108" s="2" t="n">
        <v>95.64</v>
      </c>
      <c r="W108" s="2" t="s">
        <v>1360</v>
      </c>
    </row>
    <row r="109" customFormat="false" ht="18.7" hidden="false" customHeight="true" outlineLevel="0" collapsed="false">
      <c r="A109" s="1" t="n">
        <v>108</v>
      </c>
      <c r="B109" s="7" t="str">
        <f aca="false">HYPERLINK("https://mncourtfraud.com/file/27-CR-20-5618.pdf","27-CR-20-5618")</f>
        <v>27-CR-20-5618</v>
      </c>
      <c r="C109" s="1" t="n">
        <v>1</v>
      </c>
      <c r="D109" s="2" t="s">
        <v>12</v>
      </c>
      <c r="E109" s="8" t="n">
        <v>44593</v>
      </c>
      <c r="F109" s="2" t="s">
        <v>19</v>
      </c>
      <c r="G109" s="7" t="str">
        <f aca="false">HYPERLINK("https://mncourtfraud.com/file/MCRO_27-CR-20-5618_Findings and Order_2022-02-01_20251126180755.pdf","MCRO_27-CR-20-5618_Findings and Order_2022-02-01_20251126180755.pdf")</f>
        <v>MCRO_27-CR-20-5618_Findings and Order_2022-02-01_20251126180755.pdf</v>
      </c>
      <c r="H109" s="1" t="n">
        <v>4</v>
      </c>
      <c r="I109" s="1" t="s">
        <v>1360</v>
      </c>
      <c r="J109" s="1" t="n">
        <v>1</v>
      </c>
      <c r="K109" s="1" t="n">
        <v>1</v>
      </c>
      <c r="L109" s="2" t="s">
        <v>1367</v>
      </c>
      <c r="M109" s="2" t="s">
        <v>1368</v>
      </c>
      <c r="N109" s="2" t="s">
        <v>1374</v>
      </c>
      <c r="O109" s="2" t="s">
        <v>1364</v>
      </c>
      <c r="P109" s="2" t="s">
        <v>1375</v>
      </c>
      <c r="Q109" s="1" t="n">
        <v>0</v>
      </c>
      <c r="R109" s="2" t="n">
        <v>163153</v>
      </c>
      <c r="S109" s="2" t="n">
        <v>173205</v>
      </c>
      <c r="T109" s="2" t="n">
        <v>9683</v>
      </c>
      <c r="U109" s="2" t="n">
        <v>172836</v>
      </c>
      <c r="V109" s="2" t="n">
        <v>47.77</v>
      </c>
      <c r="W109" s="2" t="s">
        <v>1366</v>
      </c>
    </row>
    <row r="110" customFormat="false" ht="18.7" hidden="false" customHeight="true" outlineLevel="0" collapsed="false">
      <c r="A110" s="1" t="n">
        <v>109</v>
      </c>
      <c r="B110" s="7" t="str">
        <f aca="false">HYPERLINK("https://mncourtfraud.com/file/27-CR-20-5618.pdf","27-CR-20-5618")</f>
        <v>27-CR-20-5618</v>
      </c>
      <c r="C110" s="1" t="n">
        <v>1</v>
      </c>
      <c r="D110" s="2" t="s">
        <v>12</v>
      </c>
      <c r="E110" s="8" t="n">
        <v>44593</v>
      </c>
      <c r="F110" s="2" t="s">
        <v>19</v>
      </c>
      <c r="G110" s="7" t="str">
        <f aca="false">HYPERLINK("https://mncourtfraud.com/file/MCRO_27-CR-20-5618_Findings and Order_2022-02-01_20251126180755.pdf","MCRO_27-CR-20-5618_Findings and Order_2022-02-01_20251126180755.pdf")</f>
        <v>MCRO_27-CR-20-5618_Findings and Order_2022-02-01_20251126180755.pdf</v>
      </c>
      <c r="H110" s="1" t="n">
        <v>4</v>
      </c>
      <c r="I110" s="1" t="s">
        <v>1360</v>
      </c>
      <c r="J110" s="1" t="n">
        <v>2</v>
      </c>
      <c r="K110" s="1" t="n">
        <v>2</v>
      </c>
      <c r="L110" s="2" t="s">
        <v>1574</v>
      </c>
      <c r="M110" s="2" t="s">
        <v>1362</v>
      </c>
      <c r="N110" s="2" t="s">
        <v>1575</v>
      </c>
      <c r="O110" s="2" t="s">
        <v>1364</v>
      </c>
      <c r="P110" s="2" t="s">
        <v>1378</v>
      </c>
      <c r="Q110" s="1" t="n">
        <v>0</v>
      </c>
      <c r="R110" s="2" t="n">
        <v>340312</v>
      </c>
      <c r="S110" s="2" t="n">
        <v>356698</v>
      </c>
      <c r="T110" s="2" t="n">
        <v>5091</v>
      </c>
      <c r="U110" s="2" t="n">
        <v>345403</v>
      </c>
      <c r="V110" s="2" t="n">
        <v>95.47</v>
      </c>
      <c r="W110" s="2" t="s">
        <v>1360</v>
      </c>
    </row>
    <row r="111" customFormat="false" ht="18.7" hidden="false" customHeight="true" outlineLevel="0" collapsed="false">
      <c r="A111" s="1" t="n">
        <v>110</v>
      </c>
      <c r="B111" s="7" t="str">
        <f aca="false">HYPERLINK("https://mncourtfraud.com/file/27-CR-20-5618.pdf","27-CR-20-5618")</f>
        <v>27-CR-20-5618</v>
      </c>
      <c r="C111" s="1" t="n">
        <v>1</v>
      </c>
      <c r="D111" s="2" t="s">
        <v>12</v>
      </c>
      <c r="E111" s="8" t="n">
        <v>45093</v>
      </c>
      <c r="F111" s="2" t="s">
        <v>82</v>
      </c>
      <c r="G111" s="7" t="str">
        <f aca="false">HYPERLINK("https://mncourtfraud.com/file/MCRO_27-CR-20-5618_Notice of Case Reassignment_2023-06-16_20251126180834.pdf","MCRO_27-CR-20-5618_Notice of Case Reassignment_2023-06-16_20251126180834.pdf")</f>
        <v>MCRO_27-CR-20-5618_Notice of Case Reassignment_2023-06-16_20251126180834.pdf</v>
      </c>
      <c r="H111" s="1" t="n">
        <v>3</v>
      </c>
      <c r="I111" s="1" t="s">
        <v>1360</v>
      </c>
      <c r="J111" s="1" t="n">
        <v>1</v>
      </c>
      <c r="K111" s="1" t="n">
        <v>1</v>
      </c>
      <c r="L111" s="2" t="s">
        <v>1576</v>
      </c>
      <c r="M111" s="2" t="s">
        <v>1362</v>
      </c>
      <c r="N111" s="2" t="s">
        <v>1577</v>
      </c>
      <c r="O111" s="2" t="s">
        <v>1364</v>
      </c>
      <c r="P111" s="2" t="s">
        <v>1508</v>
      </c>
      <c r="Q111" s="1" t="n">
        <v>0</v>
      </c>
      <c r="R111" s="2" t="n">
        <v>92689</v>
      </c>
      <c r="S111" s="2" t="n">
        <v>109075</v>
      </c>
      <c r="T111" s="2" t="n">
        <v>4553</v>
      </c>
      <c r="U111" s="2" t="n">
        <v>97242</v>
      </c>
      <c r="V111" s="2" t="n">
        <v>85.58</v>
      </c>
      <c r="W111" s="2" t="s">
        <v>1360</v>
      </c>
    </row>
    <row r="112" customFormat="false" ht="18.7" hidden="false" customHeight="true" outlineLevel="0" collapsed="false">
      <c r="A112" s="1" t="n">
        <v>111</v>
      </c>
      <c r="B112" s="7" t="str">
        <f aca="false">HYPERLINK("https://mncourtfraud.com/file/27-CR-20-5618.pdf","27-CR-20-5618")</f>
        <v>27-CR-20-5618</v>
      </c>
      <c r="C112" s="1" t="n">
        <v>1</v>
      </c>
      <c r="D112" s="2" t="s">
        <v>12</v>
      </c>
      <c r="E112" s="8" t="n">
        <v>43902</v>
      </c>
      <c r="F112" s="2" t="s">
        <v>15</v>
      </c>
      <c r="G112" s="7" t="str">
        <f aca="false">HYPERLINK("https://mncourtfraud.com/file/MCRO_27-CR-20-5618_Order-Evaluation for Competency to Proceed (Rule 20.01)_2020-03-12_20251126181032.pdf","MCRO_27-CR-20-5618_Order-Evaluation for Competency to Proceed (Rule 20.01)_2020-03-12_20251126181032.pdf")</f>
        <v>MCRO_27-CR-20-5618_Order-Evaluation for Competency to Proceed (Rule 20.01)_2020-03-12_20251126181032.pdf</v>
      </c>
      <c r="H112" s="1" t="n">
        <v>4</v>
      </c>
      <c r="I112" s="1" t="s">
        <v>1360</v>
      </c>
      <c r="J112" s="1" t="n">
        <v>1</v>
      </c>
      <c r="K112" s="1" t="n">
        <v>1</v>
      </c>
      <c r="L112" s="2" t="s">
        <v>1578</v>
      </c>
      <c r="M112" s="2" t="s">
        <v>1362</v>
      </c>
      <c r="N112" s="2" t="s">
        <v>1579</v>
      </c>
      <c r="O112" s="2" t="s">
        <v>1364</v>
      </c>
      <c r="P112" s="2" t="s">
        <v>1384</v>
      </c>
      <c r="Q112" s="1" t="n">
        <v>0</v>
      </c>
      <c r="R112" s="2" t="n">
        <v>1159454</v>
      </c>
      <c r="S112" s="2" t="n">
        <v>1175840</v>
      </c>
      <c r="T112" s="2" t="n">
        <v>8614</v>
      </c>
      <c r="U112" s="2" t="n">
        <v>1168068</v>
      </c>
      <c r="V112" s="2" t="n">
        <v>98.62</v>
      </c>
      <c r="W112" s="2" t="s">
        <v>1360</v>
      </c>
    </row>
    <row r="113" customFormat="false" ht="18.7" hidden="false" customHeight="true" outlineLevel="0" collapsed="false">
      <c r="A113" s="1" t="n">
        <v>112</v>
      </c>
      <c r="B113" s="7" t="str">
        <f aca="false">HYPERLINK("https://mncourtfraud.com/file/27-CR-20-5618.pdf","27-CR-20-5618")</f>
        <v>27-CR-20-5618</v>
      </c>
      <c r="C113" s="1" t="n">
        <v>1</v>
      </c>
      <c r="D113" s="2" t="s">
        <v>12</v>
      </c>
      <c r="E113" s="8" t="n">
        <v>44225</v>
      </c>
      <c r="F113" s="2" t="s">
        <v>15</v>
      </c>
      <c r="G113" s="7" t="str">
        <f aca="false">HYPERLINK("https://mncourtfraud.com/file/MCRO_27-CR-20-5618_Order-Evaluation for Competency to Proceed (Rule 20.01)_2021-01-29_20251126181045.pdf","MCRO_27-CR-20-5618_Order-Evaluation for Competency to Proceed (Rule 20.01)_2021-01-29_20251126181045.pdf")</f>
        <v>MCRO_27-CR-20-5618_Order-Evaluation for Competency to Proceed (Rule 20.01)_2021-01-29_20251126181045.pdf</v>
      </c>
      <c r="H113" s="1" t="n">
        <v>3</v>
      </c>
      <c r="I113" s="1" t="s">
        <v>1360</v>
      </c>
      <c r="J113" s="1" t="n">
        <v>1</v>
      </c>
      <c r="K113" s="1" t="n">
        <v>1</v>
      </c>
      <c r="L113" s="2" t="s">
        <v>1580</v>
      </c>
      <c r="M113" s="2" t="s">
        <v>1362</v>
      </c>
      <c r="N113" s="2" t="s">
        <v>1581</v>
      </c>
      <c r="O113" s="2" t="s">
        <v>1364</v>
      </c>
      <c r="P113" s="2" t="s">
        <v>1387</v>
      </c>
      <c r="Q113" s="1" t="n">
        <v>0</v>
      </c>
      <c r="R113" s="2" t="n">
        <v>432736</v>
      </c>
      <c r="S113" s="2" t="n">
        <v>449122</v>
      </c>
      <c r="T113" s="2" t="n">
        <v>5076</v>
      </c>
      <c r="U113" s="2" t="n">
        <v>437812</v>
      </c>
      <c r="V113" s="2" t="n">
        <v>96.39</v>
      </c>
      <c r="W113" s="2" t="s">
        <v>1360</v>
      </c>
    </row>
    <row r="114" customFormat="false" ht="18.7" hidden="false" customHeight="true" outlineLevel="0" collapsed="false">
      <c r="A114" s="1" t="n">
        <v>113</v>
      </c>
      <c r="B114" s="7" t="str">
        <f aca="false">HYPERLINK("https://mncourtfraud.com/file/27-CR-20-5618.pdf","27-CR-20-5618")</f>
        <v>27-CR-20-5618</v>
      </c>
      <c r="C114" s="1" t="n">
        <v>1</v>
      </c>
      <c r="D114" s="2" t="s">
        <v>12</v>
      </c>
      <c r="E114" s="8" t="n">
        <v>44396</v>
      </c>
      <c r="F114" s="2" t="s">
        <v>15</v>
      </c>
      <c r="G114" s="7" t="str">
        <f aca="false">HYPERLINK("https://mncourtfraud.com/file/MCRO_27-CR-20-5618_Order-Evaluation for Competency to Proceed (Rule 20.01)_2021-07-19_20251126180920.pdf","MCRO_27-CR-20-5618_Order-Evaluation for Competency to Proceed (Rule 20.01)_2021-07-19_20251126180920.pdf")</f>
        <v>MCRO_27-CR-20-5618_Order-Evaluation for Competency to Proceed (Rule 20.01)_2021-07-19_20251126180920.pdf</v>
      </c>
      <c r="H114" s="1" t="n">
        <v>4</v>
      </c>
      <c r="I114" s="1" t="s">
        <v>1360</v>
      </c>
      <c r="J114" s="1" t="n">
        <v>1</v>
      </c>
      <c r="K114" s="1" t="n">
        <v>1</v>
      </c>
      <c r="L114" s="2" t="s">
        <v>1582</v>
      </c>
      <c r="M114" s="2" t="s">
        <v>1362</v>
      </c>
      <c r="N114" s="2" t="s">
        <v>1583</v>
      </c>
      <c r="O114" s="2" t="s">
        <v>1364</v>
      </c>
      <c r="P114" s="2" t="s">
        <v>1390</v>
      </c>
      <c r="Q114" s="1" t="n">
        <v>0</v>
      </c>
      <c r="R114" s="2" t="n">
        <v>171458</v>
      </c>
      <c r="S114" s="2" t="n">
        <v>187844</v>
      </c>
      <c r="T114" s="2" t="n">
        <v>8533</v>
      </c>
      <c r="U114" s="2" t="n">
        <v>179991</v>
      </c>
      <c r="V114" s="2" t="n">
        <v>91.66</v>
      </c>
      <c r="W114" s="2" t="s">
        <v>1360</v>
      </c>
    </row>
    <row r="115" customFormat="false" ht="18.7" hidden="false" customHeight="true" outlineLevel="0" collapsed="false">
      <c r="A115" s="1" t="n">
        <v>114</v>
      </c>
      <c r="B115" s="7" t="str">
        <f aca="false">HYPERLINK("https://mncourtfraud.com/file/27-CR-20-5618.pdf","27-CR-20-5618")</f>
        <v>27-CR-20-5618</v>
      </c>
      <c r="C115" s="1" t="n">
        <v>1</v>
      </c>
      <c r="D115" s="2" t="s">
        <v>12</v>
      </c>
      <c r="E115" s="8" t="n">
        <v>44543</v>
      </c>
      <c r="F115" s="2" t="s">
        <v>15</v>
      </c>
      <c r="G115" s="7" t="str">
        <f aca="false">HYPERLINK("https://mncourtfraud.com/file/MCRO_27-CR-20-5618_Order-Evaluation for Competency to Proceed (Rule 20.01)_2021-12-13_20251126180931.pdf","MCRO_27-CR-20-5618_Order-Evaluation for Competency to Proceed (Rule 20.01)_2021-12-13_20251126180931.pdf")</f>
        <v>MCRO_27-CR-20-5618_Order-Evaluation for Competency to Proceed (Rule 20.01)_2021-12-13_20251126180931.pdf</v>
      </c>
      <c r="H115" s="1" t="n">
        <v>3</v>
      </c>
      <c r="I115" s="1" t="s">
        <v>1360</v>
      </c>
      <c r="J115" s="1" t="n">
        <v>1</v>
      </c>
      <c r="K115" s="1" t="n">
        <v>1</v>
      </c>
      <c r="L115" s="2" t="s">
        <v>1584</v>
      </c>
      <c r="M115" s="2" t="s">
        <v>1362</v>
      </c>
      <c r="N115" s="2" t="s">
        <v>1585</v>
      </c>
      <c r="O115" s="2" t="s">
        <v>1364</v>
      </c>
      <c r="P115" s="2" t="s">
        <v>1393</v>
      </c>
      <c r="Q115" s="1" t="n">
        <v>0</v>
      </c>
      <c r="R115" s="2" t="n">
        <v>212329</v>
      </c>
      <c r="S115" s="2" t="n">
        <v>228715</v>
      </c>
      <c r="T115" s="2" t="n">
        <v>5134</v>
      </c>
      <c r="U115" s="2" t="n">
        <v>217463</v>
      </c>
      <c r="V115" s="2" t="n">
        <v>92.99</v>
      </c>
      <c r="W115" s="2" t="s">
        <v>1360</v>
      </c>
    </row>
    <row r="116" customFormat="false" ht="18.7" hidden="false" customHeight="true" outlineLevel="0" collapsed="false">
      <c r="A116" s="1" t="n">
        <v>115</v>
      </c>
      <c r="B116" s="7" t="str">
        <f aca="false">HYPERLINK("https://mncourtfraud.com/file/27-CR-20-5618.pdf","27-CR-20-5618")</f>
        <v>27-CR-20-5618</v>
      </c>
      <c r="C116" s="1" t="n">
        <v>1</v>
      </c>
      <c r="D116" s="2" t="s">
        <v>12</v>
      </c>
      <c r="E116" s="8" t="n">
        <v>44558</v>
      </c>
      <c r="F116" s="2" t="s">
        <v>15</v>
      </c>
      <c r="G116" s="7" t="str">
        <f aca="false">HYPERLINK("https://mncourtfraud.com/file/MCRO_27-CR-20-5618_Order-Evaluation for Competency to Proceed (Rule 20.01)_2021-12-28_20251126180947.pdf","MCRO_27-CR-20-5618_Order-Evaluation for Competency to Proceed (Rule 20.01)_2021-12-28_20251126180947.pdf")</f>
        <v>MCRO_27-CR-20-5618_Order-Evaluation for Competency to Proceed (Rule 20.01)_2021-12-28_20251126180947.pdf</v>
      </c>
      <c r="H116" s="1" t="n">
        <v>4</v>
      </c>
      <c r="I116" s="1" t="s">
        <v>1360</v>
      </c>
      <c r="J116" s="1" t="n">
        <v>1</v>
      </c>
      <c r="K116" s="1" t="n">
        <v>1</v>
      </c>
      <c r="L116" s="2" t="s">
        <v>1586</v>
      </c>
      <c r="M116" s="2" t="s">
        <v>1362</v>
      </c>
      <c r="N116" s="2" t="s">
        <v>1587</v>
      </c>
      <c r="O116" s="2" t="s">
        <v>1364</v>
      </c>
      <c r="P116" s="2" t="s">
        <v>1555</v>
      </c>
      <c r="Q116" s="1" t="n">
        <v>0</v>
      </c>
      <c r="R116" s="2" t="n">
        <v>241525</v>
      </c>
      <c r="S116" s="2" t="n">
        <v>257911</v>
      </c>
      <c r="T116" s="2" t="n">
        <v>8628</v>
      </c>
      <c r="U116" s="2" t="n">
        <v>250153</v>
      </c>
      <c r="V116" s="2" t="n">
        <v>93.85</v>
      </c>
      <c r="W116" s="2" t="s">
        <v>1360</v>
      </c>
    </row>
    <row r="117" customFormat="false" ht="18.7" hidden="false" customHeight="true" outlineLevel="0" collapsed="false">
      <c r="A117" s="1" t="n">
        <v>116</v>
      </c>
      <c r="B117" s="7" t="str">
        <f aca="false">HYPERLINK("https://mncourtfraud.com/file/27-CR-20-5618.pdf","27-CR-20-5618")</f>
        <v>27-CR-20-5618</v>
      </c>
      <c r="C117" s="1" t="n">
        <v>1</v>
      </c>
      <c r="D117" s="2" t="s">
        <v>12</v>
      </c>
      <c r="E117" s="8" t="n">
        <v>44692</v>
      </c>
      <c r="F117" s="2" t="s">
        <v>15</v>
      </c>
      <c r="G117" s="7" t="str">
        <f aca="false">HYPERLINK("https://mncourtfraud.com/file/MCRO_27-CR-20-5618_Order-Evaluation for Competency to Proceed (Rule 20.01)_2022-05-11_20251126180958.pdf","MCRO_27-CR-20-5618_Order-Evaluation for Competency to Proceed (Rule 20.01)_2022-05-11_20251126180958.pdf")</f>
        <v>MCRO_27-CR-20-5618_Order-Evaluation for Competency to Proceed (Rule 20.01)_2022-05-11_20251126180958.pdf</v>
      </c>
      <c r="H117" s="1" t="n">
        <v>3</v>
      </c>
      <c r="I117" s="1" t="s">
        <v>1360</v>
      </c>
      <c r="J117" s="1" t="n">
        <v>1</v>
      </c>
      <c r="K117" s="1" t="n">
        <v>1</v>
      </c>
      <c r="L117" s="2" t="s">
        <v>1588</v>
      </c>
      <c r="M117" s="2" t="s">
        <v>1362</v>
      </c>
      <c r="N117" s="2" t="s">
        <v>1589</v>
      </c>
      <c r="O117" s="2" t="s">
        <v>1364</v>
      </c>
      <c r="P117" s="2" t="s">
        <v>1399</v>
      </c>
      <c r="Q117" s="1" t="n">
        <v>0</v>
      </c>
      <c r="R117" s="2" t="n">
        <v>218702</v>
      </c>
      <c r="S117" s="2" t="n">
        <v>235088</v>
      </c>
      <c r="T117" s="2" t="n">
        <v>4728</v>
      </c>
      <c r="U117" s="2" t="n">
        <v>223430</v>
      </c>
      <c r="V117" s="2" t="n">
        <v>93.17</v>
      </c>
      <c r="W117" s="2" t="s">
        <v>1360</v>
      </c>
    </row>
    <row r="118" customFormat="false" ht="18.7" hidden="false" customHeight="true" outlineLevel="0" collapsed="false">
      <c r="A118" s="1" t="n">
        <v>117</v>
      </c>
      <c r="B118" s="7" t="str">
        <f aca="false">HYPERLINK("https://mncourtfraud.com/file/27-CR-20-5618.pdf","27-CR-20-5618")</f>
        <v>27-CR-20-5618</v>
      </c>
      <c r="C118" s="1" t="n">
        <v>1</v>
      </c>
      <c r="D118" s="2" t="s">
        <v>12</v>
      </c>
      <c r="E118" s="8" t="n">
        <v>44895</v>
      </c>
      <c r="F118" s="2" t="s">
        <v>15</v>
      </c>
      <c r="G118" s="7" t="str">
        <f aca="false">HYPERLINK("https://mncourtfraud.com/file/MCRO_27-CR-20-5618_Order-Evaluation for Competency to Proceed (Rule 20.01)_2022-11-30_20251126181007.pdf","MCRO_27-CR-20-5618_Order-Evaluation for Competency to Proceed (Rule 20.01)_2022-11-30_20251126181007.pdf")</f>
        <v>MCRO_27-CR-20-5618_Order-Evaluation for Competency to Proceed (Rule 20.01)_2022-11-30_20251126181007.pdf</v>
      </c>
      <c r="H118" s="1" t="n">
        <v>4</v>
      </c>
      <c r="I118" s="1" t="s">
        <v>1360</v>
      </c>
      <c r="J118" s="1" t="n">
        <v>1</v>
      </c>
      <c r="K118" s="1" t="n">
        <v>1</v>
      </c>
      <c r="L118" s="2" t="s">
        <v>1590</v>
      </c>
      <c r="M118" s="2" t="s">
        <v>1362</v>
      </c>
      <c r="N118" s="2" t="s">
        <v>1591</v>
      </c>
      <c r="O118" s="2" t="s">
        <v>1364</v>
      </c>
      <c r="P118" s="2" t="s">
        <v>1402</v>
      </c>
      <c r="Q118" s="1" t="n">
        <v>0</v>
      </c>
      <c r="R118" s="2" t="n">
        <v>795532</v>
      </c>
      <c r="S118" s="2" t="n">
        <v>811918</v>
      </c>
      <c r="T118" s="2" t="n">
        <v>5079</v>
      </c>
      <c r="U118" s="2" t="n">
        <v>800611</v>
      </c>
      <c r="V118" s="2" t="n">
        <v>97.99</v>
      </c>
      <c r="W118" s="2" t="s">
        <v>1360</v>
      </c>
    </row>
    <row r="119" customFormat="false" ht="18.7" hidden="false" customHeight="true" outlineLevel="0" collapsed="false">
      <c r="A119" s="1" t="n">
        <v>118</v>
      </c>
      <c r="B119" s="7" t="str">
        <f aca="false">HYPERLINK("https://mncourtfraud.com/file/27-CR-20-5618.pdf","27-CR-20-5618")</f>
        <v>27-CR-20-5618</v>
      </c>
      <c r="C119" s="1" t="n">
        <v>1</v>
      </c>
      <c r="D119" s="2" t="s">
        <v>12</v>
      </c>
      <c r="E119" s="8" t="n">
        <v>45160</v>
      </c>
      <c r="F119" s="2" t="s">
        <v>15</v>
      </c>
      <c r="G119" s="7" t="str">
        <f aca="false">HYPERLINK("https://mncourtfraud.com/file/MCRO_27-CR-20-5618_Order-Evaluation for Competency to Proceed (Rule 20.01)_2023-08-22_20251126181021.pdf","MCRO_27-CR-20-5618_Order-Evaluation for Competency to Proceed (Rule 20.01)_2023-08-22_20251126181021.pdf")</f>
        <v>MCRO_27-CR-20-5618_Order-Evaluation for Competency to Proceed (Rule 20.01)_2023-08-22_20251126181021.pdf</v>
      </c>
      <c r="H119" s="1" t="n">
        <v>6</v>
      </c>
      <c r="I119" s="1" t="s">
        <v>1366</v>
      </c>
      <c r="J119" s="1" t="n">
        <v>1</v>
      </c>
      <c r="K119" s="1" t="n">
        <v>1</v>
      </c>
      <c r="L119" s="2" t="s">
        <v>1367</v>
      </c>
      <c r="M119" s="2" t="s">
        <v>1519</v>
      </c>
      <c r="N119" s="2" t="s">
        <v>1520</v>
      </c>
      <c r="O119" s="2" t="s">
        <v>1494</v>
      </c>
      <c r="P119" s="2" t="s">
        <v>1521</v>
      </c>
      <c r="Q119" s="1" t="n">
        <v>0</v>
      </c>
      <c r="R119" s="2" t="n">
        <v>122115</v>
      </c>
      <c r="S119" s="2" t="n">
        <v>129143</v>
      </c>
      <c r="T119" s="2" t="n">
        <v>87775</v>
      </c>
      <c r="U119" s="2" t="n">
        <v>209890</v>
      </c>
      <c r="V119" s="2" t="n">
        <v>23.95</v>
      </c>
      <c r="W119" s="2" t="s">
        <v>1366</v>
      </c>
    </row>
    <row r="120" customFormat="false" ht="18.7" hidden="false" customHeight="true" outlineLevel="0" collapsed="false">
      <c r="A120" s="1" t="n">
        <v>119</v>
      </c>
      <c r="B120" s="7" t="str">
        <f aca="false">HYPERLINK("https://mncourtfraud.com/file/27-CR-20-5618.pdf","27-CR-20-5618")</f>
        <v>27-CR-20-5618</v>
      </c>
      <c r="C120" s="1" t="n">
        <v>1</v>
      </c>
      <c r="D120" s="2" t="s">
        <v>12</v>
      </c>
      <c r="E120" s="8" t="n">
        <v>45160</v>
      </c>
      <c r="F120" s="2" t="s">
        <v>15</v>
      </c>
      <c r="G120" s="7" t="str">
        <f aca="false">HYPERLINK("https://mncourtfraud.com/file/MCRO_27-CR-20-5618_Order-Evaluation for Competency to Proceed (Rule 20.01)_2023-08-22_20251126181021.pdf","MCRO_27-CR-20-5618_Order-Evaluation for Competency to Proceed (Rule 20.01)_2023-08-22_20251126181021.pdf")</f>
        <v>MCRO_27-CR-20-5618_Order-Evaluation for Competency to Proceed (Rule 20.01)_2023-08-22_20251126181021.pdf</v>
      </c>
      <c r="H120" s="1" t="n">
        <v>6</v>
      </c>
      <c r="I120" s="1" t="s">
        <v>1366</v>
      </c>
      <c r="J120" s="1" t="n">
        <v>2</v>
      </c>
      <c r="K120" s="1" t="n">
        <v>2</v>
      </c>
      <c r="L120" s="2" t="s">
        <v>1592</v>
      </c>
      <c r="M120" s="2" t="s">
        <v>1362</v>
      </c>
      <c r="N120" s="2" t="s">
        <v>1593</v>
      </c>
      <c r="O120" s="2" t="s">
        <v>1364</v>
      </c>
      <c r="P120" s="2" t="s">
        <v>1524</v>
      </c>
      <c r="Q120" s="1" t="n">
        <v>0</v>
      </c>
      <c r="R120" s="2" t="n">
        <v>855043</v>
      </c>
      <c r="S120" s="2" t="n">
        <v>871429</v>
      </c>
      <c r="T120" s="2" t="n">
        <v>4973</v>
      </c>
      <c r="U120" s="2" t="n">
        <v>860016</v>
      </c>
      <c r="V120" s="2" t="n">
        <v>98.13</v>
      </c>
      <c r="W120" s="2" t="s">
        <v>1360</v>
      </c>
    </row>
    <row r="121" customFormat="false" ht="18.7" hidden="false" customHeight="true" outlineLevel="0" collapsed="false">
      <c r="A121" s="1" t="n">
        <v>120</v>
      </c>
      <c r="B121" s="7" t="str">
        <f aca="false">HYPERLINK("https://mncourtfraud.com/file/27-CR-20-5618.pdf","27-CR-20-5618")</f>
        <v>27-CR-20-5618</v>
      </c>
      <c r="C121" s="1" t="n">
        <v>1</v>
      </c>
      <c r="D121" s="2" t="s">
        <v>12</v>
      </c>
      <c r="E121" s="8" t="n">
        <v>44460</v>
      </c>
      <c r="F121" s="2" t="s">
        <v>24</v>
      </c>
      <c r="G121" s="7" t="str">
        <f aca="false">HYPERLINK("https://mncourtfraud.com/file/MCRO_27-CR-20-5618_Order for Conditional Release_2021-09-21_20251126180857.pdf","MCRO_27-CR-20-5618_Order for Conditional Release_2021-09-21_20251126180857.pdf")</f>
        <v>MCRO_27-CR-20-5618_Order for Conditional Release_2021-09-21_20251126180857.pdf</v>
      </c>
      <c r="H121" s="1" t="n">
        <v>4</v>
      </c>
      <c r="I121" s="1" t="s">
        <v>1360</v>
      </c>
      <c r="J121" s="1" t="n">
        <v>1</v>
      </c>
      <c r="K121" s="1" t="n">
        <v>1</v>
      </c>
      <c r="L121" s="2" t="s">
        <v>1594</v>
      </c>
      <c r="M121" s="2" t="s">
        <v>1362</v>
      </c>
      <c r="N121" s="2" t="s">
        <v>1595</v>
      </c>
      <c r="O121" s="2" t="s">
        <v>1364</v>
      </c>
      <c r="P121" s="2" t="s">
        <v>1405</v>
      </c>
      <c r="Q121" s="1" t="n">
        <v>0</v>
      </c>
      <c r="R121" s="2" t="n">
        <v>84991</v>
      </c>
      <c r="S121" s="2" t="n">
        <v>101377</v>
      </c>
      <c r="T121" s="2" t="n">
        <v>4472</v>
      </c>
      <c r="U121" s="2" t="n">
        <v>89463</v>
      </c>
      <c r="V121" s="2" t="n">
        <v>84.52</v>
      </c>
      <c r="W121" s="2" t="s">
        <v>1360</v>
      </c>
    </row>
    <row r="122" customFormat="false" ht="18.7" hidden="false" customHeight="true" outlineLevel="0" collapsed="false">
      <c r="A122" s="1" t="n">
        <v>121</v>
      </c>
      <c r="B122" s="7" t="str">
        <f aca="false">HYPERLINK("https://mncourtfraud.com/file/27-CR-20-5618.pdf","27-CR-20-5618")</f>
        <v>27-CR-20-5618</v>
      </c>
      <c r="C122" s="1" t="n">
        <v>1</v>
      </c>
      <c r="D122" s="2" t="s">
        <v>12</v>
      </c>
      <c r="E122" s="8" t="n">
        <v>44468</v>
      </c>
      <c r="F122" s="2" t="s">
        <v>24</v>
      </c>
      <c r="G122" s="7" t="str">
        <f aca="false">HYPERLINK("https://mncourtfraud.com/file/MCRO_27-CR-20-5618_Order for Conditional Release_2021-09-29_20251126180905.pdf","MCRO_27-CR-20-5618_Order for Conditional Release_2021-09-29_20251126180905.pdf")</f>
        <v>MCRO_27-CR-20-5618_Order for Conditional Release_2021-09-29_20251126180905.pdf</v>
      </c>
      <c r="H122" s="1" t="n">
        <v>4</v>
      </c>
      <c r="I122" s="1" t="s">
        <v>1360</v>
      </c>
      <c r="J122" s="1" t="n">
        <v>1</v>
      </c>
      <c r="K122" s="1" t="n">
        <v>1</v>
      </c>
      <c r="L122" s="2" t="s">
        <v>1596</v>
      </c>
      <c r="M122" s="2" t="s">
        <v>1362</v>
      </c>
      <c r="N122" s="2" t="s">
        <v>1597</v>
      </c>
      <c r="O122" s="2" t="s">
        <v>1364</v>
      </c>
      <c r="P122" s="2" t="s">
        <v>1408</v>
      </c>
      <c r="Q122" s="1" t="n">
        <v>0</v>
      </c>
      <c r="R122" s="2" t="n">
        <v>130451</v>
      </c>
      <c r="S122" s="2" t="n">
        <v>146837</v>
      </c>
      <c r="T122" s="2" t="n">
        <v>4972</v>
      </c>
      <c r="U122" s="2" t="n">
        <v>135423</v>
      </c>
      <c r="V122" s="2" t="n">
        <v>89.21</v>
      </c>
      <c r="W122" s="2" t="s">
        <v>1360</v>
      </c>
    </row>
    <row r="123" customFormat="false" ht="18.7" hidden="false" customHeight="true" outlineLevel="0" collapsed="false">
      <c r="A123" s="1" t="n">
        <v>122</v>
      </c>
      <c r="B123" s="7" t="str">
        <f aca="false">HYPERLINK("https://mncourtfraud.com/file/27-CR-20-5618.pdf","27-CR-20-5618")</f>
        <v>27-CR-20-5618</v>
      </c>
      <c r="C123" s="1" t="n">
        <v>1</v>
      </c>
      <c r="D123" s="2" t="s">
        <v>12</v>
      </c>
      <c r="E123" s="8" t="n">
        <v>43970</v>
      </c>
      <c r="F123" s="2" t="s">
        <v>17</v>
      </c>
      <c r="G123" s="7" t="str">
        <f aca="false">HYPERLINK("https://mncourtfraud.com/file/MCRO_27-CR-20-5618_Returned Mail_2020-05-19_20251126181057.pdf","MCRO_27-CR-20-5618_Returned Mail_2020-05-19_20251126181057.pdf")</f>
        <v>MCRO_27-CR-20-5618_Returned Mail_2020-05-19_20251126181057.pdf</v>
      </c>
      <c r="H123" s="1" t="n">
        <v>4</v>
      </c>
      <c r="I123" s="1" t="s">
        <v>1360</v>
      </c>
      <c r="J123" s="1" t="n">
        <v>1</v>
      </c>
      <c r="K123" s="1" t="n">
        <v>1</v>
      </c>
      <c r="L123" s="2" t="s">
        <v>1598</v>
      </c>
      <c r="M123" s="2" t="s">
        <v>1362</v>
      </c>
      <c r="N123" s="2" t="s">
        <v>1599</v>
      </c>
      <c r="O123" s="2" t="s">
        <v>1364</v>
      </c>
      <c r="P123" s="2" t="s">
        <v>1411</v>
      </c>
      <c r="Q123" s="1" t="n">
        <v>0</v>
      </c>
      <c r="R123" s="2" t="n">
        <v>242015</v>
      </c>
      <c r="S123" s="2" t="n">
        <v>258401</v>
      </c>
      <c r="T123" s="2" t="n">
        <v>4524</v>
      </c>
      <c r="U123" s="2" t="n">
        <v>246539</v>
      </c>
      <c r="V123" s="2" t="n">
        <v>93.77</v>
      </c>
      <c r="W123" s="2" t="s">
        <v>1360</v>
      </c>
    </row>
    <row r="124" customFormat="false" ht="18.7" hidden="false" customHeight="true" outlineLevel="0" collapsed="false">
      <c r="A124" s="1" t="n">
        <v>123</v>
      </c>
      <c r="B124" s="7" t="str">
        <f aca="false">HYPERLINK("https://mncourtfraud.com/file/27-CR-20-693.pdf","27-CR-20-693")</f>
        <v>27-CR-20-693</v>
      </c>
      <c r="C124" s="1" t="n">
        <v>1</v>
      </c>
      <c r="D124" s="2" t="s">
        <v>12</v>
      </c>
      <c r="E124" s="8" t="n">
        <v>44103</v>
      </c>
      <c r="F124" s="2" t="s">
        <v>19</v>
      </c>
      <c r="G124" s="7" t="str">
        <f aca="false">HYPERLINK("https://mncourtfraud.com/file/MCRO_27-CR-20-693_Findings and Order_2020-09-29_20251126181151.pdf","MCRO_27-CR-20-693_Findings and Order_2020-09-29_20251126181151.pdf")</f>
        <v>MCRO_27-CR-20-693_Findings and Order_2020-09-29_20251126181151.pdf</v>
      </c>
      <c r="H124" s="1" t="n">
        <v>4</v>
      </c>
      <c r="I124" s="1" t="s">
        <v>1360</v>
      </c>
      <c r="J124" s="1" t="n">
        <v>1</v>
      </c>
      <c r="K124" s="1" t="n">
        <v>1</v>
      </c>
      <c r="L124" s="2" t="s">
        <v>1600</v>
      </c>
      <c r="M124" s="2" t="s">
        <v>1362</v>
      </c>
      <c r="N124" s="2" t="s">
        <v>1601</v>
      </c>
      <c r="O124" s="2" t="s">
        <v>1364</v>
      </c>
      <c r="P124" s="2" t="s">
        <v>1365</v>
      </c>
      <c r="Q124" s="1" t="n">
        <v>0</v>
      </c>
      <c r="R124" s="2" t="n">
        <v>314044</v>
      </c>
      <c r="S124" s="2" t="n">
        <v>330430</v>
      </c>
      <c r="T124" s="2" t="n">
        <v>4483</v>
      </c>
      <c r="U124" s="2" t="n">
        <v>318527</v>
      </c>
      <c r="V124" s="2" t="n">
        <v>95.11</v>
      </c>
      <c r="W124" s="2" t="s">
        <v>1360</v>
      </c>
    </row>
    <row r="125" customFormat="false" ht="18.7" hidden="false" customHeight="true" outlineLevel="0" collapsed="false">
      <c r="A125" s="1" t="n">
        <v>124</v>
      </c>
      <c r="B125" s="7" t="str">
        <f aca="false">HYPERLINK("https://mncourtfraud.com/file/27-CR-20-693.pdf","27-CR-20-693")</f>
        <v>27-CR-20-693</v>
      </c>
      <c r="C125" s="1" t="n">
        <v>1</v>
      </c>
      <c r="D125" s="2" t="s">
        <v>12</v>
      </c>
      <c r="E125" s="8" t="n">
        <v>44439</v>
      </c>
      <c r="F125" s="2" t="s">
        <v>19</v>
      </c>
      <c r="G125" s="7" t="str">
        <f aca="false">HYPERLINK("https://mncourtfraud.com/file/MCRO_27-CR-20-693_Findings and Order_2021-08-31_20251126181201.pdf","MCRO_27-CR-20-693_Findings and Order_2021-08-31_20251126181201.pdf")</f>
        <v>MCRO_27-CR-20-693_Findings and Order_2021-08-31_20251126181201.pdf</v>
      </c>
      <c r="H125" s="1" t="n">
        <v>5</v>
      </c>
      <c r="I125" s="1" t="s">
        <v>1366</v>
      </c>
      <c r="J125" s="1" t="n">
        <v>1</v>
      </c>
      <c r="K125" s="1" t="n">
        <v>1</v>
      </c>
      <c r="L125" s="2" t="s">
        <v>1367</v>
      </c>
      <c r="M125" s="2" t="s">
        <v>1368</v>
      </c>
      <c r="N125" s="2" t="s">
        <v>1369</v>
      </c>
      <c r="O125" s="2" t="s">
        <v>1364</v>
      </c>
      <c r="P125" s="2" t="s">
        <v>1370</v>
      </c>
      <c r="Q125" s="1" t="n">
        <v>0</v>
      </c>
      <c r="R125" s="2" t="n">
        <v>129996</v>
      </c>
      <c r="S125" s="2" t="n">
        <v>137690</v>
      </c>
      <c r="T125" s="2" t="n">
        <v>19979</v>
      </c>
      <c r="U125" s="2" t="n">
        <v>149975</v>
      </c>
      <c r="V125" s="2" t="n">
        <v>39.94</v>
      </c>
      <c r="W125" s="2" t="s">
        <v>1366</v>
      </c>
    </row>
    <row r="126" customFormat="false" ht="18.7" hidden="false" customHeight="true" outlineLevel="0" collapsed="false">
      <c r="A126" s="1" t="n">
        <v>125</v>
      </c>
      <c r="B126" s="7" t="str">
        <f aca="false">HYPERLINK("https://mncourtfraud.com/file/27-CR-20-693.pdf","27-CR-20-693")</f>
        <v>27-CR-20-693</v>
      </c>
      <c r="C126" s="1" t="n">
        <v>1</v>
      </c>
      <c r="D126" s="2" t="s">
        <v>12</v>
      </c>
      <c r="E126" s="8" t="n">
        <v>44439</v>
      </c>
      <c r="F126" s="2" t="s">
        <v>19</v>
      </c>
      <c r="G126" s="7" t="str">
        <f aca="false">HYPERLINK("https://mncourtfraud.com/file/MCRO_27-CR-20-693_Findings and Order_2021-08-31_20251126181201.pdf","MCRO_27-CR-20-693_Findings and Order_2021-08-31_20251126181201.pdf")</f>
        <v>MCRO_27-CR-20-693_Findings and Order_2021-08-31_20251126181201.pdf</v>
      </c>
      <c r="H126" s="1" t="n">
        <v>5</v>
      </c>
      <c r="I126" s="1" t="s">
        <v>1366</v>
      </c>
      <c r="J126" s="1" t="n">
        <v>2</v>
      </c>
      <c r="K126" s="1" t="n">
        <v>2</v>
      </c>
      <c r="L126" s="2" t="s">
        <v>1602</v>
      </c>
      <c r="M126" s="2" t="s">
        <v>1362</v>
      </c>
      <c r="N126" s="2" t="s">
        <v>1603</v>
      </c>
      <c r="O126" s="2" t="s">
        <v>1364</v>
      </c>
      <c r="P126" s="2" t="s">
        <v>1373</v>
      </c>
      <c r="Q126" s="1" t="n">
        <v>0</v>
      </c>
      <c r="R126" s="2" t="n">
        <v>354061</v>
      </c>
      <c r="S126" s="2" t="n">
        <v>370447</v>
      </c>
      <c r="T126" s="2" t="n">
        <v>5042</v>
      </c>
      <c r="U126" s="2" t="n">
        <v>359103</v>
      </c>
      <c r="V126" s="2" t="n">
        <v>95.64</v>
      </c>
      <c r="W126" s="2" t="s">
        <v>1360</v>
      </c>
    </row>
    <row r="127" customFormat="false" ht="18.7" hidden="false" customHeight="true" outlineLevel="0" collapsed="false">
      <c r="A127" s="1" t="n">
        <v>126</v>
      </c>
      <c r="B127" s="7" t="str">
        <f aca="false">HYPERLINK("https://mncourtfraud.com/file/27-CR-20-693.pdf","27-CR-20-693")</f>
        <v>27-CR-20-693</v>
      </c>
      <c r="C127" s="1" t="n">
        <v>1</v>
      </c>
      <c r="D127" s="2" t="s">
        <v>12</v>
      </c>
      <c r="E127" s="8" t="n">
        <v>44593</v>
      </c>
      <c r="F127" s="2" t="s">
        <v>19</v>
      </c>
      <c r="G127" s="7" t="str">
        <f aca="false">HYPERLINK("https://mncourtfraud.com/file/MCRO_27-CR-20-693_Findings and Order_2022-02-01_20251126181139.pdf","MCRO_27-CR-20-693_Findings and Order_2022-02-01_20251126181139.pdf")</f>
        <v>MCRO_27-CR-20-693_Findings and Order_2022-02-01_20251126181139.pdf</v>
      </c>
      <c r="H127" s="1" t="n">
        <v>4</v>
      </c>
      <c r="I127" s="1" t="s">
        <v>1360</v>
      </c>
      <c r="J127" s="1" t="n">
        <v>1</v>
      </c>
      <c r="K127" s="1" t="n">
        <v>1</v>
      </c>
      <c r="L127" s="2" t="s">
        <v>1367</v>
      </c>
      <c r="M127" s="2" t="s">
        <v>1368</v>
      </c>
      <c r="N127" s="2" t="s">
        <v>1374</v>
      </c>
      <c r="O127" s="2" t="s">
        <v>1364</v>
      </c>
      <c r="P127" s="2" t="s">
        <v>1375</v>
      </c>
      <c r="Q127" s="1" t="n">
        <v>0</v>
      </c>
      <c r="R127" s="2" t="n">
        <v>163153</v>
      </c>
      <c r="S127" s="2" t="n">
        <v>173205</v>
      </c>
      <c r="T127" s="2" t="n">
        <v>9683</v>
      </c>
      <c r="U127" s="2" t="n">
        <v>172836</v>
      </c>
      <c r="V127" s="2" t="n">
        <v>47.77</v>
      </c>
      <c r="W127" s="2" t="s">
        <v>1366</v>
      </c>
    </row>
    <row r="128" customFormat="false" ht="18.7" hidden="false" customHeight="true" outlineLevel="0" collapsed="false">
      <c r="A128" s="1" t="n">
        <v>127</v>
      </c>
      <c r="B128" s="7" t="str">
        <f aca="false">HYPERLINK("https://mncourtfraud.com/file/27-CR-20-693.pdf","27-CR-20-693")</f>
        <v>27-CR-20-693</v>
      </c>
      <c r="C128" s="1" t="n">
        <v>1</v>
      </c>
      <c r="D128" s="2" t="s">
        <v>12</v>
      </c>
      <c r="E128" s="8" t="n">
        <v>44593</v>
      </c>
      <c r="F128" s="2" t="s">
        <v>19</v>
      </c>
      <c r="G128" s="7" t="str">
        <f aca="false">HYPERLINK("https://mncourtfraud.com/file/MCRO_27-CR-20-693_Findings and Order_2022-02-01_20251126181139.pdf","MCRO_27-CR-20-693_Findings and Order_2022-02-01_20251126181139.pdf")</f>
        <v>MCRO_27-CR-20-693_Findings and Order_2022-02-01_20251126181139.pdf</v>
      </c>
      <c r="H128" s="1" t="n">
        <v>4</v>
      </c>
      <c r="I128" s="1" t="s">
        <v>1360</v>
      </c>
      <c r="J128" s="1" t="n">
        <v>2</v>
      </c>
      <c r="K128" s="1" t="n">
        <v>2</v>
      </c>
      <c r="L128" s="2" t="s">
        <v>1604</v>
      </c>
      <c r="M128" s="2" t="s">
        <v>1362</v>
      </c>
      <c r="N128" s="2" t="s">
        <v>1605</v>
      </c>
      <c r="O128" s="2" t="s">
        <v>1364</v>
      </c>
      <c r="P128" s="2" t="s">
        <v>1378</v>
      </c>
      <c r="Q128" s="1" t="n">
        <v>0</v>
      </c>
      <c r="R128" s="2" t="n">
        <v>340309</v>
      </c>
      <c r="S128" s="2" t="n">
        <v>356695</v>
      </c>
      <c r="T128" s="2" t="n">
        <v>5091</v>
      </c>
      <c r="U128" s="2" t="n">
        <v>345400</v>
      </c>
      <c r="V128" s="2" t="n">
        <v>95.47</v>
      </c>
      <c r="W128" s="2" t="s">
        <v>1360</v>
      </c>
    </row>
    <row r="129" customFormat="false" ht="18.7" hidden="false" customHeight="true" outlineLevel="0" collapsed="false">
      <c r="A129" s="1" t="n">
        <v>128</v>
      </c>
      <c r="B129" s="7" t="str">
        <f aca="false">HYPERLINK("https://mncourtfraud.com/file/27-CR-20-693.pdf","27-CR-20-693")</f>
        <v>27-CR-20-693</v>
      </c>
      <c r="C129" s="1" t="n">
        <v>1</v>
      </c>
      <c r="D129" s="2" t="s">
        <v>12</v>
      </c>
      <c r="E129" s="8" t="n">
        <v>43844</v>
      </c>
      <c r="F129" s="2" t="s">
        <v>13</v>
      </c>
      <c r="G129" s="7" t="str">
        <f aca="false">HYPERLINK("https://mncourtfraud.com/file/MCRO_27-CR-20-693_Find of Fact-Order, Pet Commitment-Dfd Found Incompetent_2020-01-14_20251126181126.pdf","MCRO_27-CR-20-693_Find of Fact-Order, Pet Commitment-Dfd Found Incompetent_2020-01-14_20251126181126.pdf")</f>
        <v>MCRO_27-CR-20-693_Find of Fact-Order, Pet Commitment-Dfd Found Incompetent_2020-01-14_20251126181126.pdf</v>
      </c>
      <c r="H129" s="1" t="n">
        <v>5</v>
      </c>
      <c r="I129" s="1" t="s">
        <v>1360</v>
      </c>
      <c r="J129" s="1" t="n">
        <v>1</v>
      </c>
      <c r="K129" s="1" t="n">
        <v>1</v>
      </c>
      <c r="L129" s="2" t="s">
        <v>1606</v>
      </c>
      <c r="M129" s="2" t="s">
        <v>1362</v>
      </c>
      <c r="N129" s="2" t="s">
        <v>1607</v>
      </c>
      <c r="O129" s="2" t="s">
        <v>1364</v>
      </c>
      <c r="P129" s="2" t="s">
        <v>1381</v>
      </c>
      <c r="Q129" s="1" t="n">
        <v>0</v>
      </c>
      <c r="R129" s="2" t="n">
        <v>210718</v>
      </c>
      <c r="S129" s="2" t="n">
        <v>227104</v>
      </c>
      <c r="T129" s="2" t="n">
        <v>5551</v>
      </c>
      <c r="U129" s="2" t="n">
        <v>216269</v>
      </c>
      <c r="V129" s="2" t="n">
        <v>92.96</v>
      </c>
      <c r="W129" s="2" t="s">
        <v>1360</v>
      </c>
    </row>
    <row r="130" customFormat="false" ht="18.7" hidden="false" customHeight="true" outlineLevel="0" collapsed="false">
      <c r="A130" s="1" t="n">
        <v>129</v>
      </c>
      <c r="B130" s="7" t="str">
        <f aca="false">HYPERLINK("https://mncourtfraud.com/file/27-CR-20-693.pdf","27-CR-20-693")</f>
        <v>27-CR-20-693</v>
      </c>
      <c r="C130" s="1" t="n">
        <v>1</v>
      </c>
      <c r="D130" s="2" t="s">
        <v>12</v>
      </c>
      <c r="E130" s="8" t="n">
        <v>43902</v>
      </c>
      <c r="F130" s="2" t="s">
        <v>15</v>
      </c>
      <c r="G130" s="7" t="str">
        <f aca="false">HYPERLINK("https://mncourtfraud.com/file/MCRO_27-CR-20-693_Order-Evaluation for Competency to Proceed (Rule 20.01)_2020-03-12_20251126181339.pdf","MCRO_27-CR-20-693_Order-Evaluation for Competency to Proceed (Rule 20.01)_2020-03-12_20251126181339.pdf")</f>
        <v>MCRO_27-CR-20-693_Order-Evaluation for Competency to Proceed (Rule 20.01)_2020-03-12_20251126181339.pdf</v>
      </c>
      <c r="H130" s="1" t="n">
        <v>4</v>
      </c>
      <c r="I130" s="1" t="s">
        <v>1360</v>
      </c>
      <c r="J130" s="1" t="n">
        <v>1</v>
      </c>
      <c r="K130" s="1" t="n">
        <v>1</v>
      </c>
      <c r="L130" s="2" t="s">
        <v>1608</v>
      </c>
      <c r="M130" s="2" t="s">
        <v>1362</v>
      </c>
      <c r="N130" s="2" t="s">
        <v>1609</v>
      </c>
      <c r="O130" s="2" t="s">
        <v>1364</v>
      </c>
      <c r="P130" s="2" t="s">
        <v>1384</v>
      </c>
      <c r="Q130" s="1" t="n">
        <v>0</v>
      </c>
      <c r="R130" s="2" t="n">
        <v>1155579</v>
      </c>
      <c r="S130" s="2" t="n">
        <v>1171965</v>
      </c>
      <c r="T130" s="2" t="n">
        <v>8614</v>
      </c>
      <c r="U130" s="2" t="n">
        <v>1164193</v>
      </c>
      <c r="V130" s="2" t="n">
        <v>98.61</v>
      </c>
      <c r="W130" s="2" t="s">
        <v>1360</v>
      </c>
    </row>
    <row r="131" customFormat="false" ht="18.7" hidden="false" customHeight="true" outlineLevel="0" collapsed="false">
      <c r="A131" s="1" t="n">
        <v>130</v>
      </c>
      <c r="B131" s="7" t="str">
        <f aca="false">HYPERLINK("https://mncourtfraud.com/file/27-CR-20-693.pdf","27-CR-20-693")</f>
        <v>27-CR-20-693</v>
      </c>
      <c r="C131" s="1" t="n">
        <v>1</v>
      </c>
      <c r="D131" s="2" t="s">
        <v>12</v>
      </c>
      <c r="E131" s="8" t="n">
        <v>44225</v>
      </c>
      <c r="F131" s="2" t="s">
        <v>15</v>
      </c>
      <c r="G131" s="7" t="str">
        <f aca="false">HYPERLINK("https://mncourtfraud.com/file/MCRO_27-CR-20-693_Order-Evaluation for Competency to Proceed (Rule 20.01)_2021-01-29_20251126181349.pdf","MCRO_27-CR-20-693_Order-Evaluation for Competency to Proceed (Rule 20.01)_2021-01-29_20251126181349.pdf")</f>
        <v>MCRO_27-CR-20-693_Order-Evaluation for Competency to Proceed (Rule 20.01)_2021-01-29_20251126181349.pdf</v>
      </c>
      <c r="H131" s="1" t="n">
        <v>3</v>
      </c>
      <c r="I131" s="1" t="s">
        <v>1360</v>
      </c>
      <c r="J131" s="1" t="n">
        <v>1</v>
      </c>
      <c r="K131" s="1" t="n">
        <v>1</v>
      </c>
      <c r="L131" s="2" t="s">
        <v>1610</v>
      </c>
      <c r="M131" s="2" t="s">
        <v>1362</v>
      </c>
      <c r="N131" s="2" t="s">
        <v>1611</v>
      </c>
      <c r="O131" s="2" t="s">
        <v>1364</v>
      </c>
      <c r="P131" s="2" t="s">
        <v>1387</v>
      </c>
      <c r="Q131" s="1" t="n">
        <v>0</v>
      </c>
      <c r="R131" s="2" t="n">
        <v>432735</v>
      </c>
      <c r="S131" s="2" t="n">
        <v>449121</v>
      </c>
      <c r="T131" s="2" t="n">
        <v>5077</v>
      </c>
      <c r="U131" s="2" t="n">
        <v>437812</v>
      </c>
      <c r="V131" s="2" t="n">
        <v>96.39</v>
      </c>
      <c r="W131" s="2" t="s">
        <v>1360</v>
      </c>
    </row>
    <row r="132" customFormat="false" ht="18.7" hidden="false" customHeight="true" outlineLevel="0" collapsed="false">
      <c r="A132" s="1" t="n">
        <v>131</v>
      </c>
      <c r="B132" s="7" t="str">
        <f aca="false">HYPERLINK("https://mncourtfraud.com/file/27-CR-20-693.pdf","27-CR-20-693")</f>
        <v>27-CR-20-693</v>
      </c>
      <c r="C132" s="1" t="n">
        <v>1</v>
      </c>
      <c r="D132" s="2" t="s">
        <v>12</v>
      </c>
      <c r="E132" s="8" t="n">
        <v>44396</v>
      </c>
      <c r="F132" s="2" t="s">
        <v>15</v>
      </c>
      <c r="G132" s="7" t="str">
        <f aca="false">HYPERLINK("https://mncourtfraud.com/file/MCRO_27-CR-20-693_Order-Evaluation for Competency to Proceed (Rule 20.01)_2021-07-19_20251126181241.pdf","MCRO_27-CR-20-693_Order-Evaluation for Competency to Proceed (Rule 20.01)_2021-07-19_20251126181241.pdf")</f>
        <v>MCRO_27-CR-20-693_Order-Evaluation for Competency to Proceed (Rule 20.01)_2021-07-19_20251126181241.pdf</v>
      </c>
      <c r="H132" s="1" t="n">
        <v>4</v>
      </c>
      <c r="I132" s="1" t="s">
        <v>1360</v>
      </c>
      <c r="J132" s="1" t="n">
        <v>1</v>
      </c>
      <c r="K132" s="1" t="n">
        <v>1</v>
      </c>
      <c r="L132" s="2" t="s">
        <v>1612</v>
      </c>
      <c r="M132" s="2" t="s">
        <v>1362</v>
      </c>
      <c r="N132" s="2" t="s">
        <v>1613</v>
      </c>
      <c r="O132" s="2" t="s">
        <v>1364</v>
      </c>
      <c r="P132" s="2" t="s">
        <v>1390</v>
      </c>
      <c r="Q132" s="1" t="n">
        <v>0</v>
      </c>
      <c r="R132" s="2" t="n">
        <v>168379</v>
      </c>
      <c r="S132" s="2" t="n">
        <v>184765</v>
      </c>
      <c r="T132" s="2" t="n">
        <v>8533</v>
      </c>
      <c r="U132" s="2" t="n">
        <v>176912</v>
      </c>
      <c r="V132" s="2" t="n">
        <v>91.52</v>
      </c>
      <c r="W132" s="2" t="s">
        <v>1360</v>
      </c>
    </row>
    <row r="133" customFormat="false" ht="18.7" hidden="false" customHeight="true" outlineLevel="0" collapsed="false">
      <c r="A133" s="1" t="n">
        <v>132</v>
      </c>
      <c r="B133" s="7" t="str">
        <f aca="false">HYPERLINK("https://mncourtfraud.com/file/27-CR-20-693.pdf","27-CR-20-693")</f>
        <v>27-CR-20-693</v>
      </c>
      <c r="C133" s="1" t="n">
        <v>1</v>
      </c>
      <c r="D133" s="2" t="s">
        <v>12</v>
      </c>
      <c r="E133" s="8" t="n">
        <v>44543</v>
      </c>
      <c r="F133" s="2" t="s">
        <v>15</v>
      </c>
      <c r="G133" s="7" t="str">
        <f aca="false">HYPERLINK("https://mncourtfraud.com/file/MCRO_27-CR-20-693_Order-Evaluation for Competency to Proceed (Rule 20.01)_2021-12-13_20251126181255.pdf","MCRO_27-CR-20-693_Order-Evaluation for Competency to Proceed (Rule 20.01)_2021-12-13_20251126181255.pdf")</f>
        <v>MCRO_27-CR-20-693_Order-Evaluation for Competency to Proceed (Rule 20.01)_2021-12-13_20251126181255.pdf</v>
      </c>
      <c r="H133" s="1" t="n">
        <v>3</v>
      </c>
      <c r="I133" s="1" t="s">
        <v>1360</v>
      </c>
      <c r="J133" s="1" t="n">
        <v>1</v>
      </c>
      <c r="K133" s="1" t="n">
        <v>1</v>
      </c>
      <c r="L133" s="2" t="s">
        <v>1614</v>
      </c>
      <c r="M133" s="2" t="s">
        <v>1362</v>
      </c>
      <c r="N133" s="2" t="s">
        <v>1615</v>
      </c>
      <c r="O133" s="2" t="s">
        <v>1364</v>
      </c>
      <c r="P133" s="2" t="s">
        <v>1393</v>
      </c>
      <c r="Q133" s="1" t="n">
        <v>0</v>
      </c>
      <c r="R133" s="2" t="n">
        <v>212331</v>
      </c>
      <c r="S133" s="2" t="n">
        <v>228717</v>
      </c>
      <c r="T133" s="2" t="n">
        <v>5133</v>
      </c>
      <c r="U133" s="2" t="n">
        <v>217464</v>
      </c>
      <c r="V133" s="2" t="n">
        <v>92.99</v>
      </c>
      <c r="W133" s="2" t="s">
        <v>1360</v>
      </c>
    </row>
    <row r="134" customFormat="false" ht="18.7" hidden="false" customHeight="true" outlineLevel="0" collapsed="false">
      <c r="A134" s="1" t="n">
        <v>133</v>
      </c>
      <c r="B134" s="7" t="str">
        <f aca="false">HYPERLINK("https://mncourtfraud.com/file/27-CR-20-693.pdf","27-CR-20-693")</f>
        <v>27-CR-20-693</v>
      </c>
      <c r="C134" s="1" t="n">
        <v>1</v>
      </c>
      <c r="D134" s="2" t="s">
        <v>12</v>
      </c>
      <c r="E134" s="8" t="n">
        <v>44558</v>
      </c>
      <c r="F134" s="2" t="s">
        <v>15</v>
      </c>
      <c r="G134" s="7" t="str">
        <f aca="false">HYPERLINK("https://mncourtfraud.com/file/MCRO_27-CR-20-693_Order-Evaluation for Competency to Proceed (Rule 20.01)_2021-12-28_20251126181306.pdf","MCRO_27-CR-20-693_Order-Evaluation for Competency to Proceed (Rule 20.01)_2021-12-28_20251126181306.pdf")</f>
        <v>MCRO_27-CR-20-693_Order-Evaluation for Competency to Proceed (Rule 20.01)_2021-12-28_20251126181306.pdf</v>
      </c>
      <c r="H134" s="1" t="n">
        <v>4</v>
      </c>
      <c r="I134" s="1" t="s">
        <v>1360</v>
      </c>
      <c r="J134" s="1" t="n">
        <v>1</v>
      </c>
      <c r="K134" s="1" t="n">
        <v>1</v>
      </c>
      <c r="L134" s="2" t="s">
        <v>1616</v>
      </c>
      <c r="M134" s="2" t="s">
        <v>1362</v>
      </c>
      <c r="N134" s="2" t="s">
        <v>1617</v>
      </c>
      <c r="O134" s="2" t="s">
        <v>1364</v>
      </c>
      <c r="P134" s="2" t="s">
        <v>1396</v>
      </c>
      <c r="Q134" s="1" t="n">
        <v>0</v>
      </c>
      <c r="R134" s="2" t="n">
        <v>215757</v>
      </c>
      <c r="S134" s="2" t="n">
        <v>232143</v>
      </c>
      <c r="T134" s="2" t="n">
        <v>8578</v>
      </c>
      <c r="U134" s="2" t="n">
        <v>224335</v>
      </c>
      <c r="V134" s="2" t="n">
        <v>93.19</v>
      </c>
      <c r="W134" s="2" t="s">
        <v>1360</v>
      </c>
    </row>
    <row r="135" customFormat="false" ht="18.7" hidden="false" customHeight="true" outlineLevel="0" collapsed="false">
      <c r="A135" s="1" t="n">
        <v>134</v>
      </c>
      <c r="B135" s="7" t="str">
        <f aca="false">HYPERLINK("https://mncourtfraud.com/file/27-CR-20-693.pdf","27-CR-20-693")</f>
        <v>27-CR-20-693</v>
      </c>
      <c r="C135" s="1" t="n">
        <v>1</v>
      </c>
      <c r="D135" s="2" t="s">
        <v>12</v>
      </c>
      <c r="E135" s="8" t="n">
        <v>44692</v>
      </c>
      <c r="F135" s="2" t="s">
        <v>15</v>
      </c>
      <c r="G135" s="7" t="str">
        <f aca="false">HYPERLINK("https://mncourtfraud.com/file/MCRO_27-CR-20-693_Order-Evaluation for Competency to Proceed (Rule 20.01)_2022-05-11_20251126181315.pdf","MCRO_27-CR-20-693_Order-Evaluation for Competency to Proceed (Rule 20.01)_2022-05-11_20251126181315.pdf")</f>
        <v>MCRO_27-CR-20-693_Order-Evaluation for Competency to Proceed (Rule 20.01)_2022-05-11_20251126181315.pdf</v>
      </c>
      <c r="H135" s="1" t="n">
        <v>3</v>
      </c>
      <c r="I135" s="1" t="s">
        <v>1360</v>
      </c>
      <c r="J135" s="1" t="n">
        <v>1</v>
      </c>
      <c r="K135" s="1" t="n">
        <v>1</v>
      </c>
      <c r="L135" s="2" t="s">
        <v>1618</v>
      </c>
      <c r="M135" s="2" t="s">
        <v>1362</v>
      </c>
      <c r="N135" s="2" t="s">
        <v>1619</v>
      </c>
      <c r="O135" s="2" t="s">
        <v>1364</v>
      </c>
      <c r="P135" s="2" t="s">
        <v>1399</v>
      </c>
      <c r="Q135" s="1" t="n">
        <v>0</v>
      </c>
      <c r="R135" s="2" t="n">
        <v>218698</v>
      </c>
      <c r="S135" s="2" t="n">
        <v>235084</v>
      </c>
      <c r="T135" s="2" t="n">
        <v>4728</v>
      </c>
      <c r="U135" s="2" t="n">
        <v>223426</v>
      </c>
      <c r="V135" s="2" t="n">
        <v>93.17</v>
      </c>
      <c r="W135" s="2" t="s">
        <v>1360</v>
      </c>
    </row>
    <row r="136" customFormat="false" ht="18.7" hidden="false" customHeight="true" outlineLevel="0" collapsed="false">
      <c r="A136" s="1" t="n">
        <v>135</v>
      </c>
      <c r="B136" s="7" t="str">
        <f aca="false">HYPERLINK("https://mncourtfraud.com/file/27-CR-20-693.pdf","27-CR-20-693")</f>
        <v>27-CR-20-693</v>
      </c>
      <c r="C136" s="1" t="n">
        <v>1</v>
      </c>
      <c r="D136" s="2" t="s">
        <v>12</v>
      </c>
      <c r="E136" s="8" t="n">
        <v>44895</v>
      </c>
      <c r="F136" s="2" t="s">
        <v>15</v>
      </c>
      <c r="G136" s="7" t="str">
        <f aca="false">HYPERLINK("https://mncourtfraud.com/file/MCRO_27-CR-20-693_Order-Evaluation for Competency to Proceed (Rule 20.01)_2022-11-30_20251126181327.pdf","MCRO_27-CR-20-693_Order-Evaluation for Competency to Proceed (Rule 20.01)_2022-11-30_20251126181327.pdf")</f>
        <v>MCRO_27-CR-20-693_Order-Evaluation for Competency to Proceed (Rule 20.01)_2022-11-30_20251126181327.pdf</v>
      </c>
      <c r="H136" s="1" t="n">
        <v>4</v>
      </c>
      <c r="I136" s="1" t="s">
        <v>1360</v>
      </c>
      <c r="J136" s="1" t="n">
        <v>1</v>
      </c>
      <c r="K136" s="1" t="n">
        <v>1</v>
      </c>
      <c r="L136" s="2" t="s">
        <v>1620</v>
      </c>
      <c r="M136" s="2" t="s">
        <v>1362</v>
      </c>
      <c r="N136" s="2" t="s">
        <v>1621</v>
      </c>
      <c r="O136" s="2" t="s">
        <v>1364</v>
      </c>
      <c r="P136" s="2" t="s">
        <v>1402</v>
      </c>
      <c r="Q136" s="1" t="n">
        <v>0</v>
      </c>
      <c r="R136" s="2" t="n">
        <v>795532</v>
      </c>
      <c r="S136" s="2" t="n">
        <v>811918</v>
      </c>
      <c r="T136" s="2" t="n">
        <v>5080</v>
      </c>
      <c r="U136" s="2" t="n">
        <v>800612</v>
      </c>
      <c r="V136" s="2" t="n">
        <v>97.99</v>
      </c>
      <c r="W136" s="2" t="s">
        <v>1360</v>
      </c>
    </row>
    <row r="137" customFormat="false" ht="18.7" hidden="false" customHeight="true" outlineLevel="0" collapsed="false">
      <c r="A137" s="1" t="n">
        <v>136</v>
      </c>
      <c r="B137" s="7" t="str">
        <f aca="false">HYPERLINK("https://mncourtfraud.com/file/27-CR-20-693.pdf","27-CR-20-693")</f>
        <v>27-CR-20-693</v>
      </c>
      <c r="C137" s="1" t="n">
        <v>1</v>
      </c>
      <c r="D137" s="2" t="s">
        <v>12</v>
      </c>
      <c r="E137" s="8" t="n">
        <v>44460</v>
      </c>
      <c r="F137" s="2" t="s">
        <v>24</v>
      </c>
      <c r="G137" s="7" t="str">
        <f aca="false">HYPERLINK("https://mncourtfraud.com/file/MCRO_27-CR-20-693_Order for Conditional Release_2021-09-21_20251126181227.pdf","MCRO_27-CR-20-693_Order for Conditional Release_2021-09-21_20251126181227.pdf")</f>
        <v>MCRO_27-CR-20-693_Order for Conditional Release_2021-09-21_20251126181227.pdf</v>
      </c>
      <c r="H137" s="1" t="n">
        <v>4</v>
      </c>
      <c r="I137" s="1" t="s">
        <v>1360</v>
      </c>
      <c r="J137" s="1" t="n">
        <v>1</v>
      </c>
      <c r="K137" s="1" t="n">
        <v>1</v>
      </c>
      <c r="L137" s="2" t="s">
        <v>1622</v>
      </c>
      <c r="M137" s="2" t="s">
        <v>1362</v>
      </c>
      <c r="N137" s="2" t="s">
        <v>1623</v>
      </c>
      <c r="O137" s="2" t="s">
        <v>1364</v>
      </c>
      <c r="P137" s="2" t="s">
        <v>1405</v>
      </c>
      <c r="Q137" s="1" t="n">
        <v>0</v>
      </c>
      <c r="R137" s="2" t="n">
        <v>84991</v>
      </c>
      <c r="S137" s="2" t="n">
        <v>101377</v>
      </c>
      <c r="T137" s="2" t="n">
        <v>4472</v>
      </c>
      <c r="U137" s="2" t="n">
        <v>89463</v>
      </c>
      <c r="V137" s="2" t="n">
        <v>84.52</v>
      </c>
      <c r="W137" s="2" t="s">
        <v>1360</v>
      </c>
    </row>
    <row r="138" customFormat="false" ht="18.7" hidden="false" customHeight="true" outlineLevel="0" collapsed="false">
      <c r="A138" s="1" t="n">
        <v>137</v>
      </c>
      <c r="B138" s="7" t="str">
        <f aca="false">HYPERLINK("https://mncourtfraud.com/file/27-CR-20-693.pdf","27-CR-20-693")</f>
        <v>27-CR-20-693</v>
      </c>
      <c r="C138" s="1" t="n">
        <v>1</v>
      </c>
      <c r="D138" s="2" t="s">
        <v>12</v>
      </c>
      <c r="E138" s="8" t="n">
        <v>44468</v>
      </c>
      <c r="F138" s="2" t="s">
        <v>24</v>
      </c>
      <c r="G138" s="7" t="str">
        <f aca="false">HYPERLINK("https://mncourtfraud.com/file/MCRO_27-CR-20-693_Order for Conditional Release_2021-09-29_20251126181223.pdf","MCRO_27-CR-20-693_Order for Conditional Release_2021-09-29_20251126181223.pdf")</f>
        <v>MCRO_27-CR-20-693_Order for Conditional Release_2021-09-29_20251126181223.pdf</v>
      </c>
      <c r="H138" s="1" t="n">
        <v>4</v>
      </c>
      <c r="I138" s="1" t="s">
        <v>1360</v>
      </c>
      <c r="J138" s="1" t="n">
        <v>1</v>
      </c>
      <c r="K138" s="1" t="n">
        <v>1</v>
      </c>
      <c r="L138" s="2" t="s">
        <v>1624</v>
      </c>
      <c r="M138" s="2" t="s">
        <v>1362</v>
      </c>
      <c r="N138" s="2" t="s">
        <v>1625</v>
      </c>
      <c r="O138" s="2" t="s">
        <v>1364</v>
      </c>
      <c r="P138" s="2" t="s">
        <v>1408</v>
      </c>
      <c r="Q138" s="1" t="n">
        <v>0</v>
      </c>
      <c r="R138" s="2" t="n">
        <v>130450</v>
      </c>
      <c r="S138" s="2" t="n">
        <v>146836</v>
      </c>
      <c r="T138" s="2" t="n">
        <v>4972</v>
      </c>
      <c r="U138" s="2" t="n">
        <v>135422</v>
      </c>
      <c r="V138" s="2" t="n">
        <v>89.21</v>
      </c>
      <c r="W138" s="2" t="s">
        <v>1360</v>
      </c>
    </row>
    <row r="139" customFormat="false" ht="18.7" hidden="false" customHeight="true" outlineLevel="0" collapsed="false">
      <c r="A139" s="1" t="n">
        <v>138</v>
      </c>
      <c r="B139" s="7" t="str">
        <f aca="false">HYPERLINK("https://mncourtfraud.com/file/27-CR-20-693.pdf","27-CR-20-693")</f>
        <v>27-CR-20-693</v>
      </c>
      <c r="C139" s="1" t="n">
        <v>1</v>
      </c>
      <c r="D139" s="2" t="s">
        <v>12</v>
      </c>
      <c r="E139" s="8" t="n">
        <v>43970</v>
      </c>
      <c r="F139" s="2" t="s">
        <v>17</v>
      </c>
      <c r="G139" s="7" t="str">
        <f aca="false">HYPERLINK("https://mncourtfraud.com/file/MCRO_27-CR-20-693_Returned Mail_2020-05-19_20251126181401.pdf","MCRO_27-CR-20-693_Returned Mail_2020-05-19_20251126181401.pdf")</f>
        <v>MCRO_27-CR-20-693_Returned Mail_2020-05-19_20251126181401.pdf</v>
      </c>
      <c r="H139" s="1" t="n">
        <v>4</v>
      </c>
      <c r="I139" s="1" t="s">
        <v>1360</v>
      </c>
      <c r="J139" s="1" t="n">
        <v>1</v>
      </c>
      <c r="K139" s="1" t="n">
        <v>1</v>
      </c>
      <c r="L139" s="2" t="s">
        <v>1626</v>
      </c>
      <c r="M139" s="2" t="s">
        <v>1362</v>
      </c>
      <c r="N139" s="2" t="s">
        <v>1627</v>
      </c>
      <c r="O139" s="2" t="s">
        <v>1364</v>
      </c>
      <c r="P139" s="2" t="s">
        <v>1411</v>
      </c>
      <c r="Q139" s="1" t="n">
        <v>0</v>
      </c>
      <c r="R139" s="2" t="n">
        <v>242019</v>
      </c>
      <c r="S139" s="2" t="n">
        <v>258405</v>
      </c>
      <c r="T139" s="2" t="n">
        <v>4525</v>
      </c>
      <c r="U139" s="2" t="n">
        <v>246544</v>
      </c>
      <c r="V139" s="2" t="n">
        <v>93.77</v>
      </c>
      <c r="W139" s="2" t="s">
        <v>1360</v>
      </c>
    </row>
    <row r="140" customFormat="false" ht="18.7" hidden="false" customHeight="true" outlineLevel="0" collapsed="false">
      <c r="A140" s="1" t="n">
        <v>139</v>
      </c>
      <c r="B140" s="7" t="str">
        <f aca="false">HYPERLINK("https://mncourtfraud.com/file/27-CR-21-10185.pdf","27-CR-21-10185")</f>
        <v>27-CR-21-10185</v>
      </c>
      <c r="C140" s="1" t="n">
        <v>1</v>
      </c>
      <c r="D140" s="2" t="s">
        <v>12</v>
      </c>
      <c r="E140" s="8" t="n">
        <v>44439</v>
      </c>
      <c r="F140" s="2" t="s">
        <v>19</v>
      </c>
      <c r="G140" s="7" t="str">
        <f aca="false">HYPERLINK("https://mncourtfraud.com/file/MCRO_27-CR-21-10185_Findings and Order_2021-08-31_20251126181437.pdf","MCRO_27-CR-21-10185_Findings and Order_2021-08-31_20251126181437.pdf")</f>
        <v>MCRO_27-CR-21-10185_Findings and Order_2021-08-31_20251126181437.pdf</v>
      </c>
      <c r="H140" s="1" t="n">
        <v>5</v>
      </c>
      <c r="I140" s="1" t="s">
        <v>1366</v>
      </c>
      <c r="J140" s="1" t="n">
        <v>1</v>
      </c>
      <c r="K140" s="1" t="n">
        <v>1</v>
      </c>
      <c r="L140" s="2" t="s">
        <v>1367</v>
      </c>
      <c r="M140" s="2" t="s">
        <v>1368</v>
      </c>
      <c r="N140" s="2" t="s">
        <v>1369</v>
      </c>
      <c r="O140" s="2" t="s">
        <v>1364</v>
      </c>
      <c r="P140" s="2" t="s">
        <v>1370</v>
      </c>
      <c r="Q140" s="1" t="n">
        <v>0</v>
      </c>
      <c r="R140" s="2" t="n">
        <v>129996</v>
      </c>
      <c r="S140" s="2" t="n">
        <v>137690</v>
      </c>
      <c r="T140" s="2" t="n">
        <v>19979</v>
      </c>
      <c r="U140" s="2" t="n">
        <v>149975</v>
      </c>
      <c r="V140" s="2" t="n">
        <v>39.94</v>
      </c>
      <c r="W140" s="2" t="s">
        <v>1366</v>
      </c>
    </row>
    <row r="141" customFormat="false" ht="18.7" hidden="false" customHeight="true" outlineLevel="0" collapsed="false">
      <c r="A141" s="1" t="n">
        <v>140</v>
      </c>
      <c r="B141" s="7" t="str">
        <f aca="false">HYPERLINK("https://mncourtfraud.com/file/27-CR-21-10185.pdf","27-CR-21-10185")</f>
        <v>27-CR-21-10185</v>
      </c>
      <c r="C141" s="1" t="n">
        <v>1</v>
      </c>
      <c r="D141" s="2" t="s">
        <v>12</v>
      </c>
      <c r="E141" s="8" t="n">
        <v>44439</v>
      </c>
      <c r="F141" s="2" t="s">
        <v>19</v>
      </c>
      <c r="G141" s="7" t="str">
        <f aca="false">HYPERLINK("https://mncourtfraud.com/file/MCRO_27-CR-21-10185_Findings and Order_2021-08-31_20251126181437.pdf","MCRO_27-CR-21-10185_Findings and Order_2021-08-31_20251126181437.pdf")</f>
        <v>MCRO_27-CR-21-10185_Findings and Order_2021-08-31_20251126181437.pdf</v>
      </c>
      <c r="H141" s="1" t="n">
        <v>5</v>
      </c>
      <c r="I141" s="1" t="s">
        <v>1366</v>
      </c>
      <c r="J141" s="1" t="n">
        <v>2</v>
      </c>
      <c r="K141" s="1" t="n">
        <v>2</v>
      </c>
      <c r="L141" s="2" t="s">
        <v>1628</v>
      </c>
      <c r="M141" s="2" t="s">
        <v>1362</v>
      </c>
      <c r="N141" s="2" t="s">
        <v>1629</v>
      </c>
      <c r="O141" s="2" t="s">
        <v>1364</v>
      </c>
      <c r="P141" s="2" t="s">
        <v>1373</v>
      </c>
      <c r="Q141" s="1" t="n">
        <v>0</v>
      </c>
      <c r="R141" s="2" t="n">
        <v>354063</v>
      </c>
      <c r="S141" s="2" t="n">
        <v>370449</v>
      </c>
      <c r="T141" s="2" t="n">
        <v>5042</v>
      </c>
      <c r="U141" s="2" t="n">
        <v>359105</v>
      </c>
      <c r="V141" s="2" t="n">
        <v>95.64</v>
      </c>
      <c r="W141" s="2" t="s">
        <v>1360</v>
      </c>
    </row>
    <row r="142" customFormat="false" ht="18.7" hidden="false" customHeight="true" outlineLevel="0" collapsed="false">
      <c r="A142" s="1" t="n">
        <v>141</v>
      </c>
      <c r="B142" s="7" t="str">
        <f aca="false">HYPERLINK("https://mncourtfraud.com/file/27-CR-21-10185.pdf","27-CR-21-10185")</f>
        <v>27-CR-21-10185</v>
      </c>
      <c r="C142" s="1" t="n">
        <v>1</v>
      </c>
      <c r="D142" s="2" t="s">
        <v>12</v>
      </c>
      <c r="E142" s="8" t="n">
        <v>44593</v>
      </c>
      <c r="F142" s="2" t="s">
        <v>19</v>
      </c>
      <c r="G142" s="7" t="str">
        <f aca="false">HYPERLINK("https://mncourtfraud.com/file/MCRO_27-CR-21-10185_Findings and Order_2022-02-01_20251126181428.pdf","MCRO_27-CR-21-10185_Findings and Order_2022-02-01_20251126181428.pdf")</f>
        <v>MCRO_27-CR-21-10185_Findings and Order_2022-02-01_20251126181428.pdf</v>
      </c>
      <c r="H142" s="1" t="n">
        <v>4</v>
      </c>
      <c r="I142" s="1" t="s">
        <v>1360</v>
      </c>
      <c r="J142" s="1" t="n">
        <v>1</v>
      </c>
      <c r="K142" s="1" t="n">
        <v>1</v>
      </c>
      <c r="L142" s="2" t="s">
        <v>1367</v>
      </c>
      <c r="M142" s="2" t="s">
        <v>1368</v>
      </c>
      <c r="N142" s="2" t="s">
        <v>1374</v>
      </c>
      <c r="O142" s="2" t="s">
        <v>1364</v>
      </c>
      <c r="P142" s="2" t="s">
        <v>1375</v>
      </c>
      <c r="Q142" s="1" t="n">
        <v>0</v>
      </c>
      <c r="R142" s="2" t="n">
        <v>163153</v>
      </c>
      <c r="S142" s="2" t="n">
        <v>173205</v>
      </c>
      <c r="T142" s="2" t="n">
        <v>9683</v>
      </c>
      <c r="U142" s="2" t="n">
        <v>172836</v>
      </c>
      <c r="V142" s="2" t="n">
        <v>47.77</v>
      </c>
      <c r="W142" s="2" t="s">
        <v>1366</v>
      </c>
    </row>
    <row r="143" customFormat="false" ht="18.7" hidden="false" customHeight="true" outlineLevel="0" collapsed="false">
      <c r="A143" s="1" t="n">
        <v>142</v>
      </c>
      <c r="B143" s="7" t="str">
        <f aca="false">HYPERLINK("https://mncourtfraud.com/file/27-CR-21-10185.pdf","27-CR-21-10185")</f>
        <v>27-CR-21-10185</v>
      </c>
      <c r="C143" s="1" t="n">
        <v>1</v>
      </c>
      <c r="D143" s="2" t="s">
        <v>12</v>
      </c>
      <c r="E143" s="8" t="n">
        <v>44593</v>
      </c>
      <c r="F143" s="2" t="s">
        <v>19</v>
      </c>
      <c r="G143" s="7" t="str">
        <f aca="false">HYPERLINK("https://mncourtfraud.com/file/MCRO_27-CR-21-10185_Findings and Order_2022-02-01_20251126181428.pdf","MCRO_27-CR-21-10185_Findings and Order_2022-02-01_20251126181428.pdf")</f>
        <v>MCRO_27-CR-21-10185_Findings and Order_2022-02-01_20251126181428.pdf</v>
      </c>
      <c r="H143" s="1" t="n">
        <v>4</v>
      </c>
      <c r="I143" s="1" t="s">
        <v>1360</v>
      </c>
      <c r="J143" s="1" t="n">
        <v>2</v>
      </c>
      <c r="K143" s="1" t="n">
        <v>2</v>
      </c>
      <c r="L143" s="2" t="s">
        <v>1630</v>
      </c>
      <c r="M143" s="2" t="s">
        <v>1362</v>
      </c>
      <c r="N143" s="2" t="s">
        <v>1631</v>
      </c>
      <c r="O143" s="2" t="s">
        <v>1364</v>
      </c>
      <c r="P143" s="2" t="s">
        <v>1378</v>
      </c>
      <c r="Q143" s="1" t="n">
        <v>0</v>
      </c>
      <c r="R143" s="2" t="n">
        <v>340312</v>
      </c>
      <c r="S143" s="2" t="n">
        <v>356698</v>
      </c>
      <c r="T143" s="2" t="n">
        <v>5091</v>
      </c>
      <c r="U143" s="2" t="n">
        <v>345403</v>
      </c>
      <c r="V143" s="2" t="n">
        <v>95.47</v>
      </c>
      <c r="W143" s="2" t="s">
        <v>1360</v>
      </c>
    </row>
    <row r="144" customFormat="false" ht="18.7" hidden="false" customHeight="true" outlineLevel="0" collapsed="false">
      <c r="A144" s="1" t="n">
        <v>143</v>
      </c>
      <c r="B144" s="7" t="str">
        <f aca="false">HYPERLINK("https://mncourtfraud.com/file/27-CR-21-10185.pdf","27-CR-21-10185")</f>
        <v>27-CR-21-10185</v>
      </c>
      <c r="C144" s="1" t="n">
        <v>1</v>
      </c>
      <c r="D144" s="2" t="s">
        <v>12</v>
      </c>
      <c r="E144" s="8" t="n">
        <v>44439</v>
      </c>
      <c r="F144" s="2" t="s">
        <v>134</v>
      </c>
      <c r="G144" s="7" t="str">
        <f aca="false">HYPERLINK("https://mncourtfraud.com/file/MCRO_27-CR-21-10185_Notice of Intent to Prosecute_2021-08-31_20251126181452.pdf","MCRO_27-CR-21-10185_Notice of Intent to Prosecute_2021-08-31_20251126181452.pdf")</f>
        <v>MCRO_27-CR-21-10185_Notice of Intent to Prosecute_2021-08-31_20251126181452.pdf</v>
      </c>
      <c r="H144" s="1" t="n">
        <v>3</v>
      </c>
      <c r="I144" s="1" t="s">
        <v>1360</v>
      </c>
      <c r="J144" s="1" t="n">
        <v>1</v>
      </c>
      <c r="K144" s="1" t="n">
        <v>1</v>
      </c>
      <c r="L144" s="2" t="s">
        <v>1632</v>
      </c>
      <c r="M144" s="2" t="s">
        <v>1362</v>
      </c>
      <c r="N144" s="2" t="s">
        <v>1633</v>
      </c>
      <c r="O144" s="2" t="s">
        <v>1364</v>
      </c>
      <c r="P144" s="2" t="s">
        <v>1634</v>
      </c>
      <c r="Q144" s="1" t="n">
        <v>0</v>
      </c>
      <c r="R144" s="2" t="n">
        <v>115266</v>
      </c>
      <c r="S144" s="2" t="n">
        <v>131652</v>
      </c>
      <c r="T144" s="2" t="n">
        <v>5621</v>
      </c>
      <c r="U144" s="2" t="n">
        <v>120887</v>
      </c>
      <c r="V144" s="2" t="n">
        <v>88.06</v>
      </c>
      <c r="W144" s="2" t="s">
        <v>1360</v>
      </c>
    </row>
    <row r="145" customFormat="false" ht="18.7" hidden="false" customHeight="true" outlineLevel="0" collapsed="false">
      <c r="A145" s="1" t="n">
        <v>144</v>
      </c>
      <c r="B145" s="7" t="str">
        <f aca="false">HYPERLINK("https://mncourtfraud.com/file/27-CR-21-10185.pdf","27-CR-21-10185")</f>
        <v>27-CR-21-10185</v>
      </c>
      <c r="C145" s="1" t="n">
        <v>1</v>
      </c>
      <c r="D145" s="2" t="s">
        <v>12</v>
      </c>
      <c r="E145" s="8" t="n">
        <v>44396</v>
      </c>
      <c r="F145" s="2" t="s">
        <v>15</v>
      </c>
      <c r="G145" s="7" t="str">
        <f aca="false">HYPERLINK("https://mncourtfraud.com/file/MCRO_27-CR-21-10185_Order-Evaluation for Competency to Proceed (Rule 20.01)_2021-07-19_20251126181524.pdf","MCRO_27-CR-21-10185_Order-Evaluation for Competency to Proceed (Rule 20.01)_2021-07-19_20251126181524.pdf")</f>
        <v>MCRO_27-CR-21-10185_Order-Evaluation for Competency to Proceed (Rule 20.01)_2021-07-19_20251126181524.pdf</v>
      </c>
      <c r="H145" s="1" t="n">
        <v>4</v>
      </c>
      <c r="I145" s="1" t="s">
        <v>1360</v>
      </c>
      <c r="J145" s="1" t="n">
        <v>1</v>
      </c>
      <c r="K145" s="1" t="n">
        <v>1</v>
      </c>
      <c r="L145" s="2" t="s">
        <v>1635</v>
      </c>
      <c r="M145" s="2" t="s">
        <v>1362</v>
      </c>
      <c r="N145" s="2" t="s">
        <v>1636</v>
      </c>
      <c r="O145" s="2" t="s">
        <v>1364</v>
      </c>
      <c r="P145" s="2" t="s">
        <v>1390</v>
      </c>
      <c r="Q145" s="1" t="n">
        <v>0</v>
      </c>
      <c r="R145" s="2" t="n">
        <v>171756</v>
      </c>
      <c r="S145" s="2" t="n">
        <v>188142</v>
      </c>
      <c r="T145" s="2" t="n">
        <v>8533</v>
      </c>
      <c r="U145" s="2" t="n">
        <v>180289</v>
      </c>
      <c r="V145" s="2" t="n">
        <v>91.67</v>
      </c>
      <c r="W145" s="2" t="s">
        <v>1360</v>
      </c>
    </row>
    <row r="146" customFormat="false" ht="18.7" hidden="false" customHeight="true" outlineLevel="0" collapsed="false">
      <c r="A146" s="1" t="n">
        <v>145</v>
      </c>
      <c r="B146" s="7" t="str">
        <f aca="false">HYPERLINK("https://mncourtfraud.com/file/27-CR-21-10185.pdf","27-CR-21-10185")</f>
        <v>27-CR-21-10185</v>
      </c>
      <c r="C146" s="1" t="n">
        <v>1</v>
      </c>
      <c r="D146" s="2" t="s">
        <v>12</v>
      </c>
      <c r="E146" s="8" t="n">
        <v>44543</v>
      </c>
      <c r="F146" s="2" t="s">
        <v>15</v>
      </c>
      <c r="G146" s="7" t="str">
        <f aca="false">HYPERLINK("https://mncourtfraud.com/file/MCRO_27-CR-21-10185_Order-Evaluation for Competency to Proceed (Rule 20.01)_2021-12-13_20251126181536.pdf","MCRO_27-CR-21-10185_Order-Evaluation for Competency to Proceed (Rule 20.01)_2021-12-13_20251126181536.pdf")</f>
        <v>MCRO_27-CR-21-10185_Order-Evaluation for Competency to Proceed (Rule 20.01)_2021-12-13_20251126181536.pdf</v>
      </c>
      <c r="H146" s="1" t="n">
        <v>3</v>
      </c>
      <c r="I146" s="1" t="s">
        <v>1360</v>
      </c>
      <c r="J146" s="1" t="n">
        <v>1</v>
      </c>
      <c r="K146" s="1" t="n">
        <v>1</v>
      </c>
      <c r="L146" s="2" t="s">
        <v>1637</v>
      </c>
      <c r="M146" s="2" t="s">
        <v>1362</v>
      </c>
      <c r="N146" s="2" t="s">
        <v>1638</v>
      </c>
      <c r="O146" s="2" t="s">
        <v>1364</v>
      </c>
      <c r="P146" s="2" t="s">
        <v>1393</v>
      </c>
      <c r="Q146" s="1" t="n">
        <v>0</v>
      </c>
      <c r="R146" s="2" t="n">
        <v>212333</v>
      </c>
      <c r="S146" s="2" t="n">
        <v>228719</v>
      </c>
      <c r="T146" s="2" t="n">
        <v>5133</v>
      </c>
      <c r="U146" s="2" t="n">
        <v>217466</v>
      </c>
      <c r="V146" s="2" t="n">
        <v>92.99</v>
      </c>
      <c r="W146" s="2" t="s">
        <v>1360</v>
      </c>
    </row>
    <row r="147" customFormat="false" ht="18.7" hidden="false" customHeight="true" outlineLevel="0" collapsed="false">
      <c r="A147" s="1" t="n">
        <v>146</v>
      </c>
      <c r="B147" s="7" t="str">
        <f aca="false">HYPERLINK("https://mncourtfraud.com/file/27-CR-21-10185.pdf","27-CR-21-10185")</f>
        <v>27-CR-21-10185</v>
      </c>
      <c r="C147" s="1" t="n">
        <v>1</v>
      </c>
      <c r="D147" s="2" t="s">
        <v>12</v>
      </c>
      <c r="E147" s="8" t="n">
        <v>44558</v>
      </c>
      <c r="F147" s="2" t="s">
        <v>15</v>
      </c>
      <c r="G147" s="7" t="str">
        <f aca="false">HYPERLINK("https://mncourtfraud.com/file/MCRO_27-CR-21-10185_Order-Evaluation for Competency to Proceed (Rule 20.01)_2021-12-28_20251126181546.pdf","MCRO_27-CR-21-10185_Order-Evaluation for Competency to Proceed (Rule 20.01)_2021-12-28_20251126181546.pdf")</f>
        <v>MCRO_27-CR-21-10185_Order-Evaluation for Competency to Proceed (Rule 20.01)_2021-12-28_20251126181546.pdf</v>
      </c>
      <c r="H147" s="1" t="n">
        <v>4</v>
      </c>
      <c r="I147" s="1" t="s">
        <v>1360</v>
      </c>
      <c r="J147" s="1" t="n">
        <v>1</v>
      </c>
      <c r="K147" s="1" t="n">
        <v>1</v>
      </c>
      <c r="L147" s="2" t="s">
        <v>1639</v>
      </c>
      <c r="M147" s="2" t="s">
        <v>1362</v>
      </c>
      <c r="N147" s="2" t="s">
        <v>1640</v>
      </c>
      <c r="O147" s="2" t="s">
        <v>1364</v>
      </c>
      <c r="P147" s="2" t="s">
        <v>1396</v>
      </c>
      <c r="Q147" s="1" t="n">
        <v>0</v>
      </c>
      <c r="R147" s="2" t="n">
        <v>215668</v>
      </c>
      <c r="S147" s="2" t="n">
        <v>232054</v>
      </c>
      <c r="T147" s="2" t="n">
        <v>8578</v>
      </c>
      <c r="U147" s="2" t="n">
        <v>224246</v>
      </c>
      <c r="V147" s="2" t="n">
        <v>93.19</v>
      </c>
      <c r="W147" s="2" t="s">
        <v>1360</v>
      </c>
    </row>
    <row r="148" customFormat="false" ht="18.7" hidden="false" customHeight="true" outlineLevel="0" collapsed="false">
      <c r="A148" s="1" t="n">
        <v>147</v>
      </c>
      <c r="B148" s="7" t="str">
        <f aca="false">HYPERLINK("https://mncourtfraud.com/file/27-CR-21-10185.pdf","27-CR-21-10185")</f>
        <v>27-CR-21-10185</v>
      </c>
      <c r="C148" s="1" t="n">
        <v>1</v>
      </c>
      <c r="D148" s="2" t="s">
        <v>12</v>
      </c>
      <c r="E148" s="8" t="n">
        <v>44692</v>
      </c>
      <c r="F148" s="2" t="s">
        <v>15</v>
      </c>
      <c r="G148" s="7" t="str">
        <f aca="false">HYPERLINK("https://mncourtfraud.com/file/MCRO_27-CR-21-10185_Order-Evaluation for Competency to Proceed (Rule 20.01)_2022-05-11_20251126181600.pdf","MCRO_27-CR-21-10185_Order-Evaluation for Competency to Proceed (Rule 20.01)_2022-05-11_20251126181600.pdf")</f>
        <v>MCRO_27-CR-21-10185_Order-Evaluation for Competency to Proceed (Rule 20.01)_2022-05-11_20251126181600.pdf</v>
      </c>
      <c r="H148" s="1" t="n">
        <v>3</v>
      </c>
      <c r="I148" s="1" t="s">
        <v>1360</v>
      </c>
      <c r="J148" s="1" t="n">
        <v>1</v>
      </c>
      <c r="K148" s="1" t="n">
        <v>1</v>
      </c>
      <c r="L148" s="2" t="s">
        <v>1641</v>
      </c>
      <c r="M148" s="2" t="s">
        <v>1362</v>
      </c>
      <c r="N148" s="2" t="s">
        <v>1642</v>
      </c>
      <c r="O148" s="2" t="s">
        <v>1364</v>
      </c>
      <c r="P148" s="2" t="s">
        <v>1399</v>
      </c>
      <c r="Q148" s="1" t="n">
        <v>0</v>
      </c>
      <c r="R148" s="2" t="n">
        <v>218705</v>
      </c>
      <c r="S148" s="2" t="n">
        <v>235091</v>
      </c>
      <c r="T148" s="2" t="n">
        <v>4728</v>
      </c>
      <c r="U148" s="2" t="n">
        <v>223433</v>
      </c>
      <c r="V148" s="2" t="n">
        <v>93.17</v>
      </c>
      <c r="W148" s="2" t="s">
        <v>1360</v>
      </c>
    </row>
    <row r="149" customFormat="false" ht="18.7" hidden="false" customHeight="true" outlineLevel="0" collapsed="false">
      <c r="A149" s="1" t="n">
        <v>148</v>
      </c>
      <c r="B149" s="7" t="str">
        <f aca="false">HYPERLINK("https://mncourtfraud.com/file/27-CR-21-10185.pdf","27-CR-21-10185")</f>
        <v>27-CR-21-10185</v>
      </c>
      <c r="C149" s="1" t="n">
        <v>1</v>
      </c>
      <c r="D149" s="2" t="s">
        <v>12</v>
      </c>
      <c r="E149" s="8" t="n">
        <v>44895</v>
      </c>
      <c r="F149" s="2" t="s">
        <v>15</v>
      </c>
      <c r="G149" s="7" t="str">
        <f aca="false">HYPERLINK("https://mncourtfraud.com/file/MCRO_27-CR-21-10185_Order-Evaluation for Competency to Proceed (Rule 20.01)_2022-11-30_20251126181610.pdf","MCRO_27-CR-21-10185_Order-Evaluation for Competency to Proceed (Rule 20.01)_2022-11-30_20251126181610.pdf")</f>
        <v>MCRO_27-CR-21-10185_Order-Evaluation for Competency to Proceed (Rule 20.01)_2022-11-30_20251126181610.pdf</v>
      </c>
      <c r="H149" s="1" t="n">
        <v>4</v>
      </c>
      <c r="I149" s="1" t="s">
        <v>1360</v>
      </c>
      <c r="J149" s="1" t="n">
        <v>1</v>
      </c>
      <c r="K149" s="1" t="n">
        <v>1</v>
      </c>
      <c r="L149" s="2" t="s">
        <v>1643</v>
      </c>
      <c r="M149" s="2" t="s">
        <v>1362</v>
      </c>
      <c r="N149" s="2" t="s">
        <v>1644</v>
      </c>
      <c r="O149" s="2" t="s">
        <v>1364</v>
      </c>
      <c r="P149" s="2" t="s">
        <v>1402</v>
      </c>
      <c r="Q149" s="1" t="n">
        <v>0</v>
      </c>
      <c r="R149" s="2" t="n">
        <v>795531</v>
      </c>
      <c r="S149" s="2" t="n">
        <v>811917</v>
      </c>
      <c r="T149" s="2" t="n">
        <v>5078</v>
      </c>
      <c r="U149" s="2" t="n">
        <v>800609</v>
      </c>
      <c r="V149" s="2" t="n">
        <v>97.99</v>
      </c>
      <c r="W149" s="2" t="s">
        <v>1360</v>
      </c>
    </row>
    <row r="150" customFormat="false" ht="18.7" hidden="false" customHeight="true" outlineLevel="0" collapsed="false">
      <c r="A150" s="1" t="n">
        <v>149</v>
      </c>
      <c r="B150" s="7" t="str">
        <f aca="false">HYPERLINK("https://mncourtfraud.com/file/27-CR-21-10185.pdf","27-CR-21-10185")</f>
        <v>27-CR-21-10185</v>
      </c>
      <c r="C150" s="1" t="n">
        <v>1</v>
      </c>
      <c r="D150" s="2" t="s">
        <v>12</v>
      </c>
      <c r="E150" s="8" t="n">
        <v>44460</v>
      </c>
      <c r="F150" s="2" t="s">
        <v>24</v>
      </c>
      <c r="G150" s="7" t="str">
        <f aca="false">HYPERLINK("https://mncourtfraud.com/file/MCRO_27-CR-21-10185_Order for Conditional Release_2021-09-21_20251126181510.pdf","MCRO_27-CR-21-10185_Order for Conditional Release_2021-09-21_20251126181510.pdf")</f>
        <v>MCRO_27-CR-21-10185_Order for Conditional Release_2021-09-21_20251126181510.pdf</v>
      </c>
      <c r="H150" s="1" t="n">
        <v>4</v>
      </c>
      <c r="I150" s="1" t="s">
        <v>1360</v>
      </c>
      <c r="J150" s="1" t="n">
        <v>1</v>
      </c>
      <c r="K150" s="1" t="n">
        <v>1</v>
      </c>
      <c r="L150" s="2" t="s">
        <v>1645</v>
      </c>
      <c r="M150" s="2" t="s">
        <v>1362</v>
      </c>
      <c r="N150" s="2" t="s">
        <v>1646</v>
      </c>
      <c r="O150" s="2" t="s">
        <v>1364</v>
      </c>
      <c r="P150" s="2" t="s">
        <v>1405</v>
      </c>
      <c r="Q150" s="1" t="n">
        <v>0</v>
      </c>
      <c r="R150" s="2" t="n">
        <v>84991</v>
      </c>
      <c r="S150" s="2" t="n">
        <v>101377</v>
      </c>
      <c r="T150" s="2" t="n">
        <v>4472</v>
      </c>
      <c r="U150" s="2" t="n">
        <v>89463</v>
      </c>
      <c r="V150" s="2" t="n">
        <v>84.52</v>
      </c>
      <c r="W150" s="2" t="s">
        <v>1360</v>
      </c>
    </row>
    <row r="151" customFormat="false" ht="18.7" hidden="false" customHeight="true" outlineLevel="0" collapsed="false">
      <c r="A151" s="1" t="n">
        <v>150</v>
      </c>
      <c r="B151" s="7" t="str">
        <f aca="false">HYPERLINK("https://mncourtfraud.com/file/27-CR-21-10185.pdf","27-CR-21-10185")</f>
        <v>27-CR-21-10185</v>
      </c>
      <c r="C151" s="1" t="n">
        <v>1</v>
      </c>
      <c r="D151" s="2" t="s">
        <v>12</v>
      </c>
      <c r="E151" s="8" t="n">
        <v>44468</v>
      </c>
      <c r="F151" s="2" t="s">
        <v>24</v>
      </c>
      <c r="G151" s="7" t="str">
        <f aca="false">HYPERLINK("https://mncourtfraud.com/file/MCRO_27-CR-21-10185_Order for Conditional Release_2021-09-29_20251126181506.pdf","MCRO_27-CR-21-10185_Order for Conditional Release_2021-09-29_20251126181506.pdf")</f>
        <v>MCRO_27-CR-21-10185_Order for Conditional Release_2021-09-29_20251126181506.pdf</v>
      </c>
      <c r="H151" s="1" t="n">
        <v>4</v>
      </c>
      <c r="I151" s="1" t="s">
        <v>1360</v>
      </c>
      <c r="J151" s="1" t="n">
        <v>1</v>
      </c>
      <c r="K151" s="1" t="n">
        <v>1</v>
      </c>
      <c r="L151" s="2" t="s">
        <v>1647</v>
      </c>
      <c r="M151" s="2" t="s">
        <v>1362</v>
      </c>
      <c r="N151" s="2" t="s">
        <v>1648</v>
      </c>
      <c r="O151" s="2" t="s">
        <v>1364</v>
      </c>
      <c r="P151" s="2" t="s">
        <v>1408</v>
      </c>
      <c r="Q151" s="1" t="n">
        <v>0</v>
      </c>
      <c r="R151" s="2" t="n">
        <v>130451</v>
      </c>
      <c r="S151" s="2" t="n">
        <v>146837</v>
      </c>
      <c r="T151" s="2" t="n">
        <v>4975</v>
      </c>
      <c r="U151" s="2" t="n">
        <v>135426</v>
      </c>
      <c r="V151" s="2" t="n">
        <v>89.21</v>
      </c>
      <c r="W151" s="2" t="s">
        <v>1360</v>
      </c>
    </row>
    <row r="152" customFormat="false" ht="18.7" hidden="false" customHeight="true" outlineLevel="0" collapsed="false">
      <c r="A152" s="1" t="n">
        <v>151</v>
      </c>
      <c r="B152" s="7" t="str">
        <f aca="false">HYPERLINK("https://mncourtfraud.com/file/27-CR-21-12714.pdf","27-CR-21-12714")</f>
        <v>27-CR-21-12714</v>
      </c>
      <c r="C152" s="1" t="n">
        <v>1</v>
      </c>
      <c r="D152" s="2" t="s">
        <v>12</v>
      </c>
      <c r="E152" s="8" t="n">
        <v>44405</v>
      </c>
      <c r="F152" s="2" t="s">
        <v>145</v>
      </c>
      <c r="G152" s="7" t="str">
        <f aca="false">HYPERLINK("https://mncourtfraud.com/file/MCRO_27-CR-21-12714_Demand or Request for Discovery_2021-07-28_20251126181647.pdf","MCRO_27-CR-21-12714_Demand or Request for Discovery_2021-07-28_20251126181647.pdf")</f>
        <v>MCRO_27-CR-21-12714_Demand or Request for Discovery_2021-07-28_20251126181647.pdf</v>
      </c>
      <c r="H152" s="1" t="n">
        <v>3</v>
      </c>
      <c r="I152" s="1" t="s">
        <v>1360</v>
      </c>
      <c r="J152" s="1" t="n">
        <v>1</v>
      </c>
      <c r="K152" s="1" t="n">
        <v>1</v>
      </c>
      <c r="L152" s="2" t="s">
        <v>1649</v>
      </c>
      <c r="M152" s="2" t="s">
        <v>1362</v>
      </c>
      <c r="N152" s="2" t="s">
        <v>1650</v>
      </c>
      <c r="O152" s="2" t="s">
        <v>1364</v>
      </c>
      <c r="P152" s="2" t="s">
        <v>1651</v>
      </c>
      <c r="Q152" s="1" t="n">
        <v>0</v>
      </c>
      <c r="R152" s="2" t="n">
        <v>293275</v>
      </c>
      <c r="S152" s="2" t="n">
        <v>309661</v>
      </c>
      <c r="T152" s="2" t="n">
        <v>5946</v>
      </c>
      <c r="U152" s="2" t="n">
        <v>299221</v>
      </c>
      <c r="V152" s="2" t="n">
        <v>94.81</v>
      </c>
      <c r="W152" s="2" t="s">
        <v>1360</v>
      </c>
    </row>
    <row r="153" customFormat="false" ht="18.7" hidden="false" customHeight="true" outlineLevel="0" collapsed="false">
      <c r="A153" s="1" t="n">
        <v>152</v>
      </c>
      <c r="B153" s="7" t="str">
        <f aca="false">HYPERLINK("https://mncourtfraud.com/file/27-CR-21-12714.pdf","27-CR-21-12714")</f>
        <v>27-CR-21-12714</v>
      </c>
      <c r="C153" s="1" t="n">
        <v>1</v>
      </c>
      <c r="D153" s="2" t="s">
        <v>12</v>
      </c>
      <c r="E153" s="8" t="n">
        <v>45048</v>
      </c>
      <c r="F153" s="2" t="s">
        <v>80</v>
      </c>
      <c r="G153" s="7" t="str">
        <f aca="false">HYPERLINK("https://mncourtfraud.com/file/MCRO_27-CR-21-12714_Finding of Incompetency and Order_2023-05-02_20251126181658.pdf","MCRO_27-CR-21-12714_Finding of Incompetency and Order_2023-05-02_20251126181658.pdf")</f>
        <v>MCRO_27-CR-21-12714_Finding of Incompetency and Order_2023-05-02_20251126181658.pdf</v>
      </c>
      <c r="H153" s="1" t="n">
        <v>9</v>
      </c>
      <c r="I153" s="1" t="s">
        <v>1366</v>
      </c>
      <c r="J153" s="1" t="n">
        <v>1</v>
      </c>
      <c r="K153" s="1" t="n">
        <v>1</v>
      </c>
      <c r="L153" s="2" t="s">
        <v>1491</v>
      </c>
      <c r="M153" s="2" t="s">
        <v>1492</v>
      </c>
      <c r="N153" s="2" t="s">
        <v>1493</v>
      </c>
      <c r="O153" s="2" t="s">
        <v>1494</v>
      </c>
      <c r="P153" s="2" t="s">
        <v>1495</v>
      </c>
      <c r="Q153" s="1" t="n">
        <v>0</v>
      </c>
      <c r="R153" s="2" t="n">
        <v>100288</v>
      </c>
      <c r="S153" s="2" t="n">
        <v>112370</v>
      </c>
      <c r="T153" s="2" t="n">
        <v>48200</v>
      </c>
      <c r="U153" s="2" t="n">
        <v>148488</v>
      </c>
      <c r="V153" s="2" t="n">
        <v>15.21</v>
      </c>
      <c r="W153" s="2" t="s">
        <v>1366</v>
      </c>
    </row>
    <row r="154" customFormat="false" ht="18.7" hidden="false" customHeight="true" outlineLevel="0" collapsed="false">
      <c r="A154" s="1" t="n">
        <v>153</v>
      </c>
      <c r="B154" s="7" t="str">
        <f aca="false">HYPERLINK("https://mncourtfraud.com/file/27-CR-21-12714.pdf","27-CR-21-12714")</f>
        <v>27-CR-21-12714</v>
      </c>
      <c r="C154" s="1" t="n">
        <v>1</v>
      </c>
      <c r="D154" s="2" t="s">
        <v>12</v>
      </c>
      <c r="E154" s="8" t="n">
        <v>45048</v>
      </c>
      <c r="F154" s="2" t="s">
        <v>80</v>
      </c>
      <c r="G154" s="7" t="str">
        <f aca="false">HYPERLINK("https://mncourtfraud.com/file/MCRO_27-CR-21-12714_Finding of Incompetency and Order_2023-05-02_20251126181658.pdf","MCRO_27-CR-21-12714_Finding of Incompetency and Order_2023-05-02_20251126181658.pdf")</f>
        <v>MCRO_27-CR-21-12714_Finding of Incompetency and Order_2023-05-02_20251126181658.pdf</v>
      </c>
      <c r="H154" s="1" t="n">
        <v>9</v>
      </c>
      <c r="I154" s="1" t="s">
        <v>1366</v>
      </c>
      <c r="J154" s="1" t="n">
        <v>2</v>
      </c>
      <c r="K154" s="1" t="n">
        <v>2</v>
      </c>
      <c r="L154" s="2" t="s">
        <v>1367</v>
      </c>
      <c r="M154" s="2" t="s">
        <v>1496</v>
      </c>
      <c r="N154" s="2" t="s">
        <v>1497</v>
      </c>
      <c r="O154" s="2" t="s">
        <v>1494</v>
      </c>
      <c r="P154" s="2" t="s">
        <v>1498</v>
      </c>
      <c r="Q154" s="1" t="n">
        <v>0</v>
      </c>
      <c r="R154" s="2" t="n">
        <v>160968</v>
      </c>
      <c r="S154" s="2" t="n">
        <v>167974</v>
      </c>
      <c r="T154" s="2" t="n">
        <v>59084</v>
      </c>
      <c r="U154" s="2" t="n">
        <v>220052</v>
      </c>
      <c r="V154" s="2" t="n">
        <v>22.53</v>
      </c>
      <c r="W154" s="2" t="s">
        <v>1366</v>
      </c>
    </row>
    <row r="155" customFormat="false" ht="18.7" hidden="false" customHeight="true" outlineLevel="0" collapsed="false">
      <c r="A155" s="1" t="n">
        <v>154</v>
      </c>
      <c r="B155" s="7" t="str">
        <f aca="false">HYPERLINK("https://mncourtfraud.com/file/27-CR-21-12714.pdf","27-CR-21-12714")</f>
        <v>27-CR-21-12714</v>
      </c>
      <c r="C155" s="1" t="n">
        <v>1</v>
      </c>
      <c r="D155" s="2" t="s">
        <v>12</v>
      </c>
      <c r="E155" s="8" t="n">
        <v>45048</v>
      </c>
      <c r="F155" s="2" t="s">
        <v>80</v>
      </c>
      <c r="G155" s="7" t="str">
        <f aca="false">HYPERLINK("https://mncourtfraud.com/file/MCRO_27-CR-21-12714_Finding of Incompetency and Order_2023-05-02_20251126181658.pdf","MCRO_27-CR-21-12714_Finding of Incompetency and Order_2023-05-02_20251126181658.pdf")</f>
        <v>MCRO_27-CR-21-12714_Finding of Incompetency and Order_2023-05-02_20251126181658.pdf</v>
      </c>
      <c r="H155" s="1" t="n">
        <v>9</v>
      </c>
      <c r="I155" s="1" t="s">
        <v>1366</v>
      </c>
      <c r="J155" s="1" t="n">
        <v>3</v>
      </c>
      <c r="K155" s="1" t="n">
        <v>3</v>
      </c>
      <c r="L155" s="2" t="s">
        <v>1652</v>
      </c>
      <c r="M155" s="2" t="s">
        <v>1362</v>
      </c>
      <c r="N155" s="2" t="s">
        <v>1653</v>
      </c>
      <c r="O155" s="2" t="s">
        <v>1364</v>
      </c>
      <c r="P155" s="2" t="s">
        <v>1501</v>
      </c>
      <c r="Q155" s="1" t="n">
        <v>0</v>
      </c>
      <c r="R155" s="2" t="n">
        <v>954854</v>
      </c>
      <c r="S155" s="2" t="n">
        <v>971240</v>
      </c>
      <c r="T155" s="2" t="n">
        <v>5306</v>
      </c>
      <c r="U155" s="2" t="n">
        <v>960160</v>
      </c>
      <c r="V155" s="2" t="n">
        <v>98.32</v>
      </c>
      <c r="W155" s="2" t="s">
        <v>1360</v>
      </c>
    </row>
    <row r="156" customFormat="false" ht="18.7" hidden="false" customHeight="true" outlineLevel="0" collapsed="false">
      <c r="A156" s="1" t="n">
        <v>155</v>
      </c>
      <c r="B156" s="7" t="str">
        <f aca="false">HYPERLINK("https://mncourtfraud.com/file/27-CR-21-12714.pdf","27-CR-21-12714")</f>
        <v>27-CR-21-12714</v>
      </c>
      <c r="C156" s="1" t="n">
        <v>1</v>
      </c>
      <c r="D156" s="2" t="s">
        <v>12</v>
      </c>
      <c r="E156" s="8" t="n">
        <v>44439</v>
      </c>
      <c r="F156" s="2" t="s">
        <v>19</v>
      </c>
      <c r="G156" s="7" t="str">
        <f aca="false">HYPERLINK("https://mncourtfraud.com/file/MCRO_27-CR-21-12714_Findings and Order_2021-08-31_20251126181722.pdf","MCRO_27-CR-21-12714_Findings and Order_2021-08-31_20251126181722.pdf")</f>
        <v>MCRO_27-CR-21-12714_Findings and Order_2021-08-31_20251126181722.pdf</v>
      </c>
      <c r="H156" s="1" t="n">
        <v>5</v>
      </c>
      <c r="I156" s="1" t="s">
        <v>1366</v>
      </c>
      <c r="J156" s="1" t="n">
        <v>1</v>
      </c>
      <c r="K156" s="1" t="n">
        <v>1</v>
      </c>
      <c r="L156" s="2" t="s">
        <v>1367</v>
      </c>
      <c r="M156" s="2" t="s">
        <v>1368</v>
      </c>
      <c r="N156" s="2" t="s">
        <v>1369</v>
      </c>
      <c r="O156" s="2" t="s">
        <v>1364</v>
      </c>
      <c r="P156" s="2" t="s">
        <v>1370</v>
      </c>
      <c r="Q156" s="1" t="n">
        <v>0</v>
      </c>
      <c r="R156" s="2" t="n">
        <v>129996</v>
      </c>
      <c r="S156" s="2" t="n">
        <v>137690</v>
      </c>
      <c r="T156" s="2" t="n">
        <v>19979</v>
      </c>
      <c r="U156" s="2" t="n">
        <v>149975</v>
      </c>
      <c r="V156" s="2" t="n">
        <v>39.94</v>
      </c>
      <c r="W156" s="2" t="s">
        <v>1366</v>
      </c>
    </row>
    <row r="157" customFormat="false" ht="18.7" hidden="false" customHeight="true" outlineLevel="0" collapsed="false">
      <c r="A157" s="1" t="n">
        <v>156</v>
      </c>
      <c r="B157" s="7" t="str">
        <f aca="false">HYPERLINK("https://mncourtfraud.com/file/27-CR-21-12714.pdf","27-CR-21-12714")</f>
        <v>27-CR-21-12714</v>
      </c>
      <c r="C157" s="1" t="n">
        <v>1</v>
      </c>
      <c r="D157" s="2" t="s">
        <v>12</v>
      </c>
      <c r="E157" s="8" t="n">
        <v>44439</v>
      </c>
      <c r="F157" s="2" t="s">
        <v>19</v>
      </c>
      <c r="G157" s="7" t="str">
        <f aca="false">HYPERLINK("https://mncourtfraud.com/file/MCRO_27-CR-21-12714_Findings and Order_2021-08-31_20251126181722.pdf","MCRO_27-CR-21-12714_Findings and Order_2021-08-31_20251126181722.pdf")</f>
        <v>MCRO_27-CR-21-12714_Findings and Order_2021-08-31_20251126181722.pdf</v>
      </c>
      <c r="H157" s="1" t="n">
        <v>5</v>
      </c>
      <c r="I157" s="1" t="s">
        <v>1366</v>
      </c>
      <c r="J157" s="1" t="n">
        <v>2</v>
      </c>
      <c r="K157" s="1" t="n">
        <v>2</v>
      </c>
      <c r="L157" s="2" t="s">
        <v>1654</v>
      </c>
      <c r="M157" s="2" t="s">
        <v>1362</v>
      </c>
      <c r="N157" s="2" t="s">
        <v>1655</v>
      </c>
      <c r="O157" s="2" t="s">
        <v>1364</v>
      </c>
      <c r="P157" s="2" t="s">
        <v>1373</v>
      </c>
      <c r="Q157" s="1" t="n">
        <v>0</v>
      </c>
      <c r="R157" s="2" t="n">
        <v>354063</v>
      </c>
      <c r="S157" s="2" t="n">
        <v>370449</v>
      </c>
      <c r="T157" s="2" t="n">
        <v>5040</v>
      </c>
      <c r="U157" s="2" t="n">
        <v>359103</v>
      </c>
      <c r="V157" s="2" t="n">
        <v>95.64</v>
      </c>
      <c r="W157" s="2" t="s">
        <v>1360</v>
      </c>
    </row>
    <row r="158" customFormat="false" ht="18.7" hidden="false" customHeight="true" outlineLevel="0" collapsed="false">
      <c r="A158" s="1" t="n">
        <v>157</v>
      </c>
      <c r="B158" s="7" t="str">
        <f aca="false">HYPERLINK("https://mncourtfraud.com/file/27-CR-21-12714.pdf","27-CR-21-12714")</f>
        <v>27-CR-21-12714</v>
      </c>
      <c r="C158" s="1" t="n">
        <v>1</v>
      </c>
      <c r="D158" s="2" t="s">
        <v>12</v>
      </c>
      <c r="E158" s="8" t="n">
        <v>44593</v>
      </c>
      <c r="F158" s="2" t="s">
        <v>19</v>
      </c>
      <c r="G158" s="7" t="str">
        <f aca="false">HYPERLINK("https://mncourtfraud.com/file/MCRO_27-CR-21-12714_Findings and Order_2022-02-01_20251126181711.pdf","MCRO_27-CR-21-12714_Findings and Order_2022-02-01_20251126181711.pdf")</f>
        <v>MCRO_27-CR-21-12714_Findings and Order_2022-02-01_20251126181711.pdf</v>
      </c>
      <c r="H158" s="1" t="n">
        <v>4</v>
      </c>
      <c r="I158" s="1" t="s">
        <v>1360</v>
      </c>
      <c r="J158" s="1" t="n">
        <v>1</v>
      </c>
      <c r="K158" s="1" t="n">
        <v>1</v>
      </c>
      <c r="L158" s="2" t="s">
        <v>1367</v>
      </c>
      <c r="M158" s="2" t="s">
        <v>1368</v>
      </c>
      <c r="N158" s="2" t="s">
        <v>1374</v>
      </c>
      <c r="O158" s="2" t="s">
        <v>1364</v>
      </c>
      <c r="P158" s="2" t="s">
        <v>1375</v>
      </c>
      <c r="Q158" s="1" t="n">
        <v>0</v>
      </c>
      <c r="R158" s="2" t="n">
        <v>163153</v>
      </c>
      <c r="S158" s="2" t="n">
        <v>173205</v>
      </c>
      <c r="T158" s="2" t="n">
        <v>9683</v>
      </c>
      <c r="U158" s="2" t="n">
        <v>172836</v>
      </c>
      <c r="V158" s="2" t="n">
        <v>47.77</v>
      </c>
      <c r="W158" s="2" t="s">
        <v>1366</v>
      </c>
    </row>
    <row r="159" customFormat="false" ht="18.7" hidden="false" customHeight="true" outlineLevel="0" collapsed="false">
      <c r="A159" s="1" t="n">
        <v>158</v>
      </c>
      <c r="B159" s="7" t="str">
        <f aca="false">HYPERLINK("https://mncourtfraud.com/file/27-CR-21-12714.pdf","27-CR-21-12714")</f>
        <v>27-CR-21-12714</v>
      </c>
      <c r="C159" s="1" t="n">
        <v>1</v>
      </c>
      <c r="D159" s="2" t="s">
        <v>12</v>
      </c>
      <c r="E159" s="8" t="n">
        <v>44593</v>
      </c>
      <c r="F159" s="2" t="s">
        <v>19</v>
      </c>
      <c r="G159" s="7" t="str">
        <f aca="false">HYPERLINK("https://mncourtfraud.com/file/MCRO_27-CR-21-12714_Findings and Order_2022-02-01_20251126181711.pdf","MCRO_27-CR-21-12714_Findings and Order_2022-02-01_20251126181711.pdf")</f>
        <v>MCRO_27-CR-21-12714_Findings and Order_2022-02-01_20251126181711.pdf</v>
      </c>
      <c r="H159" s="1" t="n">
        <v>4</v>
      </c>
      <c r="I159" s="1" t="s">
        <v>1360</v>
      </c>
      <c r="J159" s="1" t="n">
        <v>2</v>
      </c>
      <c r="K159" s="1" t="n">
        <v>2</v>
      </c>
      <c r="L159" s="2" t="s">
        <v>1656</v>
      </c>
      <c r="M159" s="2" t="s">
        <v>1362</v>
      </c>
      <c r="N159" s="2" t="s">
        <v>1657</v>
      </c>
      <c r="O159" s="2" t="s">
        <v>1364</v>
      </c>
      <c r="P159" s="2" t="s">
        <v>1378</v>
      </c>
      <c r="Q159" s="1" t="n">
        <v>0</v>
      </c>
      <c r="R159" s="2" t="n">
        <v>340309</v>
      </c>
      <c r="S159" s="2" t="n">
        <v>356695</v>
      </c>
      <c r="T159" s="2" t="n">
        <v>5091</v>
      </c>
      <c r="U159" s="2" t="n">
        <v>345400</v>
      </c>
      <c r="V159" s="2" t="n">
        <v>95.47</v>
      </c>
      <c r="W159" s="2" t="s">
        <v>1360</v>
      </c>
    </row>
    <row r="160" customFormat="false" ht="18.7" hidden="false" customHeight="true" outlineLevel="0" collapsed="false">
      <c r="A160" s="1" t="n">
        <v>159</v>
      </c>
      <c r="B160" s="7" t="str">
        <f aca="false">HYPERLINK("https://mncourtfraud.com/file/27-CR-21-12714.pdf","27-CR-21-12714")</f>
        <v>27-CR-21-12714</v>
      </c>
      <c r="C160" s="1" t="n">
        <v>1</v>
      </c>
      <c r="D160" s="2" t="s">
        <v>12</v>
      </c>
      <c r="E160" s="8" t="n">
        <v>44396</v>
      </c>
      <c r="F160" s="2" t="s">
        <v>15</v>
      </c>
      <c r="G160" s="7" t="str">
        <f aca="false">HYPERLINK("https://mncourtfraud.com/file/MCRO_27-CR-21-12714_Order-Evaluation for Competency to Proceed (Rule 20.01)_2021-07-19_20251126181807.pdf","MCRO_27-CR-21-12714_Order-Evaluation for Competency to Proceed (Rule 20.01)_2021-07-19_20251126181807.pdf")</f>
        <v>MCRO_27-CR-21-12714_Order-Evaluation for Competency to Proceed (Rule 20.01)_2021-07-19_20251126181807.pdf</v>
      </c>
      <c r="H160" s="1" t="n">
        <v>4</v>
      </c>
      <c r="I160" s="1" t="s">
        <v>1360</v>
      </c>
      <c r="J160" s="1" t="n">
        <v>1</v>
      </c>
      <c r="K160" s="1" t="n">
        <v>1</v>
      </c>
      <c r="L160" s="2" t="s">
        <v>1658</v>
      </c>
      <c r="M160" s="2" t="s">
        <v>1362</v>
      </c>
      <c r="N160" s="2" t="s">
        <v>1659</v>
      </c>
      <c r="O160" s="2" t="s">
        <v>1364</v>
      </c>
      <c r="P160" s="2" t="s">
        <v>1390</v>
      </c>
      <c r="Q160" s="1" t="n">
        <v>0</v>
      </c>
      <c r="R160" s="2" t="n">
        <v>168642</v>
      </c>
      <c r="S160" s="2" t="n">
        <v>185028</v>
      </c>
      <c r="T160" s="2" t="n">
        <v>8533</v>
      </c>
      <c r="U160" s="2" t="n">
        <v>177175</v>
      </c>
      <c r="V160" s="2" t="n">
        <v>91.53</v>
      </c>
      <c r="W160" s="2" t="s">
        <v>1360</v>
      </c>
    </row>
    <row r="161" customFormat="false" ht="18.7" hidden="false" customHeight="true" outlineLevel="0" collapsed="false">
      <c r="A161" s="1" t="n">
        <v>160</v>
      </c>
      <c r="B161" s="7" t="str">
        <f aca="false">HYPERLINK("https://mncourtfraud.com/file/27-CR-21-12714.pdf","27-CR-21-12714")</f>
        <v>27-CR-21-12714</v>
      </c>
      <c r="C161" s="1" t="n">
        <v>1</v>
      </c>
      <c r="D161" s="2" t="s">
        <v>12</v>
      </c>
      <c r="E161" s="8" t="n">
        <v>44543</v>
      </c>
      <c r="F161" s="2" t="s">
        <v>15</v>
      </c>
      <c r="G161" s="7" t="str">
        <f aca="false">HYPERLINK("https://mncourtfraud.com/file/MCRO_27-CR-21-12714_Order-Evaluation for Competency to Proceed (Rule 20.01)_2021-12-13_20251126181817.pdf","MCRO_27-CR-21-12714_Order-Evaluation for Competency to Proceed (Rule 20.01)_2021-12-13_20251126181817.pdf")</f>
        <v>MCRO_27-CR-21-12714_Order-Evaluation for Competency to Proceed (Rule 20.01)_2021-12-13_20251126181817.pdf</v>
      </c>
      <c r="H161" s="1" t="n">
        <v>3</v>
      </c>
      <c r="I161" s="1" t="s">
        <v>1360</v>
      </c>
      <c r="J161" s="1" t="n">
        <v>1</v>
      </c>
      <c r="K161" s="1" t="n">
        <v>1</v>
      </c>
      <c r="L161" s="2" t="s">
        <v>1660</v>
      </c>
      <c r="M161" s="2" t="s">
        <v>1362</v>
      </c>
      <c r="N161" s="2" t="s">
        <v>1661</v>
      </c>
      <c r="O161" s="2" t="s">
        <v>1364</v>
      </c>
      <c r="P161" s="2" t="s">
        <v>1393</v>
      </c>
      <c r="Q161" s="1" t="n">
        <v>0</v>
      </c>
      <c r="R161" s="2" t="n">
        <v>212319</v>
      </c>
      <c r="S161" s="2" t="n">
        <v>228705</v>
      </c>
      <c r="T161" s="2" t="n">
        <v>5134</v>
      </c>
      <c r="U161" s="2" t="n">
        <v>217453</v>
      </c>
      <c r="V161" s="2" t="n">
        <v>92.99</v>
      </c>
      <c r="W161" s="2" t="s">
        <v>1360</v>
      </c>
    </row>
    <row r="162" customFormat="false" ht="18.7" hidden="false" customHeight="true" outlineLevel="0" collapsed="false">
      <c r="A162" s="1" t="n">
        <v>161</v>
      </c>
      <c r="B162" s="7" t="str">
        <f aca="false">HYPERLINK("https://mncourtfraud.com/file/27-CR-21-12714.pdf","27-CR-21-12714")</f>
        <v>27-CR-21-12714</v>
      </c>
      <c r="C162" s="1" t="n">
        <v>1</v>
      </c>
      <c r="D162" s="2" t="s">
        <v>12</v>
      </c>
      <c r="E162" s="8" t="n">
        <v>44558</v>
      </c>
      <c r="F162" s="2" t="s">
        <v>15</v>
      </c>
      <c r="G162" s="7" t="str">
        <f aca="false">HYPERLINK("https://mncourtfraud.com/file/MCRO_27-CR-21-12714_Order-Evaluation for Competency to Proceed (Rule 20.01)_2021-12-28_20251126181825.pdf","MCRO_27-CR-21-12714_Order-Evaluation for Competency to Proceed (Rule 20.01)_2021-12-28_20251126181825.pdf")</f>
        <v>MCRO_27-CR-21-12714_Order-Evaluation for Competency to Proceed (Rule 20.01)_2021-12-28_20251126181825.pdf</v>
      </c>
      <c r="H162" s="1" t="n">
        <v>4</v>
      </c>
      <c r="I162" s="1" t="s">
        <v>1360</v>
      </c>
      <c r="J162" s="1" t="n">
        <v>1</v>
      </c>
      <c r="K162" s="1" t="n">
        <v>1</v>
      </c>
      <c r="L162" s="2" t="s">
        <v>1662</v>
      </c>
      <c r="M162" s="2" t="s">
        <v>1362</v>
      </c>
      <c r="N162" s="2" t="s">
        <v>1663</v>
      </c>
      <c r="O162" s="2" t="s">
        <v>1364</v>
      </c>
      <c r="P162" s="2" t="s">
        <v>1396</v>
      </c>
      <c r="Q162" s="1" t="n">
        <v>0</v>
      </c>
      <c r="R162" s="2" t="n">
        <v>217374</v>
      </c>
      <c r="S162" s="2" t="n">
        <v>233760</v>
      </c>
      <c r="T162" s="2" t="n">
        <v>8578</v>
      </c>
      <c r="U162" s="2" t="n">
        <v>225952</v>
      </c>
      <c r="V162" s="2" t="n">
        <v>93.24</v>
      </c>
      <c r="W162" s="2" t="s">
        <v>1360</v>
      </c>
    </row>
    <row r="163" customFormat="false" ht="18.7" hidden="false" customHeight="true" outlineLevel="0" collapsed="false">
      <c r="A163" s="1" t="n">
        <v>162</v>
      </c>
      <c r="B163" s="7" t="str">
        <f aca="false">HYPERLINK("https://mncourtfraud.com/file/27-CR-21-12714.pdf","27-CR-21-12714")</f>
        <v>27-CR-21-12714</v>
      </c>
      <c r="C163" s="1" t="n">
        <v>1</v>
      </c>
      <c r="D163" s="2" t="s">
        <v>12</v>
      </c>
      <c r="E163" s="8" t="n">
        <v>44692</v>
      </c>
      <c r="F163" s="2" t="s">
        <v>15</v>
      </c>
      <c r="G163" s="7" t="str">
        <f aca="false">HYPERLINK("https://mncourtfraud.com/file/MCRO_27-CR-21-12714_Order-Evaluation for Competency to Proceed (Rule 20.01)_2022-05-11_20251126181834.pdf","MCRO_27-CR-21-12714_Order-Evaluation for Competency to Proceed (Rule 20.01)_2022-05-11_20251126181834.pdf")</f>
        <v>MCRO_27-CR-21-12714_Order-Evaluation for Competency to Proceed (Rule 20.01)_2022-05-11_20251126181834.pdf</v>
      </c>
      <c r="H163" s="1" t="n">
        <v>3</v>
      </c>
      <c r="I163" s="1" t="s">
        <v>1360</v>
      </c>
      <c r="J163" s="1" t="n">
        <v>1</v>
      </c>
      <c r="K163" s="1" t="n">
        <v>1</v>
      </c>
      <c r="L163" s="2" t="s">
        <v>1664</v>
      </c>
      <c r="M163" s="2" t="s">
        <v>1362</v>
      </c>
      <c r="N163" s="2" t="s">
        <v>1665</v>
      </c>
      <c r="O163" s="2" t="s">
        <v>1364</v>
      </c>
      <c r="P163" s="2" t="s">
        <v>1399</v>
      </c>
      <c r="Q163" s="1" t="n">
        <v>0</v>
      </c>
      <c r="R163" s="2" t="n">
        <v>218707</v>
      </c>
      <c r="S163" s="2" t="n">
        <v>235093</v>
      </c>
      <c r="T163" s="2" t="n">
        <v>4727</v>
      </c>
      <c r="U163" s="2" t="n">
        <v>223434</v>
      </c>
      <c r="V163" s="2" t="n">
        <v>93.17</v>
      </c>
      <c r="W163" s="2" t="s">
        <v>1360</v>
      </c>
    </row>
    <row r="164" customFormat="false" ht="18.7" hidden="false" customHeight="true" outlineLevel="0" collapsed="false">
      <c r="A164" s="1" t="n">
        <v>163</v>
      </c>
      <c r="B164" s="7" t="str">
        <f aca="false">HYPERLINK("https://mncourtfraud.com/file/27-CR-21-12714.pdf","27-CR-21-12714")</f>
        <v>27-CR-21-12714</v>
      </c>
      <c r="C164" s="1" t="n">
        <v>1</v>
      </c>
      <c r="D164" s="2" t="s">
        <v>12</v>
      </c>
      <c r="E164" s="8" t="n">
        <v>44895</v>
      </c>
      <c r="F164" s="2" t="s">
        <v>15</v>
      </c>
      <c r="G164" s="7" t="str">
        <f aca="false">HYPERLINK("https://mncourtfraud.com/file/MCRO_27-CR-21-12714_Order-Evaluation for Competency to Proceed (Rule 20.01)_2022-11-30_20251126181847.pdf","MCRO_27-CR-21-12714_Order-Evaluation for Competency to Proceed (Rule 20.01)_2022-11-30_20251126181847.pdf")</f>
        <v>MCRO_27-CR-21-12714_Order-Evaluation for Competency to Proceed (Rule 20.01)_2022-11-30_20251126181847.pdf</v>
      </c>
      <c r="H164" s="1" t="n">
        <v>4</v>
      </c>
      <c r="I164" s="1" t="s">
        <v>1360</v>
      </c>
      <c r="J164" s="1" t="n">
        <v>1</v>
      </c>
      <c r="K164" s="1" t="n">
        <v>1</v>
      </c>
      <c r="L164" s="2" t="s">
        <v>1666</v>
      </c>
      <c r="M164" s="2" t="s">
        <v>1362</v>
      </c>
      <c r="N164" s="2" t="s">
        <v>1667</v>
      </c>
      <c r="O164" s="2" t="s">
        <v>1364</v>
      </c>
      <c r="P164" s="2" t="s">
        <v>1402</v>
      </c>
      <c r="Q164" s="1" t="n">
        <v>0</v>
      </c>
      <c r="R164" s="2" t="n">
        <v>795532</v>
      </c>
      <c r="S164" s="2" t="n">
        <v>811918</v>
      </c>
      <c r="T164" s="2" t="n">
        <v>5080</v>
      </c>
      <c r="U164" s="2" t="n">
        <v>800612</v>
      </c>
      <c r="V164" s="2" t="n">
        <v>97.99</v>
      </c>
      <c r="W164" s="2" t="s">
        <v>1360</v>
      </c>
    </row>
    <row r="165" customFormat="false" ht="18.7" hidden="false" customHeight="true" outlineLevel="0" collapsed="false">
      <c r="A165" s="1" t="n">
        <v>164</v>
      </c>
      <c r="B165" s="7" t="str">
        <f aca="false">HYPERLINK("https://mncourtfraud.com/file/27-CR-21-12714.pdf","27-CR-21-12714")</f>
        <v>27-CR-21-12714</v>
      </c>
      <c r="C165" s="1" t="n">
        <v>1</v>
      </c>
      <c r="D165" s="2" t="s">
        <v>12</v>
      </c>
      <c r="E165" s="8" t="n">
        <v>45160</v>
      </c>
      <c r="F165" s="2" t="s">
        <v>15</v>
      </c>
      <c r="G165" s="7" t="str">
        <f aca="false">HYPERLINK("https://mncourtfraud.com/file/MCRO_27-CR-21-12714_Order-Evaluation for Competency to Proceed (Rule 20.01)_2023-08-22_20251126181856.pdf","MCRO_27-CR-21-12714_Order-Evaluation for Competency to Proceed (Rule 20.01)_2023-08-22_20251126181856.pdf")</f>
        <v>MCRO_27-CR-21-12714_Order-Evaluation for Competency to Proceed (Rule 20.01)_2023-08-22_20251126181856.pdf</v>
      </c>
      <c r="H165" s="1" t="n">
        <v>6</v>
      </c>
      <c r="I165" s="1" t="s">
        <v>1366</v>
      </c>
      <c r="J165" s="1" t="n">
        <v>1</v>
      </c>
      <c r="K165" s="1" t="n">
        <v>1</v>
      </c>
      <c r="L165" s="2" t="s">
        <v>1367</v>
      </c>
      <c r="M165" s="2" t="s">
        <v>1519</v>
      </c>
      <c r="N165" s="2" t="s">
        <v>1520</v>
      </c>
      <c r="O165" s="2" t="s">
        <v>1494</v>
      </c>
      <c r="P165" s="2" t="s">
        <v>1521</v>
      </c>
      <c r="Q165" s="1" t="n">
        <v>0</v>
      </c>
      <c r="R165" s="2" t="n">
        <v>122115</v>
      </c>
      <c r="S165" s="2" t="n">
        <v>129143</v>
      </c>
      <c r="T165" s="2" t="n">
        <v>87775</v>
      </c>
      <c r="U165" s="2" t="n">
        <v>209890</v>
      </c>
      <c r="V165" s="2" t="n">
        <v>23.95</v>
      </c>
      <c r="W165" s="2" t="s">
        <v>1366</v>
      </c>
    </row>
    <row r="166" customFormat="false" ht="18.7" hidden="false" customHeight="true" outlineLevel="0" collapsed="false">
      <c r="A166" s="1" t="n">
        <v>165</v>
      </c>
      <c r="B166" s="7" t="str">
        <f aca="false">HYPERLINK("https://mncourtfraud.com/file/27-CR-21-12714.pdf","27-CR-21-12714")</f>
        <v>27-CR-21-12714</v>
      </c>
      <c r="C166" s="1" t="n">
        <v>1</v>
      </c>
      <c r="D166" s="2" t="s">
        <v>12</v>
      </c>
      <c r="E166" s="8" t="n">
        <v>45160</v>
      </c>
      <c r="F166" s="2" t="s">
        <v>15</v>
      </c>
      <c r="G166" s="7" t="str">
        <f aca="false">HYPERLINK("https://mncourtfraud.com/file/MCRO_27-CR-21-12714_Order-Evaluation for Competency to Proceed (Rule 20.01)_2023-08-22_20251126181856.pdf","MCRO_27-CR-21-12714_Order-Evaluation for Competency to Proceed (Rule 20.01)_2023-08-22_20251126181856.pdf")</f>
        <v>MCRO_27-CR-21-12714_Order-Evaluation for Competency to Proceed (Rule 20.01)_2023-08-22_20251126181856.pdf</v>
      </c>
      <c r="H166" s="1" t="n">
        <v>6</v>
      </c>
      <c r="I166" s="1" t="s">
        <v>1366</v>
      </c>
      <c r="J166" s="1" t="n">
        <v>2</v>
      </c>
      <c r="K166" s="1" t="n">
        <v>2</v>
      </c>
      <c r="L166" s="2" t="s">
        <v>1668</v>
      </c>
      <c r="M166" s="2" t="s">
        <v>1362</v>
      </c>
      <c r="N166" s="2" t="s">
        <v>1669</v>
      </c>
      <c r="O166" s="2" t="s">
        <v>1364</v>
      </c>
      <c r="P166" s="2" t="s">
        <v>1524</v>
      </c>
      <c r="Q166" s="1" t="n">
        <v>0</v>
      </c>
      <c r="R166" s="2" t="n">
        <v>855045</v>
      </c>
      <c r="S166" s="2" t="n">
        <v>871431</v>
      </c>
      <c r="T166" s="2" t="n">
        <v>4974</v>
      </c>
      <c r="U166" s="2" t="n">
        <v>860019</v>
      </c>
      <c r="V166" s="2" t="n">
        <v>98.13</v>
      </c>
      <c r="W166" s="2" t="s">
        <v>1360</v>
      </c>
    </row>
    <row r="167" customFormat="false" ht="18.7" hidden="false" customHeight="true" outlineLevel="0" collapsed="false">
      <c r="A167" s="1" t="n">
        <v>166</v>
      </c>
      <c r="B167" s="7" t="str">
        <f aca="false">HYPERLINK("https://mncourtfraud.com/file/27-CR-21-12714.pdf","27-CR-21-12714")</f>
        <v>27-CR-21-12714</v>
      </c>
      <c r="C167" s="1" t="n">
        <v>1</v>
      </c>
      <c r="D167" s="2" t="s">
        <v>12</v>
      </c>
      <c r="E167" s="8" t="n">
        <v>45412</v>
      </c>
      <c r="F167" s="2" t="s">
        <v>15</v>
      </c>
      <c r="G167" s="7" t="str">
        <f aca="false">HYPERLINK("https://mncourtfraud.com/file/MCRO_27-CR-21-12714_Order-Evaluation for Competency to Proceed (Rule 20.01)_2024-04-30_20251126181906.pdf","MCRO_27-CR-21-12714_Order-Evaluation for Competency to Proceed (Rule 20.01)_2024-04-30_20251126181906.pdf")</f>
        <v>MCRO_27-CR-21-12714_Order-Evaluation for Competency to Proceed (Rule 20.01)_2024-04-30_20251126181906.pdf</v>
      </c>
      <c r="H167" s="1" t="n">
        <v>4</v>
      </c>
      <c r="I167" s="1" t="s">
        <v>1360</v>
      </c>
      <c r="J167" s="1" t="n">
        <v>1</v>
      </c>
      <c r="K167" s="1" t="n">
        <v>1</v>
      </c>
      <c r="L167" s="2" t="s">
        <v>1670</v>
      </c>
      <c r="M167" s="2" t="s">
        <v>1362</v>
      </c>
      <c r="N167" s="2" t="s">
        <v>1671</v>
      </c>
      <c r="O167" s="2" t="s">
        <v>1364</v>
      </c>
      <c r="P167" s="2" t="s">
        <v>1390</v>
      </c>
      <c r="Q167" s="1" t="n">
        <v>0</v>
      </c>
      <c r="R167" s="2" t="n">
        <v>198659</v>
      </c>
      <c r="S167" s="2" t="n">
        <v>215045</v>
      </c>
      <c r="T167" s="2" t="n">
        <v>4474</v>
      </c>
      <c r="U167" s="2" t="n">
        <v>203133</v>
      </c>
      <c r="V167" s="2" t="n">
        <v>92.54</v>
      </c>
      <c r="W167" s="2" t="s">
        <v>1360</v>
      </c>
    </row>
    <row r="168" customFormat="false" ht="18.7" hidden="false" customHeight="true" outlineLevel="0" collapsed="false">
      <c r="A168" s="1" t="n">
        <v>167</v>
      </c>
      <c r="B168" s="7" t="str">
        <f aca="false">HYPERLINK("https://mncourtfraud.com/file/27-CR-21-12714.pdf","27-CR-21-12714")</f>
        <v>27-CR-21-12714</v>
      </c>
      <c r="C168" s="1" t="n">
        <v>1</v>
      </c>
      <c r="D168" s="2" t="s">
        <v>12</v>
      </c>
      <c r="E168" s="8" t="n">
        <v>44460</v>
      </c>
      <c r="F168" s="2" t="s">
        <v>24</v>
      </c>
      <c r="G168" s="7" t="str">
        <f aca="false">HYPERLINK("https://mncourtfraud.com/file/MCRO_27-CR-21-12714_Order for Conditional Release_2021-09-21_20251126181747.pdf","MCRO_27-CR-21-12714_Order for Conditional Release_2021-09-21_20251126181747.pdf")</f>
        <v>MCRO_27-CR-21-12714_Order for Conditional Release_2021-09-21_20251126181747.pdf</v>
      </c>
      <c r="H168" s="1" t="n">
        <v>4</v>
      </c>
      <c r="I168" s="1" t="s">
        <v>1360</v>
      </c>
      <c r="J168" s="1" t="n">
        <v>1</v>
      </c>
      <c r="K168" s="1" t="n">
        <v>1</v>
      </c>
      <c r="L168" s="2" t="s">
        <v>1672</v>
      </c>
      <c r="M168" s="2" t="s">
        <v>1362</v>
      </c>
      <c r="N168" s="2" t="s">
        <v>1673</v>
      </c>
      <c r="O168" s="2" t="s">
        <v>1364</v>
      </c>
      <c r="P168" s="2" t="s">
        <v>1405</v>
      </c>
      <c r="Q168" s="1" t="n">
        <v>0</v>
      </c>
      <c r="R168" s="2" t="n">
        <v>84990</v>
      </c>
      <c r="S168" s="2" t="n">
        <v>101376</v>
      </c>
      <c r="T168" s="2" t="n">
        <v>4472</v>
      </c>
      <c r="U168" s="2" t="n">
        <v>89462</v>
      </c>
      <c r="V168" s="2" t="n">
        <v>84.52</v>
      </c>
      <c r="W168" s="2" t="s">
        <v>1360</v>
      </c>
    </row>
    <row r="169" customFormat="false" ht="18.7" hidden="false" customHeight="true" outlineLevel="0" collapsed="false">
      <c r="A169" s="1" t="n">
        <v>168</v>
      </c>
      <c r="B169" s="7" t="str">
        <f aca="false">HYPERLINK("https://mncourtfraud.com/file/27-CR-21-12714.pdf","27-CR-21-12714")</f>
        <v>27-CR-21-12714</v>
      </c>
      <c r="C169" s="1" t="n">
        <v>1</v>
      </c>
      <c r="D169" s="2" t="s">
        <v>12</v>
      </c>
      <c r="E169" s="8" t="n">
        <v>44468</v>
      </c>
      <c r="F169" s="2" t="s">
        <v>24</v>
      </c>
      <c r="G169" s="7" t="str">
        <f aca="false">HYPERLINK("https://mncourtfraud.com/file/MCRO_27-CR-21-12714_Order for Conditional Release_2021-09-29_20251126181755.pdf","MCRO_27-CR-21-12714_Order for Conditional Release_2021-09-29_20251126181755.pdf")</f>
        <v>MCRO_27-CR-21-12714_Order for Conditional Release_2021-09-29_20251126181755.pdf</v>
      </c>
      <c r="H169" s="1" t="n">
        <v>4</v>
      </c>
      <c r="I169" s="1" t="s">
        <v>1360</v>
      </c>
      <c r="J169" s="1" t="n">
        <v>1</v>
      </c>
      <c r="K169" s="1" t="n">
        <v>1</v>
      </c>
      <c r="L169" s="2" t="s">
        <v>1674</v>
      </c>
      <c r="M169" s="2" t="s">
        <v>1362</v>
      </c>
      <c r="N169" s="2" t="s">
        <v>1675</v>
      </c>
      <c r="O169" s="2" t="s">
        <v>1364</v>
      </c>
      <c r="P169" s="2" t="s">
        <v>1408</v>
      </c>
      <c r="Q169" s="1" t="n">
        <v>0</v>
      </c>
      <c r="R169" s="2" t="n">
        <v>130453</v>
      </c>
      <c r="S169" s="2" t="n">
        <v>146839</v>
      </c>
      <c r="T169" s="2" t="n">
        <v>4975</v>
      </c>
      <c r="U169" s="2" t="n">
        <v>135428</v>
      </c>
      <c r="V169" s="2" t="n">
        <v>89.21</v>
      </c>
      <c r="W169" s="2" t="s">
        <v>1360</v>
      </c>
    </row>
    <row r="170" customFormat="false" ht="18.7" hidden="false" customHeight="true" outlineLevel="0" collapsed="false">
      <c r="A170" s="1" t="n">
        <v>169</v>
      </c>
      <c r="B170" s="7" t="str">
        <f aca="false">HYPERLINK("https://mncourtfraud.com/file/27-CR-21-12714.pdf","27-CR-21-12714")</f>
        <v>27-CR-21-12714</v>
      </c>
      <c r="C170" s="1" t="n">
        <v>1</v>
      </c>
      <c r="D170" s="2" t="s">
        <v>12</v>
      </c>
      <c r="E170" s="8" t="n">
        <v>45412</v>
      </c>
      <c r="F170" s="2" t="s">
        <v>24</v>
      </c>
      <c r="G170" s="7" t="str">
        <f aca="false">HYPERLINK("https://mncourtfraud.com/file/MCRO_27-CR-21-12714_Order for Conditional Release_2024-04-30_20251126181738.pdf","MCRO_27-CR-21-12714_Order for Conditional Release_2024-04-30_20251126181738.pdf")</f>
        <v>MCRO_27-CR-21-12714_Order for Conditional Release_2024-04-30_20251126181738.pdf</v>
      </c>
      <c r="H170" s="1" t="n">
        <v>4</v>
      </c>
      <c r="I170" s="1" t="s">
        <v>1360</v>
      </c>
      <c r="J170" s="1" t="n">
        <v>1</v>
      </c>
      <c r="K170" s="1" t="n">
        <v>1</v>
      </c>
      <c r="L170" s="2" t="s">
        <v>1676</v>
      </c>
      <c r="M170" s="2" t="s">
        <v>1362</v>
      </c>
      <c r="N170" s="2" t="s">
        <v>1677</v>
      </c>
      <c r="O170" s="2" t="s">
        <v>1364</v>
      </c>
      <c r="P170" s="2" t="s">
        <v>1536</v>
      </c>
      <c r="Q170" s="1" t="n">
        <v>0</v>
      </c>
      <c r="R170" s="2" t="n">
        <v>129678</v>
      </c>
      <c r="S170" s="2" t="n">
        <v>146064</v>
      </c>
      <c r="T170" s="2" t="n">
        <v>4468</v>
      </c>
      <c r="U170" s="2" t="n">
        <v>134146</v>
      </c>
      <c r="V170" s="2" t="n">
        <v>89.11</v>
      </c>
      <c r="W170" s="2" t="s">
        <v>1360</v>
      </c>
    </row>
    <row r="171" customFormat="false" ht="18.7" hidden="false" customHeight="true" outlineLevel="0" collapsed="false">
      <c r="A171" s="1" t="n">
        <v>170</v>
      </c>
      <c r="B171" s="7" t="str">
        <f aca="false">HYPERLINK("https://mncourtfraud.com/file/27-CR-21-12749.pdf","27-CR-21-12749")</f>
        <v>27-CR-21-12749</v>
      </c>
      <c r="C171" s="1" t="n">
        <v>1</v>
      </c>
      <c r="D171" s="2" t="s">
        <v>12</v>
      </c>
      <c r="E171" s="8" t="n">
        <v>44405</v>
      </c>
      <c r="F171" s="2" t="s">
        <v>145</v>
      </c>
      <c r="G171" s="7" t="str">
        <f aca="false">HYPERLINK("https://mncourtfraud.com/file/MCRO_27-CR-21-12749_Demand or Request for Discovery_2021-07-28_20251126181936.pdf","MCRO_27-CR-21-12749_Demand or Request for Discovery_2021-07-28_20251126181936.pdf")</f>
        <v>MCRO_27-CR-21-12749_Demand or Request for Discovery_2021-07-28_20251126181936.pdf</v>
      </c>
      <c r="H171" s="1" t="n">
        <v>3</v>
      </c>
      <c r="I171" s="1" t="s">
        <v>1360</v>
      </c>
      <c r="J171" s="1" t="n">
        <v>1</v>
      </c>
      <c r="K171" s="1" t="n">
        <v>1</v>
      </c>
      <c r="L171" s="2" t="s">
        <v>1678</v>
      </c>
      <c r="M171" s="2" t="s">
        <v>1362</v>
      </c>
      <c r="N171" s="2" t="s">
        <v>1679</v>
      </c>
      <c r="O171" s="2" t="s">
        <v>1364</v>
      </c>
      <c r="P171" s="2" t="s">
        <v>1651</v>
      </c>
      <c r="Q171" s="1" t="n">
        <v>0</v>
      </c>
      <c r="R171" s="2" t="n">
        <v>293506</v>
      </c>
      <c r="S171" s="2" t="n">
        <v>309892</v>
      </c>
      <c r="T171" s="2" t="n">
        <v>5945</v>
      </c>
      <c r="U171" s="2" t="n">
        <v>299451</v>
      </c>
      <c r="V171" s="2" t="n">
        <v>94.81</v>
      </c>
      <c r="W171" s="2" t="s">
        <v>1360</v>
      </c>
    </row>
    <row r="172" customFormat="false" ht="18.7" hidden="false" customHeight="true" outlineLevel="0" collapsed="false">
      <c r="A172" s="1" t="n">
        <v>171</v>
      </c>
      <c r="B172" s="7" t="str">
        <f aca="false">HYPERLINK("https://mncourtfraud.com/file/27-CR-21-12749.pdf","27-CR-21-12749")</f>
        <v>27-CR-21-12749</v>
      </c>
      <c r="C172" s="1" t="n">
        <v>1</v>
      </c>
      <c r="D172" s="2" t="s">
        <v>12</v>
      </c>
      <c r="E172" s="8" t="n">
        <v>45048</v>
      </c>
      <c r="F172" s="2" t="s">
        <v>80</v>
      </c>
      <c r="G172" s="7" t="str">
        <f aca="false">HYPERLINK("https://mncourtfraud.com/file/MCRO_27-CR-21-12749_Finding of Incompetency and Order_2023-05-02_20251126181946.pdf","MCRO_27-CR-21-12749_Finding of Incompetency and Order_2023-05-02_20251126181946.pdf")</f>
        <v>MCRO_27-CR-21-12749_Finding of Incompetency and Order_2023-05-02_20251126181946.pdf</v>
      </c>
      <c r="H172" s="1" t="n">
        <v>9</v>
      </c>
      <c r="I172" s="1" t="s">
        <v>1366</v>
      </c>
      <c r="J172" s="1" t="n">
        <v>1</v>
      </c>
      <c r="K172" s="1" t="n">
        <v>1</v>
      </c>
      <c r="L172" s="2" t="s">
        <v>1491</v>
      </c>
      <c r="M172" s="2" t="s">
        <v>1492</v>
      </c>
      <c r="N172" s="2" t="s">
        <v>1493</v>
      </c>
      <c r="O172" s="2" t="s">
        <v>1494</v>
      </c>
      <c r="P172" s="2" t="s">
        <v>1495</v>
      </c>
      <c r="Q172" s="1" t="n">
        <v>0</v>
      </c>
      <c r="R172" s="2" t="n">
        <v>100288</v>
      </c>
      <c r="S172" s="2" t="n">
        <v>112370</v>
      </c>
      <c r="T172" s="2" t="n">
        <v>48200</v>
      </c>
      <c r="U172" s="2" t="n">
        <v>148488</v>
      </c>
      <c r="V172" s="2" t="n">
        <v>15.21</v>
      </c>
      <c r="W172" s="2" t="s">
        <v>1366</v>
      </c>
    </row>
    <row r="173" customFormat="false" ht="18.7" hidden="false" customHeight="true" outlineLevel="0" collapsed="false">
      <c r="A173" s="1" t="n">
        <v>172</v>
      </c>
      <c r="B173" s="7" t="str">
        <f aca="false">HYPERLINK("https://mncourtfraud.com/file/27-CR-21-12749.pdf","27-CR-21-12749")</f>
        <v>27-CR-21-12749</v>
      </c>
      <c r="C173" s="1" t="n">
        <v>1</v>
      </c>
      <c r="D173" s="2" t="s">
        <v>12</v>
      </c>
      <c r="E173" s="8" t="n">
        <v>45048</v>
      </c>
      <c r="F173" s="2" t="s">
        <v>80</v>
      </c>
      <c r="G173" s="7" t="str">
        <f aca="false">HYPERLINK("https://mncourtfraud.com/file/MCRO_27-CR-21-12749_Finding of Incompetency and Order_2023-05-02_20251126181946.pdf","MCRO_27-CR-21-12749_Finding of Incompetency and Order_2023-05-02_20251126181946.pdf")</f>
        <v>MCRO_27-CR-21-12749_Finding of Incompetency and Order_2023-05-02_20251126181946.pdf</v>
      </c>
      <c r="H173" s="1" t="n">
        <v>9</v>
      </c>
      <c r="I173" s="1" t="s">
        <v>1366</v>
      </c>
      <c r="J173" s="1" t="n">
        <v>2</v>
      </c>
      <c r="K173" s="1" t="n">
        <v>2</v>
      </c>
      <c r="L173" s="2" t="s">
        <v>1367</v>
      </c>
      <c r="M173" s="2" t="s">
        <v>1496</v>
      </c>
      <c r="N173" s="2" t="s">
        <v>1497</v>
      </c>
      <c r="O173" s="2" t="s">
        <v>1494</v>
      </c>
      <c r="P173" s="2" t="s">
        <v>1498</v>
      </c>
      <c r="Q173" s="1" t="n">
        <v>0</v>
      </c>
      <c r="R173" s="2" t="n">
        <v>160968</v>
      </c>
      <c r="S173" s="2" t="n">
        <v>167974</v>
      </c>
      <c r="T173" s="2" t="n">
        <v>59084</v>
      </c>
      <c r="U173" s="2" t="n">
        <v>220052</v>
      </c>
      <c r="V173" s="2" t="n">
        <v>22.53</v>
      </c>
      <c r="W173" s="2" t="s">
        <v>1366</v>
      </c>
    </row>
    <row r="174" customFormat="false" ht="18.7" hidden="false" customHeight="true" outlineLevel="0" collapsed="false">
      <c r="A174" s="1" t="n">
        <v>173</v>
      </c>
      <c r="B174" s="7" t="str">
        <f aca="false">HYPERLINK("https://mncourtfraud.com/file/27-CR-21-12749.pdf","27-CR-21-12749")</f>
        <v>27-CR-21-12749</v>
      </c>
      <c r="C174" s="1" t="n">
        <v>1</v>
      </c>
      <c r="D174" s="2" t="s">
        <v>12</v>
      </c>
      <c r="E174" s="8" t="n">
        <v>45048</v>
      </c>
      <c r="F174" s="2" t="s">
        <v>80</v>
      </c>
      <c r="G174" s="7" t="str">
        <f aca="false">HYPERLINK("https://mncourtfraud.com/file/MCRO_27-CR-21-12749_Finding of Incompetency and Order_2023-05-02_20251126181946.pdf","MCRO_27-CR-21-12749_Finding of Incompetency and Order_2023-05-02_20251126181946.pdf")</f>
        <v>MCRO_27-CR-21-12749_Finding of Incompetency and Order_2023-05-02_20251126181946.pdf</v>
      </c>
      <c r="H174" s="1" t="n">
        <v>9</v>
      </c>
      <c r="I174" s="1" t="s">
        <v>1366</v>
      </c>
      <c r="J174" s="1" t="n">
        <v>3</v>
      </c>
      <c r="K174" s="1" t="n">
        <v>3</v>
      </c>
      <c r="L174" s="2" t="s">
        <v>1680</v>
      </c>
      <c r="M174" s="2" t="s">
        <v>1362</v>
      </c>
      <c r="N174" s="2" t="s">
        <v>1681</v>
      </c>
      <c r="O174" s="2" t="s">
        <v>1364</v>
      </c>
      <c r="P174" s="2" t="s">
        <v>1501</v>
      </c>
      <c r="Q174" s="1" t="n">
        <v>0</v>
      </c>
      <c r="R174" s="2" t="n">
        <v>954852</v>
      </c>
      <c r="S174" s="2" t="n">
        <v>971238</v>
      </c>
      <c r="T174" s="2" t="n">
        <v>5307</v>
      </c>
      <c r="U174" s="2" t="n">
        <v>960159</v>
      </c>
      <c r="V174" s="2" t="n">
        <v>98.32</v>
      </c>
      <c r="W174" s="2" t="s">
        <v>1360</v>
      </c>
    </row>
    <row r="175" customFormat="false" ht="18.7" hidden="false" customHeight="true" outlineLevel="0" collapsed="false">
      <c r="A175" s="1" t="n">
        <v>174</v>
      </c>
      <c r="B175" s="7" t="str">
        <f aca="false">HYPERLINK("https://mncourtfraud.com/file/27-CR-21-12749.pdf","27-CR-21-12749")</f>
        <v>27-CR-21-12749</v>
      </c>
      <c r="C175" s="1" t="n">
        <v>1</v>
      </c>
      <c r="D175" s="2" t="s">
        <v>12</v>
      </c>
      <c r="E175" s="8" t="n">
        <v>44439</v>
      </c>
      <c r="F175" s="2" t="s">
        <v>19</v>
      </c>
      <c r="G175" s="7" t="str">
        <f aca="false">HYPERLINK("https://mncourtfraud.com/file/MCRO_27-CR-21-12749_Findings and Order_2021-08-31_20251126182009.pdf","MCRO_27-CR-21-12749_Findings and Order_2021-08-31_20251126182009.pdf")</f>
        <v>MCRO_27-CR-21-12749_Findings and Order_2021-08-31_20251126182009.pdf</v>
      </c>
      <c r="H175" s="1" t="n">
        <v>5</v>
      </c>
      <c r="I175" s="1" t="s">
        <v>1366</v>
      </c>
      <c r="J175" s="1" t="n">
        <v>1</v>
      </c>
      <c r="K175" s="1" t="n">
        <v>1</v>
      </c>
      <c r="L175" s="2" t="s">
        <v>1367</v>
      </c>
      <c r="M175" s="2" t="s">
        <v>1368</v>
      </c>
      <c r="N175" s="2" t="s">
        <v>1369</v>
      </c>
      <c r="O175" s="2" t="s">
        <v>1364</v>
      </c>
      <c r="P175" s="2" t="s">
        <v>1370</v>
      </c>
      <c r="Q175" s="1" t="n">
        <v>0</v>
      </c>
      <c r="R175" s="2" t="n">
        <v>129996</v>
      </c>
      <c r="S175" s="2" t="n">
        <v>137690</v>
      </c>
      <c r="T175" s="2" t="n">
        <v>19979</v>
      </c>
      <c r="U175" s="2" t="n">
        <v>149975</v>
      </c>
      <c r="V175" s="2" t="n">
        <v>39.94</v>
      </c>
      <c r="W175" s="2" t="s">
        <v>1366</v>
      </c>
    </row>
    <row r="176" customFormat="false" ht="18.7" hidden="false" customHeight="true" outlineLevel="0" collapsed="false">
      <c r="A176" s="1" t="n">
        <v>175</v>
      </c>
      <c r="B176" s="7" t="str">
        <f aca="false">HYPERLINK("https://mncourtfraud.com/file/27-CR-21-12749.pdf","27-CR-21-12749")</f>
        <v>27-CR-21-12749</v>
      </c>
      <c r="C176" s="1" t="n">
        <v>1</v>
      </c>
      <c r="D176" s="2" t="s">
        <v>12</v>
      </c>
      <c r="E176" s="8" t="n">
        <v>44439</v>
      </c>
      <c r="F176" s="2" t="s">
        <v>19</v>
      </c>
      <c r="G176" s="7" t="str">
        <f aca="false">HYPERLINK("https://mncourtfraud.com/file/MCRO_27-CR-21-12749_Findings and Order_2021-08-31_20251126182009.pdf","MCRO_27-CR-21-12749_Findings and Order_2021-08-31_20251126182009.pdf")</f>
        <v>MCRO_27-CR-21-12749_Findings and Order_2021-08-31_20251126182009.pdf</v>
      </c>
      <c r="H176" s="1" t="n">
        <v>5</v>
      </c>
      <c r="I176" s="1" t="s">
        <v>1366</v>
      </c>
      <c r="J176" s="1" t="n">
        <v>2</v>
      </c>
      <c r="K176" s="1" t="n">
        <v>2</v>
      </c>
      <c r="L176" s="2" t="s">
        <v>1682</v>
      </c>
      <c r="M176" s="2" t="s">
        <v>1362</v>
      </c>
      <c r="N176" s="2" t="s">
        <v>1683</v>
      </c>
      <c r="O176" s="2" t="s">
        <v>1364</v>
      </c>
      <c r="P176" s="2" t="s">
        <v>1373</v>
      </c>
      <c r="Q176" s="1" t="n">
        <v>0</v>
      </c>
      <c r="R176" s="2" t="n">
        <v>354060</v>
      </c>
      <c r="S176" s="2" t="n">
        <v>370446</v>
      </c>
      <c r="T176" s="2" t="n">
        <v>5040</v>
      </c>
      <c r="U176" s="2" t="n">
        <v>359100</v>
      </c>
      <c r="V176" s="2" t="n">
        <v>95.64</v>
      </c>
      <c r="W176" s="2" t="s">
        <v>1360</v>
      </c>
    </row>
    <row r="177" customFormat="false" ht="18.7" hidden="false" customHeight="true" outlineLevel="0" collapsed="false">
      <c r="A177" s="1" t="n">
        <v>176</v>
      </c>
      <c r="B177" s="7" t="str">
        <f aca="false">HYPERLINK("https://mncourtfraud.com/file/27-CR-21-12749.pdf","27-CR-21-12749")</f>
        <v>27-CR-21-12749</v>
      </c>
      <c r="C177" s="1" t="n">
        <v>1</v>
      </c>
      <c r="D177" s="2" t="s">
        <v>12</v>
      </c>
      <c r="E177" s="8" t="n">
        <v>44593</v>
      </c>
      <c r="F177" s="2" t="s">
        <v>19</v>
      </c>
      <c r="G177" s="7" t="str">
        <f aca="false">HYPERLINK("https://mncourtfraud.com/file/MCRO_27-CR-21-12749_Findings and Order_2022-02-01_20251126181958.pdf","MCRO_27-CR-21-12749_Findings and Order_2022-02-01_20251126181958.pdf")</f>
        <v>MCRO_27-CR-21-12749_Findings and Order_2022-02-01_20251126181958.pdf</v>
      </c>
      <c r="H177" s="1" t="n">
        <v>4</v>
      </c>
      <c r="I177" s="1" t="s">
        <v>1360</v>
      </c>
      <c r="J177" s="1" t="n">
        <v>1</v>
      </c>
      <c r="K177" s="1" t="n">
        <v>1</v>
      </c>
      <c r="L177" s="2" t="s">
        <v>1367</v>
      </c>
      <c r="M177" s="2" t="s">
        <v>1368</v>
      </c>
      <c r="N177" s="2" t="s">
        <v>1374</v>
      </c>
      <c r="O177" s="2" t="s">
        <v>1364</v>
      </c>
      <c r="P177" s="2" t="s">
        <v>1375</v>
      </c>
      <c r="Q177" s="1" t="n">
        <v>0</v>
      </c>
      <c r="R177" s="2" t="n">
        <v>163153</v>
      </c>
      <c r="S177" s="2" t="n">
        <v>173205</v>
      </c>
      <c r="T177" s="2" t="n">
        <v>9683</v>
      </c>
      <c r="U177" s="2" t="n">
        <v>172836</v>
      </c>
      <c r="V177" s="2" t="n">
        <v>47.77</v>
      </c>
      <c r="W177" s="2" t="s">
        <v>1366</v>
      </c>
    </row>
    <row r="178" customFormat="false" ht="18.7" hidden="false" customHeight="true" outlineLevel="0" collapsed="false">
      <c r="A178" s="1" t="n">
        <v>177</v>
      </c>
      <c r="B178" s="7" t="str">
        <f aca="false">HYPERLINK("https://mncourtfraud.com/file/27-CR-21-12749.pdf","27-CR-21-12749")</f>
        <v>27-CR-21-12749</v>
      </c>
      <c r="C178" s="1" t="n">
        <v>1</v>
      </c>
      <c r="D178" s="2" t="s">
        <v>12</v>
      </c>
      <c r="E178" s="8" t="n">
        <v>44593</v>
      </c>
      <c r="F178" s="2" t="s">
        <v>19</v>
      </c>
      <c r="G178" s="7" t="str">
        <f aca="false">HYPERLINK("https://mncourtfraud.com/file/MCRO_27-CR-21-12749_Findings and Order_2022-02-01_20251126181958.pdf","MCRO_27-CR-21-12749_Findings and Order_2022-02-01_20251126181958.pdf")</f>
        <v>MCRO_27-CR-21-12749_Findings and Order_2022-02-01_20251126181958.pdf</v>
      </c>
      <c r="H178" s="1" t="n">
        <v>4</v>
      </c>
      <c r="I178" s="1" t="s">
        <v>1360</v>
      </c>
      <c r="J178" s="1" t="n">
        <v>2</v>
      </c>
      <c r="K178" s="1" t="n">
        <v>2</v>
      </c>
      <c r="L178" s="2" t="s">
        <v>1684</v>
      </c>
      <c r="M178" s="2" t="s">
        <v>1362</v>
      </c>
      <c r="N178" s="2" t="s">
        <v>1685</v>
      </c>
      <c r="O178" s="2" t="s">
        <v>1364</v>
      </c>
      <c r="P178" s="2" t="s">
        <v>1378</v>
      </c>
      <c r="Q178" s="1" t="n">
        <v>0</v>
      </c>
      <c r="R178" s="2" t="n">
        <v>340312</v>
      </c>
      <c r="S178" s="2" t="n">
        <v>356698</v>
      </c>
      <c r="T178" s="2" t="n">
        <v>5091</v>
      </c>
      <c r="U178" s="2" t="n">
        <v>345403</v>
      </c>
      <c r="V178" s="2" t="n">
        <v>95.47</v>
      </c>
      <c r="W178" s="2" t="s">
        <v>1360</v>
      </c>
    </row>
    <row r="179" customFormat="false" ht="18.7" hidden="false" customHeight="true" outlineLevel="0" collapsed="false">
      <c r="A179" s="1" t="n">
        <v>178</v>
      </c>
      <c r="B179" s="7" t="str">
        <f aca="false">HYPERLINK("https://mncourtfraud.com/file/27-CR-21-12749.pdf","27-CR-21-12749")</f>
        <v>27-CR-21-12749</v>
      </c>
      <c r="C179" s="1" t="n">
        <v>1</v>
      </c>
      <c r="D179" s="2" t="s">
        <v>12</v>
      </c>
      <c r="E179" s="8" t="n">
        <v>45093</v>
      </c>
      <c r="F179" s="2" t="s">
        <v>82</v>
      </c>
      <c r="G179" s="7" t="str">
        <f aca="false">HYPERLINK("https://mncourtfraud.com/file/MCRO_27-CR-21-12749_Notice of Case Reassignment_2023-06-16_20251126182023.pdf","MCRO_27-CR-21-12749_Notice of Case Reassignment_2023-06-16_20251126182023.pdf")</f>
        <v>MCRO_27-CR-21-12749_Notice of Case Reassignment_2023-06-16_20251126182023.pdf</v>
      </c>
      <c r="H179" s="1" t="n">
        <v>3</v>
      </c>
      <c r="I179" s="1" t="s">
        <v>1360</v>
      </c>
      <c r="J179" s="1" t="n">
        <v>1</v>
      </c>
      <c r="K179" s="1" t="n">
        <v>1</v>
      </c>
      <c r="L179" s="2" t="s">
        <v>1686</v>
      </c>
      <c r="M179" s="2" t="s">
        <v>1362</v>
      </c>
      <c r="N179" s="2" t="s">
        <v>1687</v>
      </c>
      <c r="O179" s="2" t="s">
        <v>1364</v>
      </c>
      <c r="P179" s="2" t="s">
        <v>1508</v>
      </c>
      <c r="Q179" s="1" t="n">
        <v>0</v>
      </c>
      <c r="R179" s="2" t="n">
        <v>92690</v>
      </c>
      <c r="S179" s="2" t="n">
        <v>109076</v>
      </c>
      <c r="T179" s="2" t="n">
        <v>4553</v>
      </c>
      <c r="U179" s="2" t="n">
        <v>97243</v>
      </c>
      <c r="V179" s="2" t="n">
        <v>85.58</v>
      </c>
      <c r="W179" s="2" t="s">
        <v>1360</v>
      </c>
    </row>
    <row r="180" customFormat="false" ht="18.7" hidden="false" customHeight="true" outlineLevel="0" collapsed="false">
      <c r="A180" s="1" t="n">
        <v>179</v>
      </c>
      <c r="B180" s="7" t="str">
        <f aca="false">HYPERLINK("https://mncourtfraud.com/file/27-CR-21-12749.pdf","27-CR-21-12749")</f>
        <v>27-CR-21-12749</v>
      </c>
      <c r="C180" s="1" t="n">
        <v>1</v>
      </c>
      <c r="D180" s="2" t="s">
        <v>12</v>
      </c>
      <c r="E180" s="8" t="n">
        <v>44396</v>
      </c>
      <c r="F180" s="2" t="s">
        <v>15</v>
      </c>
      <c r="G180" s="7" t="str">
        <f aca="false">HYPERLINK("https://mncourtfraud.com/file/MCRO_27-CR-21-12749_Order-Evaluation for Competency to Proceed (Rule 20.01)_2021-07-19_20251126182123.pdf","MCRO_27-CR-21-12749_Order-Evaluation for Competency to Proceed (Rule 20.01)_2021-07-19_20251126182123.pdf")</f>
        <v>MCRO_27-CR-21-12749_Order-Evaluation for Competency to Proceed (Rule 20.01)_2021-07-19_20251126182123.pdf</v>
      </c>
      <c r="H180" s="1" t="n">
        <v>4</v>
      </c>
      <c r="I180" s="1" t="s">
        <v>1360</v>
      </c>
      <c r="J180" s="1" t="n">
        <v>1</v>
      </c>
      <c r="K180" s="1" t="n">
        <v>1</v>
      </c>
      <c r="L180" s="2" t="s">
        <v>1688</v>
      </c>
      <c r="M180" s="2" t="s">
        <v>1362</v>
      </c>
      <c r="N180" s="2" t="s">
        <v>1689</v>
      </c>
      <c r="O180" s="2" t="s">
        <v>1364</v>
      </c>
      <c r="P180" s="2" t="s">
        <v>1390</v>
      </c>
      <c r="Q180" s="1" t="n">
        <v>0</v>
      </c>
      <c r="R180" s="2" t="n">
        <v>168587</v>
      </c>
      <c r="S180" s="2" t="n">
        <v>184973</v>
      </c>
      <c r="T180" s="2" t="n">
        <v>8533</v>
      </c>
      <c r="U180" s="2" t="n">
        <v>177120</v>
      </c>
      <c r="V180" s="2" t="n">
        <v>91.53</v>
      </c>
      <c r="W180" s="2" t="s">
        <v>1360</v>
      </c>
    </row>
    <row r="181" customFormat="false" ht="18.7" hidden="false" customHeight="true" outlineLevel="0" collapsed="false">
      <c r="A181" s="1" t="n">
        <v>180</v>
      </c>
      <c r="B181" s="7" t="str">
        <f aca="false">HYPERLINK("https://mncourtfraud.com/file/27-CR-21-12749.pdf","27-CR-21-12749")</f>
        <v>27-CR-21-12749</v>
      </c>
      <c r="C181" s="1" t="n">
        <v>1</v>
      </c>
      <c r="D181" s="2" t="s">
        <v>12</v>
      </c>
      <c r="E181" s="8" t="n">
        <v>44543</v>
      </c>
      <c r="F181" s="2" t="s">
        <v>15</v>
      </c>
      <c r="G181" s="7" t="str">
        <f aca="false">HYPERLINK("https://mncourtfraud.com/file/MCRO_27-CR-21-12749_Order-Evaluation for Competency to Proceed (Rule 20.01)_2021-12-13_20251126182133.pdf","MCRO_27-CR-21-12749_Order-Evaluation for Competency to Proceed (Rule 20.01)_2021-12-13_20251126182133.pdf")</f>
        <v>MCRO_27-CR-21-12749_Order-Evaluation for Competency to Proceed (Rule 20.01)_2021-12-13_20251126182133.pdf</v>
      </c>
      <c r="H181" s="1" t="n">
        <v>3</v>
      </c>
      <c r="I181" s="1" t="s">
        <v>1360</v>
      </c>
      <c r="J181" s="1" t="n">
        <v>1</v>
      </c>
      <c r="K181" s="1" t="n">
        <v>1</v>
      </c>
      <c r="L181" s="2" t="s">
        <v>1690</v>
      </c>
      <c r="M181" s="2" t="s">
        <v>1362</v>
      </c>
      <c r="N181" s="2" t="s">
        <v>1691</v>
      </c>
      <c r="O181" s="2" t="s">
        <v>1364</v>
      </c>
      <c r="P181" s="2" t="s">
        <v>1393</v>
      </c>
      <c r="Q181" s="1" t="n">
        <v>0</v>
      </c>
      <c r="R181" s="2" t="n">
        <v>212321</v>
      </c>
      <c r="S181" s="2" t="n">
        <v>228707</v>
      </c>
      <c r="T181" s="2" t="n">
        <v>5135</v>
      </c>
      <c r="U181" s="2" t="n">
        <v>217456</v>
      </c>
      <c r="V181" s="2" t="n">
        <v>92.99</v>
      </c>
      <c r="W181" s="2" t="s">
        <v>1360</v>
      </c>
    </row>
    <row r="182" customFormat="false" ht="18.7" hidden="false" customHeight="true" outlineLevel="0" collapsed="false">
      <c r="A182" s="1" t="n">
        <v>181</v>
      </c>
      <c r="B182" s="7" t="str">
        <f aca="false">HYPERLINK("https://mncourtfraud.com/file/27-CR-21-12749.pdf","27-CR-21-12749")</f>
        <v>27-CR-21-12749</v>
      </c>
      <c r="C182" s="1" t="n">
        <v>1</v>
      </c>
      <c r="D182" s="2" t="s">
        <v>12</v>
      </c>
      <c r="E182" s="8" t="n">
        <v>44558</v>
      </c>
      <c r="F182" s="2" t="s">
        <v>15</v>
      </c>
      <c r="G182" s="7" t="str">
        <f aca="false">HYPERLINK("https://mncourtfraud.com/file/MCRO_27-CR-21-12749_Order-Evaluation for Competency to Proceed (Rule 20.01)_2021-12-28_20251126182145.pdf","MCRO_27-CR-21-12749_Order-Evaluation for Competency to Proceed (Rule 20.01)_2021-12-28_20251126182145.pdf")</f>
        <v>MCRO_27-CR-21-12749_Order-Evaluation for Competency to Proceed (Rule 20.01)_2021-12-28_20251126182145.pdf</v>
      </c>
      <c r="H182" s="1" t="n">
        <v>4</v>
      </c>
      <c r="I182" s="1" t="s">
        <v>1360</v>
      </c>
      <c r="J182" s="1" t="n">
        <v>1</v>
      </c>
      <c r="K182" s="1" t="n">
        <v>1</v>
      </c>
      <c r="L182" s="2" t="s">
        <v>1692</v>
      </c>
      <c r="M182" s="2" t="s">
        <v>1362</v>
      </c>
      <c r="N182" s="2" t="s">
        <v>1693</v>
      </c>
      <c r="O182" s="2" t="s">
        <v>1364</v>
      </c>
      <c r="P182" s="2" t="s">
        <v>1396</v>
      </c>
      <c r="Q182" s="1" t="n">
        <v>0</v>
      </c>
      <c r="R182" s="2" t="n">
        <v>214460</v>
      </c>
      <c r="S182" s="2" t="n">
        <v>230846</v>
      </c>
      <c r="T182" s="2" t="n">
        <v>8578</v>
      </c>
      <c r="U182" s="2" t="n">
        <v>223038</v>
      </c>
      <c r="V182" s="2" t="n">
        <v>93.16</v>
      </c>
      <c r="W182" s="2" t="s">
        <v>1360</v>
      </c>
    </row>
    <row r="183" customFormat="false" ht="18.7" hidden="false" customHeight="true" outlineLevel="0" collapsed="false">
      <c r="A183" s="1" t="n">
        <v>182</v>
      </c>
      <c r="B183" s="7" t="str">
        <f aca="false">HYPERLINK("https://mncourtfraud.com/file/27-CR-21-12749.pdf","27-CR-21-12749")</f>
        <v>27-CR-21-12749</v>
      </c>
      <c r="C183" s="1" t="n">
        <v>1</v>
      </c>
      <c r="D183" s="2" t="s">
        <v>12</v>
      </c>
      <c r="E183" s="8" t="n">
        <v>44692</v>
      </c>
      <c r="F183" s="2" t="s">
        <v>15</v>
      </c>
      <c r="G183" s="7" t="str">
        <f aca="false">HYPERLINK("https://mncourtfraud.com/file/MCRO_27-CR-21-12749_Order-Evaluation for Competency to Proceed (Rule 20.01)_2022-05-11_20251126182155.pdf","MCRO_27-CR-21-12749_Order-Evaluation for Competency to Proceed (Rule 20.01)_2022-05-11_20251126182155.pdf")</f>
        <v>MCRO_27-CR-21-12749_Order-Evaluation for Competency to Proceed (Rule 20.01)_2022-05-11_20251126182155.pdf</v>
      </c>
      <c r="H183" s="1" t="n">
        <v>3</v>
      </c>
      <c r="I183" s="1" t="s">
        <v>1360</v>
      </c>
      <c r="J183" s="1" t="n">
        <v>1</v>
      </c>
      <c r="K183" s="1" t="n">
        <v>1</v>
      </c>
      <c r="L183" s="2" t="s">
        <v>1694</v>
      </c>
      <c r="M183" s="2" t="s">
        <v>1362</v>
      </c>
      <c r="N183" s="2" t="s">
        <v>1695</v>
      </c>
      <c r="O183" s="2" t="s">
        <v>1364</v>
      </c>
      <c r="P183" s="2" t="s">
        <v>1399</v>
      </c>
      <c r="Q183" s="1" t="n">
        <v>0</v>
      </c>
      <c r="R183" s="2" t="n">
        <v>218708</v>
      </c>
      <c r="S183" s="2" t="n">
        <v>235094</v>
      </c>
      <c r="T183" s="2" t="n">
        <v>4727</v>
      </c>
      <c r="U183" s="2" t="n">
        <v>223435</v>
      </c>
      <c r="V183" s="2" t="n">
        <v>93.17</v>
      </c>
      <c r="W183" s="2" t="s">
        <v>1360</v>
      </c>
    </row>
    <row r="184" customFormat="false" ht="18.7" hidden="false" customHeight="true" outlineLevel="0" collapsed="false">
      <c r="A184" s="1" t="n">
        <v>183</v>
      </c>
      <c r="B184" s="7" t="str">
        <f aca="false">HYPERLINK("https://mncourtfraud.com/file/27-CR-21-12749.pdf","27-CR-21-12749")</f>
        <v>27-CR-21-12749</v>
      </c>
      <c r="C184" s="1" t="n">
        <v>1</v>
      </c>
      <c r="D184" s="2" t="s">
        <v>12</v>
      </c>
      <c r="E184" s="8" t="n">
        <v>44895</v>
      </c>
      <c r="F184" s="2" t="s">
        <v>15</v>
      </c>
      <c r="G184" s="7" t="str">
        <f aca="false">HYPERLINK("https://mncourtfraud.com/file/MCRO_27-CR-21-12749_Order-Evaluation for Competency to Proceed (Rule 20.01)_2022-11-30_20251126182203.pdf","MCRO_27-CR-21-12749_Order-Evaluation for Competency to Proceed (Rule 20.01)_2022-11-30_20251126182203.pdf")</f>
        <v>MCRO_27-CR-21-12749_Order-Evaluation for Competency to Proceed (Rule 20.01)_2022-11-30_20251126182203.pdf</v>
      </c>
      <c r="H184" s="1" t="n">
        <v>4</v>
      </c>
      <c r="I184" s="1" t="s">
        <v>1360</v>
      </c>
      <c r="J184" s="1" t="n">
        <v>1</v>
      </c>
      <c r="K184" s="1" t="n">
        <v>1</v>
      </c>
      <c r="L184" s="2" t="s">
        <v>1696</v>
      </c>
      <c r="M184" s="2" t="s">
        <v>1362</v>
      </c>
      <c r="N184" s="2" t="s">
        <v>1697</v>
      </c>
      <c r="O184" s="2" t="s">
        <v>1364</v>
      </c>
      <c r="P184" s="2" t="s">
        <v>1402</v>
      </c>
      <c r="Q184" s="1" t="n">
        <v>0</v>
      </c>
      <c r="R184" s="2" t="n">
        <v>795534</v>
      </c>
      <c r="S184" s="2" t="n">
        <v>811920</v>
      </c>
      <c r="T184" s="2" t="n">
        <v>5079</v>
      </c>
      <c r="U184" s="2" t="n">
        <v>800613</v>
      </c>
      <c r="V184" s="2" t="n">
        <v>97.99</v>
      </c>
      <c r="W184" s="2" t="s">
        <v>1360</v>
      </c>
    </row>
    <row r="185" customFormat="false" ht="18.7" hidden="false" customHeight="true" outlineLevel="0" collapsed="false">
      <c r="A185" s="1" t="n">
        <v>184</v>
      </c>
      <c r="B185" s="7" t="str">
        <f aca="false">HYPERLINK("https://mncourtfraud.com/file/27-CR-21-12749.pdf","27-CR-21-12749")</f>
        <v>27-CR-21-12749</v>
      </c>
      <c r="C185" s="1" t="n">
        <v>1</v>
      </c>
      <c r="D185" s="2" t="s">
        <v>12</v>
      </c>
      <c r="E185" s="8" t="n">
        <v>45160</v>
      </c>
      <c r="F185" s="2" t="s">
        <v>15</v>
      </c>
      <c r="G185" s="7" t="str">
        <f aca="false">HYPERLINK("https://mncourtfraud.com/file/MCRO_27-CR-21-12749_Order-Evaluation for Competency to Proceed (Rule 20.01)_2023-08-22_20251126182213.pdf","MCRO_27-CR-21-12749_Order-Evaluation for Competency to Proceed (Rule 20.01)_2023-08-22_20251126182213.pdf")</f>
        <v>MCRO_27-CR-21-12749_Order-Evaluation for Competency to Proceed (Rule 20.01)_2023-08-22_20251126182213.pdf</v>
      </c>
      <c r="H185" s="1" t="n">
        <v>6</v>
      </c>
      <c r="I185" s="1" t="s">
        <v>1366</v>
      </c>
      <c r="J185" s="1" t="n">
        <v>1</v>
      </c>
      <c r="K185" s="1" t="n">
        <v>1</v>
      </c>
      <c r="L185" s="2" t="s">
        <v>1367</v>
      </c>
      <c r="M185" s="2" t="s">
        <v>1519</v>
      </c>
      <c r="N185" s="2" t="s">
        <v>1520</v>
      </c>
      <c r="O185" s="2" t="s">
        <v>1494</v>
      </c>
      <c r="P185" s="2" t="s">
        <v>1521</v>
      </c>
      <c r="Q185" s="1" t="n">
        <v>0</v>
      </c>
      <c r="R185" s="2" t="n">
        <v>122115</v>
      </c>
      <c r="S185" s="2" t="n">
        <v>129143</v>
      </c>
      <c r="T185" s="2" t="n">
        <v>87775</v>
      </c>
      <c r="U185" s="2" t="n">
        <v>209890</v>
      </c>
      <c r="V185" s="2" t="n">
        <v>23.95</v>
      </c>
      <c r="W185" s="2" t="s">
        <v>1366</v>
      </c>
    </row>
    <row r="186" customFormat="false" ht="18.7" hidden="false" customHeight="true" outlineLevel="0" collapsed="false">
      <c r="A186" s="1" t="n">
        <v>185</v>
      </c>
      <c r="B186" s="7" t="str">
        <f aca="false">HYPERLINK("https://mncourtfraud.com/file/27-CR-21-12749.pdf","27-CR-21-12749")</f>
        <v>27-CR-21-12749</v>
      </c>
      <c r="C186" s="1" t="n">
        <v>1</v>
      </c>
      <c r="D186" s="2" t="s">
        <v>12</v>
      </c>
      <c r="E186" s="8" t="n">
        <v>45160</v>
      </c>
      <c r="F186" s="2" t="s">
        <v>15</v>
      </c>
      <c r="G186" s="7" t="str">
        <f aca="false">HYPERLINK("https://mncourtfraud.com/file/MCRO_27-CR-21-12749_Order-Evaluation for Competency to Proceed (Rule 20.01)_2023-08-22_20251126182213.pdf","MCRO_27-CR-21-12749_Order-Evaluation for Competency to Proceed (Rule 20.01)_2023-08-22_20251126182213.pdf")</f>
        <v>MCRO_27-CR-21-12749_Order-Evaluation for Competency to Proceed (Rule 20.01)_2023-08-22_20251126182213.pdf</v>
      </c>
      <c r="H186" s="1" t="n">
        <v>6</v>
      </c>
      <c r="I186" s="1" t="s">
        <v>1366</v>
      </c>
      <c r="J186" s="1" t="n">
        <v>2</v>
      </c>
      <c r="K186" s="1" t="n">
        <v>2</v>
      </c>
      <c r="L186" s="2" t="s">
        <v>1698</v>
      </c>
      <c r="M186" s="2" t="s">
        <v>1362</v>
      </c>
      <c r="N186" s="2" t="s">
        <v>1699</v>
      </c>
      <c r="O186" s="2" t="s">
        <v>1364</v>
      </c>
      <c r="P186" s="2" t="s">
        <v>1524</v>
      </c>
      <c r="Q186" s="1" t="n">
        <v>0</v>
      </c>
      <c r="R186" s="2" t="n">
        <v>855043</v>
      </c>
      <c r="S186" s="2" t="n">
        <v>871429</v>
      </c>
      <c r="T186" s="2" t="n">
        <v>4973</v>
      </c>
      <c r="U186" s="2" t="n">
        <v>860016</v>
      </c>
      <c r="V186" s="2" t="n">
        <v>98.13</v>
      </c>
      <c r="W186" s="2" t="s">
        <v>1360</v>
      </c>
    </row>
    <row r="187" customFormat="false" ht="18.7" hidden="false" customHeight="true" outlineLevel="0" collapsed="false">
      <c r="A187" s="1" t="n">
        <v>186</v>
      </c>
      <c r="B187" s="7" t="str">
        <f aca="false">HYPERLINK("https://mncourtfraud.com/file/27-CR-21-12749.pdf","27-CR-21-12749")</f>
        <v>27-CR-21-12749</v>
      </c>
      <c r="C187" s="1" t="n">
        <v>1</v>
      </c>
      <c r="D187" s="2" t="s">
        <v>12</v>
      </c>
      <c r="E187" s="8" t="n">
        <v>45412</v>
      </c>
      <c r="F187" s="2" t="s">
        <v>15</v>
      </c>
      <c r="G187" s="7" t="str">
        <f aca="false">HYPERLINK("https://mncourtfraud.com/file/MCRO_27-CR-21-12749_Order-Evaluation for Competency to Proceed (Rule 20.01)_2024-04-30_20251126182222.pdf","MCRO_27-CR-21-12749_Order-Evaluation for Competency to Proceed (Rule 20.01)_2024-04-30_20251126182222.pdf")</f>
        <v>MCRO_27-CR-21-12749_Order-Evaluation for Competency to Proceed (Rule 20.01)_2024-04-30_20251126182222.pdf</v>
      </c>
      <c r="H187" s="1" t="n">
        <v>4</v>
      </c>
      <c r="I187" s="1" t="s">
        <v>1360</v>
      </c>
      <c r="J187" s="1" t="n">
        <v>1</v>
      </c>
      <c r="K187" s="1" t="n">
        <v>1</v>
      </c>
      <c r="L187" s="2" t="s">
        <v>1700</v>
      </c>
      <c r="M187" s="2" t="s">
        <v>1362</v>
      </c>
      <c r="N187" s="2" t="s">
        <v>1701</v>
      </c>
      <c r="O187" s="2" t="s">
        <v>1364</v>
      </c>
      <c r="P187" s="2" t="s">
        <v>1390</v>
      </c>
      <c r="Q187" s="1" t="n">
        <v>0</v>
      </c>
      <c r="R187" s="2" t="n">
        <v>198663</v>
      </c>
      <c r="S187" s="2" t="n">
        <v>215049</v>
      </c>
      <c r="T187" s="2" t="n">
        <v>4474</v>
      </c>
      <c r="U187" s="2" t="n">
        <v>203137</v>
      </c>
      <c r="V187" s="2" t="n">
        <v>92.54</v>
      </c>
      <c r="W187" s="2" t="s">
        <v>1360</v>
      </c>
    </row>
    <row r="188" customFormat="false" ht="18.7" hidden="false" customHeight="true" outlineLevel="0" collapsed="false">
      <c r="A188" s="1" t="n">
        <v>187</v>
      </c>
      <c r="B188" s="7" t="str">
        <f aca="false">HYPERLINK("https://mncourtfraud.com/file/27-CR-21-12749.pdf","27-CR-21-12749")</f>
        <v>27-CR-21-12749</v>
      </c>
      <c r="C188" s="1" t="n">
        <v>1</v>
      </c>
      <c r="D188" s="2" t="s">
        <v>12</v>
      </c>
      <c r="E188" s="8" t="n">
        <v>44460</v>
      </c>
      <c r="F188" s="2" t="s">
        <v>24</v>
      </c>
      <c r="G188" s="7" t="str">
        <f aca="false">HYPERLINK("https://mncourtfraud.com/file/MCRO_27-CR-21-12749_Order for Conditional Release_2021-09-21_20251126182103.pdf","MCRO_27-CR-21-12749_Order for Conditional Release_2021-09-21_20251126182103.pdf")</f>
        <v>MCRO_27-CR-21-12749_Order for Conditional Release_2021-09-21_20251126182103.pdf</v>
      </c>
      <c r="H188" s="1" t="n">
        <v>4</v>
      </c>
      <c r="I188" s="1" t="s">
        <v>1360</v>
      </c>
      <c r="J188" s="1" t="n">
        <v>1</v>
      </c>
      <c r="K188" s="1" t="n">
        <v>1</v>
      </c>
      <c r="L188" s="2" t="s">
        <v>1702</v>
      </c>
      <c r="M188" s="2" t="s">
        <v>1362</v>
      </c>
      <c r="N188" s="2" t="s">
        <v>1703</v>
      </c>
      <c r="O188" s="2" t="s">
        <v>1364</v>
      </c>
      <c r="P188" s="2" t="s">
        <v>1405</v>
      </c>
      <c r="Q188" s="1" t="n">
        <v>0</v>
      </c>
      <c r="R188" s="2" t="n">
        <v>84991</v>
      </c>
      <c r="S188" s="2" t="n">
        <v>101377</v>
      </c>
      <c r="T188" s="2" t="n">
        <v>4472</v>
      </c>
      <c r="U188" s="2" t="n">
        <v>89463</v>
      </c>
      <c r="V188" s="2" t="n">
        <v>84.52</v>
      </c>
      <c r="W188" s="2" t="s">
        <v>1360</v>
      </c>
    </row>
    <row r="189" customFormat="false" ht="18.7" hidden="false" customHeight="true" outlineLevel="0" collapsed="false">
      <c r="A189" s="1" t="n">
        <v>188</v>
      </c>
      <c r="B189" s="7" t="str">
        <f aca="false">HYPERLINK("https://mncourtfraud.com/file/27-CR-21-12749.pdf","27-CR-21-12749")</f>
        <v>27-CR-21-12749</v>
      </c>
      <c r="C189" s="1" t="n">
        <v>1</v>
      </c>
      <c r="D189" s="2" t="s">
        <v>12</v>
      </c>
      <c r="E189" s="8" t="n">
        <v>44468</v>
      </c>
      <c r="F189" s="2" t="s">
        <v>24</v>
      </c>
      <c r="G189" s="7" t="str">
        <f aca="false">HYPERLINK("https://mncourtfraud.com/file/MCRO_27-CR-21-12749_Order for Conditional Release_2021-09-29_20251126182110.pdf","MCRO_27-CR-21-12749_Order for Conditional Release_2021-09-29_20251126182110.pdf")</f>
        <v>MCRO_27-CR-21-12749_Order for Conditional Release_2021-09-29_20251126182110.pdf</v>
      </c>
      <c r="H189" s="1" t="n">
        <v>4</v>
      </c>
      <c r="I189" s="1" t="s">
        <v>1360</v>
      </c>
      <c r="J189" s="1" t="n">
        <v>1</v>
      </c>
      <c r="K189" s="1" t="n">
        <v>1</v>
      </c>
      <c r="L189" s="2" t="s">
        <v>1704</v>
      </c>
      <c r="M189" s="2" t="s">
        <v>1362</v>
      </c>
      <c r="N189" s="2" t="s">
        <v>1705</v>
      </c>
      <c r="O189" s="2" t="s">
        <v>1364</v>
      </c>
      <c r="P189" s="2" t="s">
        <v>1408</v>
      </c>
      <c r="Q189" s="1" t="n">
        <v>0</v>
      </c>
      <c r="R189" s="2" t="n">
        <v>130453</v>
      </c>
      <c r="S189" s="2" t="n">
        <v>146839</v>
      </c>
      <c r="T189" s="2" t="n">
        <v>4975</v>
      </c>
      <c r="U189" s="2" t="n">
        <v>135428</v>
      </c>
      <c r="V189" s="2" t="n">
        <v>89.21</v>
      </c>
      <c r="W189" s="2" t="s">
        <v>1360</v>
      </c>
    </row>
    <row r="190" customFormat="false" ht="18.7" hidden="false" customHeight="true" outlineLevel="0" collapsed="false">
      <c r="A190" s="1" t="n">
        <v>189</v>
      </c>
      <c r="B190" s="7" t="str">
        <f aca="false">HYPERLINK("https://mncourtfraud.com/file/27-CR-21-12749.pdf","27-CR-21-12749")</f>
        <v>27-CR-21-12749</v>
      </c>
      <c r="C190" s="1" t="n">
        <v>1</v>
      </c>
      <c r="D190" s="2" t="s">
        <v>12</v>
      </c>
      <c r="E190" s="8" t="n">
        <v>45412</v>
      </c>
      <c r="F190" s="2" t="s">
        <v>24</v>
      </c>
      <c r="G190" s="7" t="str">
        <f aca="false">HYPERLINK("https://mncourtfraud.com/file/MCRO_27-CR-21-12749_Order for Conditional Release_2024-04-30_20251126182051.pdf","MCRO_27-CR-21-12749_Order for Conditional Release_2024-04-30_20251126182051.pdf")</f>
        <v>MCRO_27-CR-21-12749_Order for Conditional Release_2024-04-30_20251126182051.pdf</v>
      </c>
      <c r="H190" s="1" t="n">
        <v>4</v>
      </c>
      <c r="I190" s="1" t="s">
        <v>1360</v>
      </c>
      <c r="J190" s="1" t="n">
        <v>1</v>
      </c>
      <c r="K190" s="1" t="n">
        <v>1</v>
      </c>
      <c r="L190" s="2" t="s">
        <v>1706</v>
      </c>
      <c r="M190" s="2" t="s">
        <v>1362</v>
      </c>
      <c r="N190" s="2" t="s">
        <v>1707</v>
      </c>
      <c r="O190" s="2" t="s">
        <v>1364</v>
      </c>
      <c r="P190" s="2" t="s">
        <v>1536</v>
      </c>
      <c r="Q190" s="1" t="n">
        <v>0</v>
      </c>
      <c r="R190" s="2" t="n">
        <v>129679</v>
      </c>
      <c r="S190" s="2" t="n">
        <v>146065</v>
      </c>
      <c r="T190" s="2" t="n">
        <v>4468</v>
      </c>
      <c r="U190" s="2" t="n">
        <v>134147</v>
      </c>
      <c r="V190" s="2" t="n">
        <v>89.11</v>
      </c>
      <c r="W190" s="2" t="s">
        <v>1360</v>
      </c>
    </row>
    <row r="191" customFormat="false" ht="18.7" hidden="false" customHeight="true" outlineLevel="0" collapsed="false">
      <c r="A191" s="1" t="n">
        <v>190</v>
      </c>
      <c r="B191" s="7" t="str">
        <f aca="false">HYPERLINK("https://mncourtfraud.com/file/27-CR-21-12762.pdf","27-CR-21-12762")</f>
        <v>27-CR-21-12762</v>
      </c>
      <c r="C191" s="1" t="n">
        <v>1</v>
      </c>
      <c r="D191" s="2" t="s">
        <v>12</v>
      </c>
      <c r="E191" s="8" t="n">
        <v>44405</v>
      </c>
      <c r="F191" s="2" t="s">
        <v>145</v>
      </c>
      <c r="G191" s="7" t="str">
        <f aca="false">HYPERLINK("https://mncourtfraud.com/file/MCRO_27-CR-21-12762_Demand or Request for Discovery_2021-07-28_20251126182249.pdf","MCRO_27-CR-21-12762_Demand or Request for Discovery_2021-07-28_20251126182249.pdf")</f>
        <v>MCRO_27-CR-21-12762_Demand or Request for Discovery_2021-07-28_20251126182249.pdf</v>
      </c>
      <c r="H191" s="1" t="n">
        <v>3</v>
      </c>
      <c r="I191" s="1" t="s">
        <v>1360</v>
      </c>
      <c r="J191" s="1" t="n">
        <v>1</v>
      </c>
      <c r="K191" s="1" t="n">
        <v>1</v>
      </c>
      <c r="L191" s="2" t="s">
        <v>1708</v>
      </c>
      <c r="M191" s="2" t="s">
        <v>1362</v>
      </c>
      <c r="N191" s="2" t="s">
        <v>1709</v>
      </c>
      <c r="O191" s="2" t="s">
        <v>1364</v>
      </c>
      <c r="P191" s="2" t="s">
        <v>1651</v>
      </c>
      <c r="Q191" s="1" t="n">
        <v>0</v>
      </c>
      <c r="R191" s="2" t="n">
        <v>293378</v>
      </c>
      <c r="S191" s="2" t="n">
        <v>309764</v>
      </c>
      <c r="T191" s="2" t="n">
        <v>5944</v>
      </c>
      <c r="U191" s="2" t="n">
        <v>299322</v>
      </c>
      <c r="V191" s="2" t="n">
        <v>94.81</v>
      </c>
      <c r="W191" s="2" t="s">
        <v>1360</v>
      </c>
    </row>
    <row r="192" customFormat="false" ht="18.7" hidden="false" customHeight="true" outlineLevel="0" collapsed="false">
      <c r="A192" s="1" t="n">
        <v>191</v>
      </c>
      <c r="B192" s="7" t="str">
        <f aca="false">HYPERLINK("https://mncourtfraud.com/file/27-CR-21-12762.pdf","27-CR-21-12762")</f>
        <v>27-CR-21-12762</v>
      </c>
      <c r="C192" s="1" t="n">
        <v>1</v>
      </c>
      <c r="D192" s="2" t="s">
        <v>12</v>
      </c>
      <c r="E192" s="8" t="n">
        <v>45048</v>
      </c>
      <c r="F192" s="2" t="s">
        <v>80</v>
      </c>
      <c r="G192" s="7" t="str">
        <f aca="false">HYPERLINK("https://mncourtfraud.com/file/MCRO_27-CR-21-12762_Finding of Incompetency and Order_2023-05-02_20251126182300.pdf","MCRO_27-CR-21-12762_Finding of Incompetency and Order_2023-05-02_20251126182300.pdf")</f>
        <v>MCRO_27-CR-21-12762_Finding of Incompetency and Order_2023-05-02_20251126182300.pdf</v>
      </c>
      <c r="H192" s="1" t="n">
        <v>9</v>
      </c>
      <c r="I192" s="1" t="s">
        <v>1366</v>
      </c>
      <c r="J192" s="1" t="n">
        <v>1</v>
      </c>
      <c r="K192" s="1" t="n">
        <v>1</v>
      </c>
      <c r="L192" s="2" t="s">
        <v>1491</v>
      </c>
      <c r="M192" s="2" t="s">
        <v>1492</v>
      </c>
      <c r="N192" s="2" t="s">
        <v>1493</v>
      </c>
      <c r="O192" s="2" t="s">
        <v>1494</v>
      </c>
      <c r="P192" s="2" t="s">
        <v>1495</v>
      </c>
      <c r="Q192" s="1" t="n">
        <v>0</v>
      </c>
      <c r="R192" s="2" t="n">
        <v>100288</v>
      </c>
      <c r="S192" s="2" t="n">
        <v>112370</v>
      </c>
      <c r="T192" s="2" t="n">
        <v>48200</v>
      </c>
      <c r="U192" s="2" t="n">
        <v>148488</v>
      </c>
      <c r="V192" s="2" t="n">
        <v>15.21</v>
      </c>
      <c r="W192" s="2" t="s">
        <v>1366</v>
      </c>
    </row>
    <row r="193" customFormat="false" ht="18.7" hidden="false" customHeight="true" outlineLevel="0" collapsed="false">
      <c r="A193" s="1" t="n">
        <v>192</v>
      </c>
      <c r="B193" s="7" t="str">
        <f aca="false">HYPERLINK("https://mncourtfraud.com/file/27-CR-21-12762.pdf","27-CR-21-12762")</f>
        <v>27-CR-21-12762</v>
      </c>
      <c r="C193" s="1" t="n">
        <v>1</v>
      </c>
      <c r="D193" s="2" t="s">
        <v>12</v>
      </c>
      <c r="E193" s="8" t="n">
        <v>45048</v>
      </c>
      <c r="F193" s="2" t="s">
        <v>80</v>
      </c>
      <c r="G193" s="7" t="str">
        <f aca="false">HYPERLINK("https://mncourtfraud.com/file/MCRO_27-CR-21-12762_Finding of Incompetency and Order_2023-05-02_20251126182300.pdf","MCRO_27-CR-21-12762_Finding of Incompetency and Order_2023-05-02_20251126182300.pdf")</f>
        <v>MCRO_27-CR-21-12762_Finding of Incompetency and Order_2023-05-02_20251126182300.pdf</v>
      </c>
      <c r="H193" s="1" t="n">
        <v>9</v>
      </c>
      <c r="I193" s="1" t="s">
        <v>1366</v>
      </c>
      <c r="J193" s="1" t="n">
        <v>2</v>
      </c>
      <c r="K193" s="1" t="n">
        <v>2</v>
      </c>
      <c r="L193" s="2" t="s">
        <v>1367</v>
      </c>
      <c r="M193" s="2" t="s">
        <v>1496</v>
      </c>
      <c r="N193" s="2" t="s">
        <v>1497</v>
      </c>
      <c r="O193" s="2" t="s">
        <v>1494</v>
      </c>
      <c r="P193" s="2" t="s">
        <v>1498</v>
      </c>
      <c r="Q193" s="1" t="n">
        <v>0</v>
      </c>
      <c r="R193" s="2" t="n">
        <v>160968</v>
      </c>
      <c r="S193" s="2" t="n">
        <v>167974</v>
      </c>
      <c r="T193" s="2" t="n">
        <v>59084</v>
      </c>
      <c r="U193" s="2" t="n">
        <v>220052</v>
      </c>
      <c r="V193" s="2" t="n">
        <v>22.53</v>
      </c>
      <c r="W193" s="2" t="s">
        <v>1366</v>
      </c>
    </row>
    <row r="194" customFormat="false" ht="18.7" hidden="false" customHeight="true" outlineLevel="0" collapsed="false">
      <c r="A194" s="1" t="n">
        <v>193</v>
      </c>
      <c r="B194" s="7" t="str">
        <f aca="false">HYPERLINK("https://mncourtfraud.com/file/27-CR-21-12762.pdf","27-CR-21-12762")</f>
        <v>27-CR-21-12762</v>
      </c>
      <c r="C194" s="1" t="n">
        <v>1</v>
      </c>
      <c r="D194" s="2" t="s">
        <v>12</v>
      </c>
      <c r="E194" s="8" t="n">
        <v>45048</v>
      </c>
      <c r="F194" s="2" t="s">
        <v>80</v>
      </c>
      <c r="G194" s="7" t="str">
        <f aca="false">HYPERLINK("https://mncourtfraud.com/file/MCRO_27-CR-21-12762_Finding of Incompetency and Order_2023-05-02_20251126182300.pdf","MCRO_27-CR-21-12762_Finding of Incompetency and Order_2023-05-02_20251126182300.pdf")</f>
        <v>MCRO_27-CR-21-12762_Finding of Incompetency and Order_2023-05-02_20251126182300.pdf</v>
      </c>
      <c r="H194" s="1" t="n">
        <v>9</v>
      </c>
      <c r="I194" s="1" t="s">
        <v>1366</v>
      </c>
      <c r="J194" s="1" t="n">
        <v>3</v>
      </c>
      <c r="K194" s="1" t="n">
        <v>3</v>
      </c>
      <c r="L194" s="2" t="s">
        <v>1710</v>
      </c>
      <c r="M194" s="2" t="s">
        <v>1362</v>
      </c>
      <c r="N194" s="2" t="s">
        <v>1711</v>
      </c>
      <c r="O194" s="2" t="s">
        <v>1364</v>
      </c>
      <c r="P194" s="2" t="s">
        <v>1501</v>
      </c>
      <c r="Q194" s="1" t="n">
        <v>0</v>
      </c>
      <c r="R194" s="2" t="n">
        <v>954853</v>
      </c>
      <c r="S194" s="2" t="n">
        <v>971239</v>
      </c>
      <c r="T194" s="2" t="n">
        <v>5305</v>
      </c>
      <c r="U194" s="2" t="n">
        <v>960158</v>
      </c>
      <c r="V194" s="2" t="n">
        <v>98.32</v>
      </c>
      <c r="W194" s="2" t="s">
        <v>1360</v>
      </c>
    </row>
    <row r="195" customFormat="false" ht="18.7" hidden="false" customHeight="true" outlineLevel="0" collapsed="false">
      <c r="A195" s="1" t="n">
        <v>194</v>
      </c>
      <c r="B195" s="7" t="str">
        <f aca="false">HYPERLINK("https://mncourtfraud.com/file/27-CR-21-12762.pdf","27-CR-21-12762")</f>
        <v>27-CR-21-12762</v>
      </c>
      <c r="C195" s="1" t="n">
        <v>1</v>
      </c>
      <c r="D195" s="2" t="s">
        <v>12</v>
      </c>
      <c r="E195" s="8" t="n">
        <v>44439</v>
      </c>
      <c r="F195" s="2" t="s">
        <v>19</v>
      </c>
      <c r="G195" s="7" t="str">
        <f aca="false">HYPERLINK("https://mncourtfraud.com/file/MCRO_27-CR-21-12762_Findings and Order_2021-08-31_20251126182327.pdf","MCRO_27-CR-21-12762_Findings and Order_2021-08-31_20251126182327.pdf")</f>
        <v>MCRO_27-CR-21-12762_Findings and Order_2021-08-31_20251126182327.pdf</v>
      </c>
      <c r="H195" s="1" t="n">
        <v>5</v>
      </c>
      <c r="I195" s="1" t="s">
        <v>1366</v>
      </c>
      <c r="J195" s="1" t="n">
        <v>1</v>
      </c>
      <c r="K195" s="1" t="n">
        <v>1</v>
      </c>
      <c r="L195" s="2" t="s">
        <v>1367</v>
      </c>
      <c r="M195" s="2" t="s">
        <v>1368</v>
      </c>
      <c r="N195" s="2" t="s">
        <v>1369</v>
      </c>
      <c r="O195" s="2" t="s">
        <v>1364</v>
      </c>
      <c r="P195" s="2" t="s">
        <v>1370</v>
      </c>
      <c r="Q195" s="1" t="n">
        <v>0</v>
      </c>
      <c r="R195" s="2" t="n">
        <v>129996</v>
      </c>
      <c r="S195" s="2" t="n">
        <v>137690</v>
      </c>
      <c r="T195" s="2" t="n">
        <v>19979</v>
      </c>
      <c r="U195" s="2" t="n">
        <v>149975</v>
      </c>
      <c r="V195" s="2" t="n">
        <v>39.94</v>
      </c>
      <c r="W195" s="2" t="s">
        <v>1366</v>
      </c>
    </row>
    <row r="196" customFormat="false" ht="18.7" hidden="false" customHeight="true" outlineLevel="0" collapsed="false">
      <c r="A196" s="1" t="n">
        <v>195</v>
      </c>
      <c r="B196" s="7" t="str">
        <f aca="false">HYPERLINK("https://mncourtfraud.com/file/27-CR-21-12762.pdf","27-CR-21-12762")</f>
        <v>27-CR-21-12762</v>
      </c>
      <c r="C196" s="1" t="n">
        <v>1</v>
      </c>
      <c r="D196" s="2" t="s">
        <v>12</v>
      </c>
      <c r="E196" s="8" t="n">
        <v>44439</v>
      </c>
      <c r="F196" s="2" t="s">
        <v>19</v>
      </c>
      <c r="G196" s="7" t="str">
        <f aca="false">HYPERLINK("https://mncourtfraud.com/file/MCRO_27-CR-21-12762_Findings and Order_2021-08-31_20251126182327.pdf","MCRO_27-CR-21-12762_Findings and Order_2021-08-31_20251126182327.pdf")</f>
        <v>MCRO_27-CR-21-12762_Findings and Order_2021-08-31_20251126182327.pdf</v>
      </c>
      <c r="H196" s="1" t="n">
        <v>5</v>
      </c>
      <c r="I196" s="1" t="s">
        <v>1366</v>
      </c>
      <c r="J196" s="1" t="n">
        <v>2</v>
      </c>
      <c r="K196" s="1" t="n">
        <v>2</v>
      </c>
      <c r="L196" s="2" t="s">
        <v>1712</v>
      </c>
      <c r="M196" s="2" t="s">
        <v>1362</v>
      </c>
      <c r="N196" s="2" t="s">
        <v>1713</v>
      </c>
      <c r="O196" s="2" t="s">
        <v>1364</v>
      </c>
      <c r="P196" s="2" t="s">
        <v>1373</v>
      </c>
      <c r="Q196" s="1" t="n">
        <v>0</v>
      </c>
      <c r="R196" s="2" t="n">
        <v>354060</v>
      </c>
      <c r="S196" s="2" t="n">
        <v>370446</v>
      </c>
      <c r="T196" s="2" t="n">
        <v>5040</v>
      </c>
      <c r="U196" s="2" t="n">
        <v>359100</v>
      </c>
      <c r="V196" s="2" t="n">
        <v>95.64</v>
      </c>
      <c r="W196" s="2" t="s">
        <v>1360</v>
      </c>
    </row>
    <row r="197" customFormat="false" ht="18.7" hidden="false" customHeight="true" outlineLevel="0" collapsed="false">
      <c r="A197" s="1" t="n">
        <v>196</v>
      </c>
      <c r="B197" s="7" t="str">
        <f aca="false">HYPERLINK("https://mncourtfraud.com/file/27-CR-21-12762.pdf","27-CR-21-12762")</f>
        <v>27-CR-21-12762</v>
      </c>
      <c r="C197" s="1" t="n">
        <v>1</v>
      </c>
      <c r="D197" s="2" t="s">
        <v>12</v>
      </c>
      <c r="E197" s="8" t="n">
        <v>44593</v>
      </c>
      <c r="F197" s="2" t="s">
        <v>19</v>
      </c>
      <c r="G197" s="7" t="str">
        <f aca="false">HYPERLINK("https://mncourtfraud.com/file/MCRO_27-CR-21-12762_Findings and Order_2022-02-01_20251126182314.pdf","MCRO_27-CR-21-12762_Findings and Order_2022-02-01_20251126182314.pdf")</f>
        <v>MCRO_27-CR-21-12762_Findings and Order_2022-02-01_20251126182314.pdf</v>
      </c>
      <c r="H197" s="1" t="n">
        <v>4</v>
      </c>
      <c r="I197" s="1" t="s">
        <v>1360</v>
      </c>
      <c r="J197" s="1" t="n">
        <v>1</v>
      </c>
      <c r="K197" s="1" t="n">
        <v>1</v>
      </c>
      <c r="L197" s="2" t="s">
        <v>1367</v>
      </c>
      <c r="M197" s="2" t="s">
        <v>1368</v>
      </c>
      <c r="N197" s="2" t="s">
        <v>1374</v>
      </c>
      <c r="O197" s="2" t="s">
        <v>1364</v>
      </c>
      <c r="P197" s="2" t="s">
        <v>1375</v>
      </c>
      <c r="Q197" s="1" t="n">
        <v>0</v>
      </c>
      <c r="R197" s="2" t="n">
        <v>163153</v>
      </c>
      <c r="S197" s="2" t="n">
        <v>173205</v>
      </c>
      <c r="T197" s="2" t="n">
        <v>9683</v>
      </c>
      <c r="U197" s="2" t="n">
        <v>172836</v>
      </c>
      <c r="V197" s="2" t="n">
        <v>47.77</v>
      </c>
      <c r="W197" s="2" t="s">
        <v>1366</v>
      </c>
    </row>
    <row r="198" customFormat="false" ht="18.7" hidden="false" customHeight="true" outlineLevel="0" collapsed="false">
      <c r="A198" s="1" t="n">
        <v>197</v>
      </c>
      <c r="B198" s="7" t="str">
        <f aca="false">HYPERLINK("https://mncourtfraud.com/file/27-CR-21-12762.pdf","27-CR-21-12762")</f>
        <v>27-CR-21-12762</v>
      </c>
      <c r="C198" s="1" t="n">
        <v>1</v>
      </c>
      <c r="D198" s="2" t="s">
        <v>12</v>
      </c>
      <c r="E198" s="8" t="n">
        <v>44593</v>
      </c>
      <c r="F198" s="2" t="s">
        <v>19</v>
      </c>
      <c r="G198" s="7" t="str">
        <f aca="false">HYPERLINK("https://mncourtfraud.com/file/MCRO_27-CR-21-12762_Findings and Order_2022-02-01_20251126182314.pdf","MCRO_27-CR-21-12762_Findings and Order_2022-02-01_20251126182314.pdf")</f>
        <v>MCRO_27-CR-21-12762_Findings and Order_2022-02-01_20251126182314.pdf</v>
      </c>
      <c r="H198" s="1" t="n">
        <v>4</v>
      </c>
      <c r="I198" s="1" t="s">
        <v>1360</v>
      </c>
      <c r="J198" s="1" t="n">
        <v>2</v>
      </c>
      <c r="K198" s="1" t="n">
        <v>2</v>
      </c>
      <c r="L198" s="2" t="s">
        <v>1714</v>
      </c>
      <c r="M198" s="2" t="s">
        <v>1362</v>
      </c>
      <c r="N198" s="2" t="s">
        <v>1715</v>
      </c>
      <c r="O198" s="2" t="s">
        <v>1364</v>
      </c>
      <c r="P198" s="2" t="s">
        <v>1378</v>
      </c>
      <c r="Q198" s="1" t="n">
        <v>0</v>
      </c>
      <c r="R198" s="2" t="n">
        <v>340309</v>
      </c>
      <c r="S198" s="2" t="n">
        <v>356695</v>
      </c>
      <c r="T198" s="2" t="n">
        <v>5092</v>
      </c>
      <c r="U198" s="2" t="n">
        <v>345401</v>
      </c>
      <c r="V198" s="2" t="n">
        <v>95.47</v>
      </c>
      <c r="W198" s="2" t="s">
        <v>1360</v>
      </c>
    </row>
    <row r="199" customFormat="false" ht="18.7" hidden="false" customHeight="true" outlineLevel="0" collapsed="false">
      <c r="A199" s="1" t="n">
        <v>198</v>
      </c>
      <c r="B199" s="7" t="str">
        <f aca="false">HYPERLINK("https://mncourtfraud.com/file/27-CR-21-12762.pdf","27-CR-21-12762")</f>
        <v>27-CR-21-12762</v>
      </c>
      <c r="C199" s="1" t="n">
        <v>1</v>
      </c>
      <c r="D199" s="2" t="s">
        <v>12</v>
      </c>
      <c r="E199" s="8" t="n">
        <v>45093</v>
      </c>
      <c r="F199" s="2" t="s">
        <v>82</v>
      </c>
      <c r="G199" s="7" t="str">
        <f aca="false">HYPERLINK("https://mncourtfraud.com/file/MCRO_27-CR-21-12762_Notice of Case Reassignment_2023-06-16_20251126182340.pdf","MCRO_27-CR-21-12762_Notice of Case Reassignment_2023-06-16_20251126182340.pdf")</f>
        <v>MCRO_27-CR-21-12762_Notice of Case Reassignment_2023-06-16_20251126182340.pdf</v>
      </c>
      <c r="H199" s="1" t="n">
        <v>3</v>
      </c>
      <c r="I199" s="1" t="s">
        <v>1360</v>
      </c>
      <c r="J199" s="1" t="n">
        <v>1</v>
      </c>
      <c r="K199" s="1" t="n">
        <v>1</v>
      </c>
      <c r="L199" s="2" t="s">
        <v>1716</v>
      </c>
      <c r="M199" s="2" t="s">
        <v>1362</v>
      </c>
      <c r="N199" s="2" t="s">
        <v>1717</v>
      </c>
      <c r="O199" s="2" t="s">
        <v>1364</v>
      </c>
      <c r="P199" s="2" t="s">
        <v>1508</v>
      </c>
      <c r="Q199" s="1" t="n">
        <v>0</v>
      </c>
      <c r="R199" s="2" t="n">
        <v>92691</v>
      </c>
      <c r="S199" s="2" t="n">
        <v>109077</v>
      </c>
      <c r="T199" s="2" t="n">
        <v>4554</v>
      </c>
      <c r="U199" s="2" t="n">
        <v>97245</v>
      </c>
      <c r="V199" s="2" t="n">
        <v>85.58</v>
      </c>
      <c r="W199" s="2" t="s">
        <v>1360</v>
      </c>
    </row>
    <row r="200" customFormat="false" ht="18.7" hidden="false" customHeight="true" outlineLevel="0" collapsed="false">
      <c r="A200" s="1" t="n">
        <v>199</v>
      </c>
      <c r="B200" s="7" t="str">
        <f aca="false">HYPERLINK("https://mncourtfraud.com/file/27-CR-21-12762.pdf","27-CR-21-12762")</f>
        <v>27-CR-21-12762</v>
      </c>
      <c r="C200" s="1" t="n">
        <v>1</v>
      </c>
      <c r="D200" s="2" t="s">
        <v>12</v>
      </c>
      <c r="E200" s="8" t="n">
        <v>44396</v>
      </c>
      <c r="F200" s="2" t="s">
        <v>15</v>
      </c>
      <c r="G200" s="7" t="str">
        <f aca="false">HYPERLINK("https://mncourtfraud.com/file/MCRO_27-CR-21-12762_Order-Evaluation for Competency to Proceed (Rule 20.01)_2021-07-19_20251126182430.pdf","MCRO_27-CR-21-12762_Order-Evaluation for Competency to Proceed (Rule 20.01)_2021-07-19_20251126182430.pdf")</f>
        <v>MCRO_27-CR-21-12762_Order-Evaluation for Competency to Proceed (Rule 20.01)_2021-07-19_20251126182430.pdf</v>
      </c>
      <c r="H200" s="1" t="n">
        <v>4</v>
      </c>
      <c r="I200" s="1" t="s">
        <v>1360</v>
      </c>
      <c r="J200" s="1" t="n">
        <v>1</v>
      </c>
      <c r="K200" s="1" t="n">
        <v>1</v>
      </c>
      <c r="L200" s="2" t="s">
        <v>1718</v>
      </c>
      <c r="M200" s="2" t="s">
        <v>1362</v>
      </c>
      <c r="N200" s="2" t="s">
        <v>1719</v>
      </c>
      <c r="O200" s="2" t="s">
        <v>1364</v>
      </c>
      <c r="P200" s="2" t="s">
        <v>1390</v>
      </c>
      <c r="Q200" s="1" t="n">
        <v>0</v>
      </c>
      <c r="R200" s="2" t="n">
        <v>172533</v>
      </c>
      <c r="S200" s="2" t="n">
        <v>188919</v>
      </c>
      <c r="T200" s="2" t="n">
        <v>8533</v>
      </c>
      <c r="U200" s="2" t="n">
        <v>181066</v>
      </c>
      <c r="V200" s="2" t="n">
        <v>91.7</v>
      </c>
      <c r="W200" s="2" t="s">
        <v>1360</v>
      </c>
    </row>
    <row r="201" customFormat="false" ht="18.7" hidden="false" customHeight="true" outlineLevel="0" collapsed="false">
      <c r="A201" s="1" t="n">
        <v>200</v>
      </c>
      <c r="B201" s="7" t="str">
        <f aca="false">HYPERLINK("https://mncourtfraud.com/file/27-CR-21-12762.pdf","27-CR-21-12762")</f>
        <v>27-CR-21-12762</v>
      </c>
      <c r="C201" s="1" t="n">
        <v>1</v>
      </c>
      <c r="D201" s="2" t="s">
        <v>12</v>
      </c>
      <c r="E201" s="8" t="n">
        <v>44543</v>
      </c>
      <c r="F201" s="2" t="s">
        <v>15</v>
      </c>
      <c r="G201" s="7" t="str">
        <f aca="false">HYPERLINK("https://mncourtfraud.com/file/MCRO_27-CR-21-12762_Order-Evaluation for Competency to Proceed (Rule 20.01)_2021-12-13_20251126182440.pdf","MCRO_27-CR-21-12762_Order-Evaluation for Competency to Proceed (Rule 20.01)_2021-12-13_20251126182440.pdf")</f>
        <v>MCRO_27-CR-21-12762_Order-Evaluation for Competency to Proceed (Rule 20.01)_2021-12-13_20251126182440.pdf</v>
      </c>
      <c r="H201" s="1" t="n">
        <v>3</v>
      </c>
      <c r="I201" s="1" t="s">
        <v>1360</v>
      </c>
      <c r="J201" s="1" t="n">
        <v>1</v>
      </c>
      <c r="K201" s="1" t="n">
        <v>1</v>
      </c>
      <c r="L201" s="2" t="s">
        <v>1720</v>
      </c>
      <c r="M201" s="2" t="s">
        <v>1362</v>
      </c>
      <c r="N201" s="2" t="s">
        <v>1721</v>
      </c>
      <c r="O201" s="2" t="s">
        <v>1364</v>
      </c>
      <c r="P201" s="2" t="s">
        <v>1393</v>
      </c>
      <c r="Q201" s="1" t="n">
        <v>0</v>
      </c>
      <c r="R201" s="2" t="n">
        <v>212321</v>
      </c>
      <c r="S201" s="2" t="n">
        <v>228707</v>
      </c>
      <c r="T201" s="2" t="n">
        <v>5134</v>
      </c>
      <c r="U201" s="2" t="n">
        <v>217455</v>
      </c>
      <c r="V201" s="2" t="n">
        <v>92.99</v>
      </c>
      <c r="W201" s="2" t="s">
        <v>1360</v>
      </c>
    </row>
    <row r="202" customFormat="false" ht="18.7" hidden="false" customHeight="true" outlineLevel="0" collapsed="false">
      <c r="A202" s="1" t="n">
        <v>201</v>
      </c>
      <c r="B202" s="7" t="str">
        <f aca="false">HYPERLINK("https://mncourtfraud.com/file/27-CR-21-12762.pdf","27-CR-21-12762")</f>
        <v>27-CR-21-12762</v>
      </c>
      <c r="C202" s="1" t="n">
        <v>1</v>
      </c>
      <c r="D202" s="2" t="s">
        <v>12</v>
      </c>
      <c r="E202" s="8" t="n">
        <v>44558</v>
      </c>
      <c r="F202" s="2" t="s">
        <v>15</v>
      </c>
      <c r="G202" s="7" t="str">
        <f aca="false">HYPERLINK("https://mncourtfraud.com/file/MCRO_27-CR-21-12762_Order-Evaluation for Competency to Proceed (Rule 20.01)_2021-12-28_20251126182449.pdf","MCRO_27-CR-21-12762_Order-Evaluation for Competency to Proceed (Rule 20.01)_2021-12-28_20251126182449.pdf")</f>
        <v>MCRO_27-CR-21-12762_Order-Evaluation for Competency to Proceed (Rule 20.01)_2021-12-28_20251126182449.pdf</v>
      </c>
      <c r="H202" s="1" t="n">
        <v>4</v>
      </c>
      <c r="I202" s="1" t="s">
        <v>1360</v>
      </c>
      <c r="J202" s="1" t="n">
        <v>1</v>
      </c>
      <c r="K202" s="1" t="n">
        <v>1</v>
      </c>
      <c r="L202" s="2" t="s">
        <v>1722</v>
      </c>
      <c r="M202" s="2" t="s">
        <v>1362</v>
      </c>
      <c r="N202" s="2" t="s">
        <v>1723</v>
      </c>
      <c r="O202" s="2" t="s">
        <v>1364</v>
      </c>
      <c r="P202" s="2" t="s">
        <v>1396</v>
      </c>
      <c r="Q202" s="1" t="n">
        <v>0</v>
      </c>
      <c r="R202" s="2" t="n">
        <v>217557</v>
      </c>
      <c r="S202" s="2" t="n">
        <v>233943</v>
      </c>
      <c r="T202" s="2" t="n">
        <v>8578</v>
      </c>
      <c r="U202" s="2" t="n">
        <v>226135</v>
      </c>
      <c r="V202" s="2" t="n">
        <v>93.24</v>
      </c>
      <c r="W202" s="2" t="s">
        <v>1360</v>
      </c>
    </row>
    <row r="203" customFormat="false" ht="18.7" hidden="false" customHeight="true" outlineLevel="0" collapsed="false">
      <c r="A203" s="1" t="n">
        <v>202</v>
      </c>
      <c r="B203" s="7" t="str">
        <f aca="false">HYPERLINK("https://mncourtfraud.com/file/27-CR-21-12762.pdf","27-CR-21-12762")</f>
        <v>27-CR-21-12762</v>
      </c>
      <c r="C203" s="1" t="n">
        <v>1</v>
      </c>
      <c r="D203" s="2" t="s">
        <v>12</v>
      </c>
      <c r="E203" s="8" t="n">
        <v>44692</v>
      </c>
      <c r="F203" s="2" t="s">
        <v>15</v>
      </c>
      <c r="G203" s="7" t="str">
        <f aca="false">HYPERLINK("https://mncourtfraud.com/file/MCRO_27-CR-21-12762_Order-Evaluation for Competency to Proceed (Rule 20.01)_2022-05-11_20251126182457.pdf","MCRO_27-CR-21-12762_Order-Evaluation for Competency to Proceed (Rule 20.01)_2022-05-11_20251126182457.pdf")</f>
        <v>MCRO_27-CR-21-12762_Order-Evaluation for Competency to Proceed (Rule 20.01)_2022-05-11_20251126182457.pdf</v>
      </c>
      <c r="H203" s="1" t="n">
        <v>3</v>
      </c>
      <c r="I203" s="1" t="s">
        <v>1360</v>
      </c>
      <c r="J203" s="1" t="n">
        <v>1</v>
      </c>
      <c r="K203" s="1" t="n">
        <v>1</v>
      </c>
      <c r="L203" s="2" t="s">
        <v>1724</v>
      </c>
      <c r="M203" s="2" t="s">
        <v>1362</v>
      </c>
      <c r="N203" s="2" t="s">
        <v>1725</v>
      </c>
      <c r="O203" s="2" t="s">
        <v>1364</v>
      </c>
      <c r="P203" s="2" t="s">
        <v>1399</v>
      </c>
      <c r="Q203" s="1" t="n">
        <v>0</v>
      </c>
      <c r="R203" s="2" t="n">
        <v>218706</v>
      </c>
      <c r="S203" s="2" t="n">
        <v>235092</v>
      </c>
      <c r="T203" s="2" t="n">
        <v>4728</v>
      </c>
      <c r="U203" s="2" t="n">
        <v>223434</v>
      </c>
      <c r="V203" s="2" t="n">
        <v>93.17</v>
      </c>
      <c r="W203" s="2" t="s">
        <v>1360</v>
      </c>
    </row>
    <row r="204" customFormat="false" ht="18.7" hidden="false" customHeight="true" outlineLevel="0" collapsed="false">
      <c r="A204" s="1" t="n">
        <v>203</v>
      </c>
      <c r="B204" s="7" t="str">
        <f aca="false">HYPERLINK("https://mncourtfraud.com/file/27-CR-21-12762.pdf","27-CR-21-12762")</f>
        <v>27-CR-21-12762</v>
      </c>
      <c r="C204" s="1" t="n">
        <v>1</v>
      </c>
      <c r="D204" s="2" t="s">
        <v>12</v>
      </c>
      <c r="E204" s="8" t="n">
        <v>44895</v>
      </c>
      <c r="F204" s="2" t="s">
        <v>15</v>
      </c>
      <c r="G204" s="7" t="str">
        <f aca="false">HYPERLINK("https://mncourtfraud.com/file/MCRO_27-CR-21-12762_Order-Evaluation for Competency to Proceed (Rule 20.01)_2022-11-30_20251126182506.pdf","MCRO_27-CR-21-12762_Order-Evaluation for Competency to Proceed (Rule 20.01)_2022-11-30_20251126182506.pdf")</f>
        <v>MCRO_27-CR-21-12762_Order-Evaluation for Competency to Proceed (Rule 20.01)_2022-11-30_20251126182506.pdf</v>
      </c>
      <c r="H204" s="1" t="n">
        <v>4</v>
      </c>
      <c r="I204" s="1" t="s">
        <v>1360</v>
      </c>
      <c r="J204" s="1" t="n">
        <v>1</v>
      </c>
      <c r="K204" s="1" t="n">
        <v>1</v>
      </c>
      <c r="L204" s="2" t="s">
        <v>1726</v>
      </c>
      <c r="M204" s="2" t="s">
        <v>1362</v>
      </c>
      <c r="N204" s="2" t="s">
        <v>1727</v>
      </c>
      <c r="O204" s="2" t="s">
        <v>1364</v>
      </c>
      <c r="P204" s="2" t="s">
        <v>1402</v>
      </c>
      <c r="Q204" s="1" t="n">
        <v>0</v>
      </c>
      <c r="R204" s="2" t="n">
        <v>795534</v>
      </c>
      <c r="S204" s="2" t="n">
        <v>811920</v>
      </c>
      <c r="T204" s="2" t="n">
        <v>5078</v>
      </c>
      <c r="U204" s="2" t="n">
        <v>800612</v>
      </c>
      <c r="V204" s="2" t="n">
        <v>97.99</v>
      </c>
      <c r="W204" s="2" t="s">
        <v>1360</v>
      </c>
    </row>
    <row r="205" customFormat="false" ht="18.7" hidden="false" customHeight="true" outlineLevel="0" collapsed="false">
      <c r="A205" s="1" t="n">
        <v>204</v>
      </c>
      <c r="B205" s="7" t="str">
        <f aca="false">HYPERLINK("https://mncourtfraud.com/file/27-CR-21-12762.pdf","27-CR-21-12762")</f>
        <v>27-CR-21-12762</v>
      </c>
      <c r="C205" s="1" t="n">
        <v>1</v>
      </c>
      <c r="D205" s="2" t="s">
        <v>12</v>
      </c>
      <c r="E205" s="8" t="n">
        <v>45160</v>
      </c>
      <c r="F205" s="2" t="s">
        <v>15</v>
      </c>
      <c r="G205" s="7" t="str">
        <f aca="false">HYPERLINK("https://mncourtfraud.com/file/MCRO_27-CR-21-12762_Order-Evaluation for Competency to Proceed (Rule 20.01)_2023-08-22_20251126182515.pdf","MCRO_27-CR-21-12762_Order-Evaluation for Competency to Proceed (Rule 20.01)_2023-08-22_20251126182515.pdf")</f>
        <v>MCRO_27-CR-21-12762_Order-Evaluation for Competency to Proceed (Rule 20.01)_2023-08-22_20251126182515.pdf</v>
      </c>
      <c r="H205" s="1" t="n">
        <v>6</v>
      </c>
      <c r="I205" s="1" t="s">
        <v>1366</v>
      </c>
      <c r="J205" s="1" t="n">
        <v>1</v>
      </c>
      <c r="K205" s="1" t="n">
        <v>1</v>
      </c>
      <c r="L205" s="2" t="s">
        <v>1367</v>
      </c>
      <c r="M205" s="2" t="s">
        <v>1519</v>
      </c>
      <c r="N205" s="2" t="s">
        <v>1520</v>
      </c>
      <c r="O205" s="2" t="s">
        <v>1494</v>
      </c>
      <c r="P205" s="2" t="s">
        <v>1521</v>
      </c>
      <c r="Q205" s="1" t="n">
        <v>0</v>
      </c>
      <c r="R205" s="2" t="n">
        <v>122115</v>
      </c>
      <c r="S205" s="2" t="n">
        <v>129143</v>
      </c>
      <c r="T205" s="2" t="n">
        <v>87775</v>
      </c>
      <c r="U205" s="2" t="n">
        <v>209890</v>
      </c>
      <c r="V205" s="2" t="n">
        <v>23.95</v>
      </c>
      <c r="W205" s="2" t="s">
        <v>1366</v>
      </c>
    </row>
    <row r="206" customFormat="false" ht="18.7" hidden="false" customHeight="true" outlineLevel="0" collapsed="false">
      <c r="A206" s="1" t="n">
        <v>205</v>
      </c>
      <c r="B206" s="7" t="str">
        <f aca="false">HYPERLINK("https://mncourtfraud.com/file/27-CR-21-12762.pdf","27-CR-21-12762")</f>
        <v>27-CR-21-12762</v>
      </c>
      <c r="C206" s="1" t="n">
        <v>1</v>
      </c>
      <c r="D206" s="2" t="s">
        <v>12</v>
      </c>
      <c r="E206" s="8" t="n">
        <v>45160</v>
      </c>
      <c r="F206" s="2" t="s">
        <v>15</v>
      </c>
      <c r="G206" s="7" t="str">
        <f aca="false">HYPERLINK("https://mncourtfraud.com/file/MCRO_27-CR-21-12762_Order-Evaluation for Competency to Proceed (Rule 20.01)_2023-08-22_20251126182515.pdf","MCRO_27-CR-21-12762_Order-Evaluation for Competency to Proceed (Rule 20.01)_2023-08-22_20251126182515.pdf")</f>
        <v>MCRO_27-CR-21-12762_Order-Evaluation for Competency to Proceed (Rule 20.01)_2023-08-22_20251126182515.pdf</v>
      </c>
      <c r="H206" s="1" t="n">
        <v>6</v>
      </c>
      <c r="I206" s="1" t="s">
        <v>1366</v>
      </c>
      <c r="J206" s="1" t="n">
        <v>2</v>
      </c>
      <c r="K206" s="1" t="n">
        <v>2</v>
      </c>
      <c r="L206" s="2" t="s">
        <v>1728</v>
      </c>
      <c r="M206" s="2" t="s">
        <v>1362</v>
      </c>
      <c r="N206" s="2" t="s">
        <v>1729</v>
      </c>
      <c r="O206" s="2" t="s">
        <v>1364</v>
      </c>
      <c r="P206" s="2" t="s">
        <v>1524</v>
      </c>
      <c r="Q206" s="1" t="n">
        <v>0</v>
      </c>
      <c r="R206" s="2" t="n">
        <v>855042</v>
      </c>
      <c r="S206" s="2" t="n">
        <v>871428</v>
      </c>
      <c r="T206" s="2" t="n">
        <v>4973</v>
      </c>
      <c r="U206" s="2" t="n">
        <v>860015</v>
      </c>
      <c r="V206" s="2" t="n">
        <v>98.13</v>
      </c>
      <c r="W206" s="2" t="s">
        <v>1360</v>
      </c>
    </row>
    <row r="207" customFormat="false" ht="18.7" hidden="false" customHeight="true" outlineLevel="0" collapsed="false">
      <c r="A207" s="1" t="n">
        <v>206</v>
      </c>
      <c r="B207" s="7" t="str">
        <f aca="false">HYPERLINK("https://mncourtfraud.com/file/27-CR-21-12762.pdf","27-CR-21-12762")</f>
        <v>27-CR-21-12762</v>
      </c>
      <c r="C207" s="1" t="n">
        <v>1</v>
      </c>
      <c r="D207" s="2" t="s">
        <v>12</v>
      </c>
      <c r="E207" s="8" t="n">
        <v>45412</v>
      </c>
      <c r="F207" s="2" t="s">
        <v>15</v>
      </c>
      <c r="G207" s="7" t="str">
        <f aca="false">HYPERLINK("https://mncourtfraud.com/file/MCRO_27-CR-21-12762_Order-Evaluation for Competency to Proceed (Rule 20.01)_2024-04-30_20251126182523.pdf","MCRO_27-CR-21-12762_Order-Evaluation for Competency to Proceed (Rule 20.01)_2024-04-30_20251126182523.pdf")</f>
        <v>MCRO_27-CR-21-12762_Order-Evaluation for Competency to Proceed (Rule 20.01)_2024-04-30_20251126182523.pdf</v>
      </c>
      <c r="H207" s="1" t="n">
        <v>4</v>
      </c>
      <c r="I207" s="1" t="s">
        <v>1360</v>
      </c>
      <c r="J207" s="1" t="n">
        <v>1</v>
      </c>
      <c r="K207" s="1" t="n">
        <v>1</v>
      </c>
      <c r="L207" s="2" t="s">
        <v>1730</v>
      </c>
      <c r="M207" s="2" t="s">
        <v>1362</v>
      </c>
      <c r="N207" s="2" t="s">
        <v>1731</v>
      </c>
      <c r="O207" s="2" t="s">
        <v>1364</v>
      </c>
      <c r="P207" s="2" t="s">
        <v>1390</v>
      </c>
      <c r="Q207" s="1" t="n">
        <v>0</v>
      </c>
      <c r="R207" s="2" t="n">
        <v>198661</v>
      </c>
      <c r="S207" s="2" t="n">
        <v>215047</v>
      </c>
      <c r="T207" s="2" t="n">
        <v>4474</v>
      </c>
      <c r="U207" s="2" t="n">
        <v>203135</v>
      </c>
      <c r="V207" s="2" t="n">
        <v>92.54</v>
      </c>
      <c r="W207" s="2" t="s">
        <v>1360</v>
      </c>
    </row>
    <row r="208" customFormat="false" ht="18.7" hidden="false" customHeight="true" outlineLevel="0" collapsed="false">
      <c r="A208" s="1" t="n">
        <v>207</v>
      </c>
      <c r="B208" s="7" t="str">
        <f aca="false">HYPERLINK("https://mncourtfraud.com/file/27-CR-21-12762.pdf","27-CR-21-12762")</f>
        <v>27-CR-21-12762</v>
      </c>
      <c r="C208" s="1" t="n">
        <v>1</v>
      </c>
      <c r="D208" s="2" t="s">
        <v>12</v>
      </c>
      <c r="E208" s="8" t="n">
        <v>44460</v>
      </c>
      <c r="F208" s="2" t="s">
        <v>24</v>
      </c>
      <c r="G208" s="7" t="str">
        <f aca="false">HYPERLINK("https://mncourtfraud.com/file/MCRO_27-CR-21-12762_Order for Conditional Release_2021-09-21_20251126182412.pdf","MCRO_27-CR-21-12762_Order for Conditional Release_2021-09-21_20251126182412.pdf")</f>
        <v>MCRO_27-CR-21-12762_Order for Conditional Release_2021-09-21_20251126182412.pdf</v>
      </c>
      <c r="H208" s="1" t="n">
        <v>4</v>
      </c>
      <c r="I208" s="1" t="s">
        <v>1360</v>
      </c>
      <c r="J208" s="1" t="n">
        <v>1</v>
      </c>
      <c r="K208" s="1" t="n">
        <v>1</v>
      </c>
      <c r="L208" s="2" t="s">
        <v>1732</v>
      </c>
      <c r="M208" s="2" t="s">
        <v>1362</v>
      </c>
      <c r="N208" s="2" t="s">
        <v>1733</v>
      </c>
      <c r="O208" s="2" t="s">
        <v>1364</v>
      </c>
      <c r="P208" s="2" t="s">
        <v>1405</v>
      </c>
      <c r="Q208" s="1" t="n">
        <v>0</v>
      </c>
      <c r="R208" s="2" t="n">
        <v>84990</v>
      </c>
      <c r="S208" s="2" t="n">
        <v>101376</v>
      </c>
      <c r="T208" s="2" t="n">
        <v>4472</v>
      </c>
      <c r="U208" s="2" t="n">
        <v>89462</v>
      </c>
      <c r="V208" s="2" t="n">
        <v>84.52</v>
      </c>
      <c r="W208" s="2" t="s">
        <v>1360</v>
      </c>
    </row>
    <row r="209" customFormat="false" ht="18.7" hidden="false" customHeight="true" outlineLevel="0" collapsed="false">
      <c r="A209" s="1" t="n">
        <v>208</v>
      </c>
      <c r="B209" s="7" t="str">
        <f aca="false">HYPERLINK("https://mncourtfraud.com/file/27-CR-21-12762.pdf","27-CR-21-12762")</f>
        <v>27-CR-21-12762</v>
      </c>
      <c r="C209" s="1" t="n">
        <v>1</v>
      </c>
      <c r="D209" s="2" t="s">
        <v>12</v>
      </c>
      <c r="E209" s="8" t="n">
        <v>44468</v>
      </c>
      <c r="F209" s="2" t="s">
        <v>24</v>
      </c>
      <c r="G209" s="7" t="str">
        <f aca="false">HYPERLINK("https://mncourtfraud.com/file/MCRO_27-CR-21-12762_Order for Conditional Release_2021-09-29_20251126182418.pdf","MCRO_27-CR-21-12762_Order for Conditional Release_2021-09-29_20251126182418.pdf")</f>
        <v>MCRO_27-CR-21-12762_Order for Conditional Release_2021-09-29_20251126182418.pdf</v>
      </c>
      <c r="H209" s="1" t="n">
        <v>4</v>
      </c>
      <c r="I209" s="1" t="s">
        <v>1360</v>
      </c>
      <c r="J209" s="1" t="n">
        <v>1</v>
      </c>
      <c r="K209" s="1" t="n">
        <v>1</v>
      </c>
      <c r="L209" s="2" t="s">
        <v>1734</v>
      </c>
      <c r="M209" s="2" t="s">
        <v>1362</v>
      </c>
      <c r="N209" s="2" t="s">
        <v>1735</v>
      </c>
      <c r="O209" s="2" t="s">
        <v>1364</v>
      </c>
      <c r="P209" s="2" t="s">
        <v>1408</v>
      </c>
      <c r="Q209" s="1" t="n">
        <v>0</v>
      </c>
      <c r="R209" s="2" t="n">
        <v>130450</v>
      </c>
      <c r="S209" s="2" t="n">
        <v>146836</v>
      </c>
      <c r="T209" s="2" t="n">
        <v>4973</v>
      </c>
      <c r="U209" s="2" t="n">
        <v>135423</v>
      </c>
      <c r="V209" s="2" t="n">
        <v>89.21</v>
      </c>
      <c r="W209" s="2" t="s">
        <v>1360</v>
      </c>
    </row>
    <row r="210" customFormat="false" ht="18.7" hidden="false" customHeight="true" outlineLevel="0" collapsed="false">
      <c r="A210" s="1" t="n">
        <v>209</v>
      </c>
      <c r="B210" s="7" t="str">
        <f aca="false">HYPERLINK("https://mncourtfraud.com/file/27-CR-21-12762.pdf","27-CR-21-12762")</f>
        <v>27-CR-21-12762</v>
      </c>
      <c r="C210" s="1" t="n">
        <v>1</v>
      </c>
      <c r="D210" s="2" t="s">
        <v>12</v>
      </c>
      <c r="E210" s="8" t="n">
        <v>45412</v>
      </c>
      <c r="F210" s="2" t="s">
        <v>24</v>
      </c>
      <c r="G210" s="7" t="str">
        <f aca="false">HYPERLINK("https://mncourtfraud.com/file/MCRO_27-CR-21-12762_Order for Conditional Release_2024-04-30_20251126182405.pdf","MCRO_27-CR-21-12762_Order for Conditional Release_2024-04-30_20251126182405.pdf")</f>
        <v>MCRO_27-CR-21-12762_Order for Conditional Release_2024-04-30_20251126182405.pdf</v>
      </c>
      <c r="H210" s="1" t="n">
        <v>4</v>
      </c>
      <c r="I210" s="1" t="s">
        <v>1360</v>
      </c>
      <c r="J210" s="1" t="n">
        <v>1</v>
      </c>
      <c r="K210" s="1" t="n">
        <v>1</v>
      </c>
      <c r="L210" s="2" t="s">
        <v>1736</v>
      </c>
      <c r="M210" s="2" t="s">
        <v>1362</v>
      </c>
      <c r="N210" s="2" t="s">
        <v>1737</v>
      </c>
      <c r="O210" s="2" t="s">
        <v>1364</v>
      </c>
      <c r="P210" s="2" t="s">
        <v>1536</v>
      </c>
      <c r="Q210" s="1" t="n">
        <v>0</v>
      </c>
      <c r="R210" s="2" t="n">
        <v>129681</v>
      </c>
      <c r="S210" s="2" t="n">
        <v>146067</v>
      </c>
      <c r="T210" s="2" t="n">
        <v>4468</v>
      </c>
      <c r="U210" s="2" t="n">
        <v>134149</v>
      </c>
      <c r="V210" s="2" t="n">
        <v>89.11</v>
      </c>
      <c r="W210" s="2" t="s">
        <v>1360</v>
      </c>
    </row>
    <row r="211" customFormat="false" ht="18.7" hidden="false" customHeight="true" outlineLevel="0" collapsed="false">
      <c r="A211" s="1" t="n">
        <v>210</v>
      </c>
      <c r="B211" s="7" t="str">
        <f aca="false">HYPERLINK("https://mncourtfraud.com/file/27-CR-21-12947.pdf","27-CR-21-12947")</f>
        <v>27-CR-21-12947</v>
      </c>
      <c r="C211" s="1" t="n">
        <v>1</v>
      </c>
      <c r="D211" s="2" t="s">
        <v>12</v>
      </c>
      <c r="E211" s="8" t="n">
        <v>44405</v>
      </c>
      <c r="F211" s="2" t="s">
        <v>145</v>
      </c>
      <c r="G211" s="7" t="str">
        <f aca="false">HYPERLINK("https://mncourtfraud.com/file/MCRO_27-CR-21-12947_Demand or Request for Discovery_2021-07-28_20251126182551.pdf","MCRO_27-CR-21-12947_Demand or Request for Discovery_2021-07-28_20251126182551.pdf")</f>
        <v>MCRO_27-CR-21-12947_Demand or Request for Discovery_2021-07-28_20251126182551.pdf</v>
      </c>
      <c r="H211" s="1" t="n">
        <v>3</v>
      </c>
      <c r="I211" s="1" t="s">
        <v>1360</v>
      </c>
      <c r="J211" s="1" t="n">
        <v>1</v>
      </c>
      <c r="K211" s="1" t="n">
        <v>1</v>
      </c>
      <c r="L211" s="2" t="s">
        <v>1738</v>
      </c>
      <c r="M211" s="2" t="s">
        <v>1362</v>
      </c>
      <c r="N211" s="2" t="s">
        <v>1739</v>
      </c>
      <c r="O211" s="2" t="s">
        <v>1364</v>
      </c>
      <c r="P211" s="2" t="s">
        <v>1651</v>
      </c>
      <c r="Q211" s="1" t="n">
        <v>0</v>
      </c>
      <c r="R211" s="2" t="n">
        <v>293468</v>
      </c>
      <c r="S211" s="2" t="n">
        <v>309854</v>
      </c>
      <c r="T211" s="2" t="n">
        <v>5944</v>
      </c>
      <c r="U211" s="2" t="n">
        <v>299412</v>
      </c>
      <c r="V211" s="2" t="n">
        <v>94.81</v>
      </c>
      <c r="W211" s="2" t="s">
        <v>1360</v>
      </c>
    </row>
    <row r="212" customFormat="false" ht="18.7" hidden="false" customHeight="true" outlineLevel="0" collapsed="false">
      <c r="A212" s="1" t="n">
        <v>211</v>
      </c>
      <c r="B212" s="7" t="str">
        <f aca="false">HYPERLINK("https://mncourtfraud.com/file/27-CR-21-12947.pdf","27-CR-21-12947")</f>
        <v>27-CR-21-12947</v>
      </c>
      <c r="C212" s="1" t="n">
        <v>1</v>
      </c>
      <c r="D212" s="2" t="s">
        <v>12</v>
      </c>
      <c r="E212" s="8" t="n">
        <v>45048</v>
      </c>
      <c r="F212" s="2" t="s">
        <v>80</v>
      </c>
      <c r="G212" s="7" t="str">
        <f aca="false">HYPERLINK("https://mncourtfraud.com/file/MCRO_27-CR-21-12947_Finding of Incompetency and Order_2023-05-02_20251126182603.pdf","MCRO_27-CR-21-12947_Finding of Incompetency and Order_2023-05-02_20251126182603.pdf")</f>
        <v>MCRO_27-CR-21-12947_Finding of Incompetency and Order_2023-05-02_20251126182603.pdf</v>
      </c>
      <c r="H212" s="1" t="n">
        <v>9</v>
      </c>
      <c r="I212" s="1" t="s">
        <v>1366</v>
      </c>
      <c r="J212" s="1" t="n">
        <v>1</v>
      </c>
      <c r="K212" s="1" t="n">
        <v>1</v>
      </c>
      <c r="L212" s="2" t="s">
        <v>1491</v>
      </c>
      <c r="M212" s="2" t="s">
        <v>1492</v>
      </c>
      <c r="N212" s="2" t="s">
        <v>1493</v>
      </c>
      <c r="O212" s="2" t="s">
        <v>1494</v>
      </c>
      <c r="P212" s="2" t="s">
        <v>1495</v>
      </c>
      <c r="Q212" s="1" t="n">
        <v>0</v>
      </c>
      <c r="R212" s="2" t="n">
        <v>100288</v>
      </c>
      <c r="S212" s="2" t="n">
        <v>112370</v>
      </c>
      <c r="T212" s="2" t="n">
        <v>48200</v>
      </c>
      <c r="U212" s="2" t="n">
        <v>148488</v>
      </c>
      <c r="V212" s="2" t="n">
        <v>15.21</v>
      </c>
      <c r="W212" s="2" t="s">
        <v>1366</v>
      </c>
    </row>
    <row r="213" customFormat="false" ht="18.7" hidden="false" customHeight="true" outlineLevel="0" collapsed="false">
      <c r="A213" s="1" t="n">
        <v>212</v>
      </c>
      <c r="B213" s="7" t="str">
        <f aca="false">HYPERLINK("https://mncourtfraud.com/file/27-CR-21-12947.pdf","27-CR-21-12947")</f>
        <v>27-CR-21-12947</v>
      </c>
      <c r="C213" s="1" t="n">
        <v>1</v>
      </c>
      <c r="D213" s="2" t="s">
        <v>12</v>
      </c>
      <c r="E213" s="8" t="n">
        <v>45048</v>
      </c>
      <c r="F213" s="2" t="s">
        <v>80</v>
      </c>
      <c r="G213" s="7" t="str">
        <f aca="false">HYPERLINK("https://mncourtfraud.com/file/MCRO_27-CR-21-12947_Finding of Incompetency and Order_2023-05-02_20251126182603.pdf","MCRO_27-CR-21-12947_Finding of Incompetency and Order_2023-05-02_20251126182603.pdf")</f>
        <v>MCRO_27-CR-21-12947_Finding of Incompetency and Order_2023-05-02_20251126182603.pdf</v>
      </c>
      <c r="H213" s="1" t="n">
        <v>9</v>
      </c>
      <c r="I213" s="1" t="s">
        <v>1366</v>
      </c>
      <c r="J213" s="1" t="n">
        <v>2</v>
      </c>
      <c r="K213" s="1" t="n">
        <v>2</v>
      </c>
      <c r="L213" s="2" t="s">
        <v>1367</v>
      </c>
      <c r="M213" s="2" t="s">
        <v>1496</v>
      </c>
      <c r="N213" s="2" t="s">
        <v>1497</v>
      </c>
      <c r="O213" s="2" t="s">
        <v>1494</v>
      </c>
      <c r="P213" s="2" t="s">
        <v>1498</v>
      </c>
      <c r="Q213" s="1" t="n">
        <v>0</v>
      </c>
      <c r="R213" s="2" t="n">
        <v>160968</v>
      </c>
      <c r="S213" s="2" t="n">
        <v>167974</v>
      </c>
      <c r="T213" s="2" t="n">
        <v>59084</v>
      </c>
      <c r="U213" s="2" t="n">
        <v>220052</v>
      </c>
      <c r="V213" s="2" t="n">
        <v>22.53</v>
      </c>
      <c r="W213" s="2" t="s">
        <v>1366</v>
      </c>
    </row>
    <row r="214" customFormat="false" ht="18.7" hidden="false" customHeight="true" outlineLevel="0" collapsed="false">
      <c r="A214" s="1" t="n">
        <v>213</v>
      </c>
      <c r="B214" s="7" t="str">
        <f aca="false">HYPERLINK("https://mncourtfraud.com/file/27-CR-21-12947.pdf","27-CR-21-12947")</f>
        <v>27-CR-21-12947</v>
      </c>
      <c r="C214" s="1" t="n">
        <v>1</v>
      </c>
      <c r="D214" s="2" t="s">
        <v>12</v>
      </c>
      <c r="E214" s="8" t="n">
        <v>45048</v>
      </c>
      <c r="F214" s="2" t="s">
        <v>80</v>
      </c>
      <c r="G214" s="7" t="str">
        <f aca="false">HYPERLINK("https://mncourtfraud.com/file/MCRO_27-CR-21-12947_Finding of Incompetency and Order_2023-05-02_20251126182603.pdf","MCRO_27-CR-21-12947_Finding of Incompetency and Order_2023-05-02_20251126182603.pdf")</f>
        <v>MCRO_27-CR-21-12947_Finding of Incompetency and Order_2023-05-02_20251126182603.pdf</v>
      </c>
      <c r="H214" s="1" t="n">
        <v>9</v>
      </c>
      <c r="I214" s="1" t="s">
        <v>1366</v>
      </c>
      <c r="J214" s="1" t="n">
        <v>3</v>
      </c>
      <c r="K214" s="1" t="n">
        <v>3</v>
      </c>
      <c r="L214" s="2" t="s">
        <v>1740</v>
      </c>
      <c r="M214" s="2" t="s">
        <v>1362</v>
      </c>
      <c r="N214" s="2" t="s">
        <v>1741</v>
      </c>
      <c r="O214" s="2" t="s">
        <v>1364</v>
      </c>
      <c r="P214" s="2" t="s">
        <v>1501</v>
      </c>
      <c r="Q214" s="1" t="n">
        <v>0</v>
      </c>
      <c r="R214" s="2" t="n">
        <v>954852</v>
      </c>
      <c r="S214" s="2" t="n">
        <v>971238</v>
      </c>
      <c r="T214" s="2" t="n">
        <v>5307</v>
      </c>
      <c r="U214" s="2" t="n">
        <v>960159</v>
      </c>
      <c r="V214" s="2" t="n">
        <v>98.32</v>
      </c>
      <c r="W214" s="2" t="s">
        <v>1360</v>
      </c>
    </row>
    <row r="215" customFormat="false" ht="18.7" hidden="false" customHeight="true" outlineLevel="0" collapsed="false">
      <c r="A215" s="1" t="n">
        <v>214</v>
      </c>
      <c r="B215" s="7" t="str">
        <f aca="false">HYPERLINK("https://mncourtfraud.com/file/27-CR-21-12947.pdf","27-CR-21-12947")</f>
        <v>27-CR-21-12947</v>
      </c>
      <c r="C215" s="1" t="n">
        <v>1</v>
      </c>
      <c r="D215" s="2" t="s">
        <v>12</v>
      </c>
      <c r="E215" s="8" t="n">
        <v>44439</v>
      </c>
      <c r="F215" s="2" t="s">
        <v>19</v>
      </c>
      <c r="G215" s="7" t="str">
        <f aca="false">HYPERLINK("https://mncourtfraud.com/file/MCRO_27-CR-21-12947_Findings and Order_2021-08-31_20251126182625.pdf","MCRO_27-CR-21-12947_Findings and Order_2021-08-31_20251126182625.pdf")</f>
        <v>MCRO_27-CR-21-12947_Findings and Order_2021-08-31_20251126182625.pdf</v>
      </c>
      <c r="H215" s="1" t="n">
        <v>5</v>
      </c>
      <c r="I215" s="1" t="s">
        <v>1366</v>
      </c>
      <c r="J215" s="1" t="n">
        <v>1</v>
      </c>
      <c r="K215" s="1" t="n">
        <v>1</v>
      </c>
      <c r="L215" s="2" t="s">
        <v>1367</v>
      </c>
      <c r="M215" s="2" t="s">
        <v>1368</v>
      </c>
      <c r="N215" s="2" t="s">
        <v>1369</v>
      </c>
      <c r="O215" s="2" t="s">
        <v>1364</v>
      </c>
      <c r="P215" s="2" t="s">
        <v>1370</v>
      </c>
      <c r="Q215" s="1" t="n">
        <v>0</v>
      </c>
      <c r="R215" s="2" t="n">
        <v>129996</v>
      </c>
      <c r="S215" s="2" t="n">
        <v>137690</v>
      </c>
      <c r="T215" s="2" t="n">
        <v>19979</v>
      </c>
      <c r="U215" s="2" t="n">
        <v>149975</v>
      </c>
      <c r="V215" s="2" t="n">
        <v>39.94</v>
      </c>
      <c r="W215" s="2" t="s">
        <v>1366</v>
      </c>
    </row>
    <row r="216" customFormat="false" ht="18.7" hidden="false" customHeight="true" outlineLevel="0" collapsed="false">
      <c r="A216" s="1" t="n">
        <v>215</v>
      </c>
      <c r="B216" s="7" t="str">
        <f aca="false">HYPERLINK("https://mncourtfraud.com/file/27-CR-21-12947.pdf","27-CR-21-12947")</f>
        <v>27-CR-21-12947</v>
      </c>
      <c r="C216" s="1" t="n">
        <v>1</v>
      </c>
      <c r="D216" s="2" t="s">
        <v>12</v>
      </c>
      <c r="E216" s="8" t="n">
        <v>44439</v>
      </c>
      <c r="F216" s="2" t="s">
        <v>19</v>
      </c>
      <c r="G216" s="7" t="str">
        <f aca="false">HYPERLINK("https://mncourtfraud.com/file/MCRO_27-CR-21-12947_Findings and Order_2021-08-31_20251126182625.pdf","MCRO_27-CR-21-12947_Findings and Order_2021-08-31_20251126182625.pdf")</f>
        <v>MCRO_27-CR-21-12947_Findings and Order_2021-08-31_20251126182625.pdf</v>
      </c>
      <c r="H216" s="1" t="n">
        <v>5</v>
      </c>
      <c r="I216" s="1" t="s">
        <v>1366</v>
      </c>
      <c r="J216" s="1" t="n">
        <v>2</v>
      </c>
      <c r="K216" s="1" t="n">
        <v>2</v>
      </c>
      <c r="L216" s="2" t="s">
        <v>1742</v>
      </c>
      <c r="M216" s="2" t="s">
        <v>1362</v>
      </c>
      <c r="N216" s="2" t="s">
        <v>1743</v>
      </c>
      <c r="O216" s="2" t="s">
        <v>1364</v>
      </c>
      <c r="P216" s="2" t="s">
        <v>1373</v>
      </c>
      <c r="Q216" s="1" t="n">
        <v>0</v>
      </c>
      <c r="R216" s="2" t="n">
        <v>354062</v>
      </c>
      <c r="S216" s="2" t="n">
        <v>370448</v>
      </c>
      <c r="T216" s="2" t="n">
        <v>5039</v>
      </c>
      <c r="U216" s="2" t="n">
        <v>359101</v>
      </c>
      <c r="V216" s="2" t="n">
        <v>95.64</v>
      </c>
      <c r="W216" s="2" t="s">
        <v>1360</v>
      </c>
    </row>
    <row r="217" customFormat="false" ht="18.7" hidden="false" customHeight="true" outlineLevel="0" collapsed="false">
      <c r="A217" s="1" t="n">
        <v>216</v>
      </c>
      <c r="B217" s="7" t="str">
        <f aca="false">HYPERLINK("https://mncourtfraud.com/file/27-CR-21-12947.pdf","27-CR-21-12947")</f>
        <v>27-CR-21-12947</v>
      </c>
      <c r="C217" s="1" t="n">
        <v>1</v>
      </c>
      <c r="D217" s="2" t="s">
        <v>12</v>
      </c>
      <c r="E217" s="8" t="n">
        <v>44593</v>
      </c>
      <c r="F217" s="2" t="s">
        <v>19</v>
      </c>
      <c r="G217" s="7" t="str">
        <f aca="false">HYPERLINK("https://mncourtfraud.com/file/MCRO_27-CR-21-12947_Findings and Order_2022-02-01_20251126182615.pdf","MCRO_27-CR-21-12947_Findings and Order_2022-02-01_20251126182615.pdf")</f>
        <v>MCRO_27-CR-21-12947_Findings and Order_2022-02-01_20251126182615.pdf</v>
      </c>
      <c r="H217" s="1" t="n">
        <v>4</v>
      </c>
      <c r="I217" s="1" t="s">
        <v>1360</v>
      </c>
      <c r="J217" s="1" t="n">
        <v>1</v>
      </c>
      <c r="K217" s="1" t="n">
        <v>1</v>
      </c>
      <c r="L217" s="2" t="s">
        <v>1367</v>
      </c>
      <c r="M217" s="2" t="s">
        <v>1368</v>
      </c>
      <c r="N217" s="2" t="s">
        <v>1374</v>
      </c>
      <c r="O217" s="2" t="s">
        <v>1364</v>
      </c>
      <c r="P217" s="2" t="s">
        <v>1375</v>
      </c>
      <c r="Q217" s="1" t="n">
        <v>0</v>
      </c>
      <c r="R217" s="2" t="n">
        <v>163153</v>
      </c>
      <c r="S217" s="2" t="n">
        <v>173205</v>
      </c>
      <c r="T217" s="2" t="n">
        <v>9683</v>
      </c>
      <c r="U217" s="2" t="n">
        <v>172836</v>
      </c>
      <c r="V217" s="2" t="n">
        <v>47.77</v>
      </c>
      <c r="W217" s="2" t="s">
        <v>1366</v>
      </c>
    </row>
    <row r="218" customFormat="false" ht="18.7" hidden="false" customHeight="true" outlineLevel="0" collapsed="false">
      <c r="A218" s="1" t="n">
        <v>217</v>
      </c>
      <c r="B218" s="7" t="str">
        <f aca="false">HYPERLINK("https://mncourtfraud.com/file/27-CR-21-12947.pdf","27-CR-21-12947")</f>
        <v>27-CR-21-12947</v>
      </c>
      <c r="C218" s="1" t="n">
        <v>1</v>
      </c>
      <c r="D218" s="2" t="s">
        <v>12</v>
      </c>
      <c r="E218" s="8" t="n">
        <v>44593</v>
      </c>
      <c r="F218" s="2" t="s">
        <v>19</v>
      </c>
      <c r="G218" s="7" t="str">
        <f aca="false">HYPERLINK("https://mncourtfraud.com/file/MCRO_27-CR-21-12947_Findings and Order_2022-02-01_20251126182615.pdf","MCRO_27-CR-21-12947_Findings and Order_2022-02-01_20251126182615.pdf")</f>
        <v>MCRO_27-CR-21-12947_Findings and Order_2022-02-01_20251126182615.pdf</v>
      </c>
      <c r="H218" s="1" t="n">
        <v>4</v>
      </c>
      <c r="I218" s="1" t="s">
        <v>1360</v>
      </c>
      <c r="J218" s="1" t="n">
        <v>2</v>
      </c>
      <c r="K218" s="1" t="n">
        <v>2</v>
      </c>
      <c r="L218" s="2" t="s">
        <v>1744</v>
      </c>
      <c r="M218" s="2" t="s">
        <v>1362</v>
      </c>
      <c r="N218" s="2" t="s">
        <v>1745</v>
      </c>
      <c r="O218" s="2" t="s">
        <v>1364</v>
      </c>
      <c r="P218" s="2" t="s">
        <v>1378</v>
      </c>
      <c r="Q218" s="1" t="n">
        <v>0</v>
      </c>
      <c r="R218" s="2" t="n">
        <v>340310</v>
      </c>
      <c r="S218" s="2" t="n">
        <v>356696</v>
      </c>
      <c r="T218" s="2" t="n">
        <v>5092</v>
      </c>
      <c r="U218" s="2" t="n">
        <v>345402</v>
      </c>
      <c r="V218" s="2" t="n">
        <v>95.47</v>
      </c>
      <c r="W218" s="2" t="s">
        <v>1360</v>
      </c>
    </row>
    <row r="219" customFormat="false" ht="18.7" hidden="false" customHeight="true" outlineLevel="0" collapsed="false">
      <c r="A219" s="1" t="n">
        <v>218</v>
      </c>
      <c r="B219" s="7" t="str">
        <f aca="false">HYPERLINK("https://mncourtfraud.com/file/27-CR-21-12947.pdf","27-CR-21-12947")</f>
        <v>27-CR-21-12947</v>
      </c>
      <c r="C219" s="1" t="n">
        <v>1</v>
      </c>
      <c r="D219" s="2" t="s">
        <v>12</v>
      </c>
      <c r="E219" s="8" t="n">
        <v>45093</v>
      </c>
      <c r="F219" s="2" t="s">
        <v>82</v>
      </c>
      <c r="G219" s="7" t="str">
        <f aca="false">HYPERLINK("https://mncourtfraud.com/file/MCRO_27-CR-21-12947_Notice of Case Reassignment_2023-06-16_20251126182639.pdf","MCRO_27-CR-21-12947_Notice of Case Reassignment_2023-06-16_20251126182639.pdf")</f>
        <v>MCRO_27-CR-21-12947_Notice of Case Reassignment_2023-06-16_20251126182639.pdf</v>
      </c>
      <c r="H219" s="1" t="n">
        <v>3</v>
      </c>
      <c r="I219" s="1" t="s">
        <v>1360</v>
      </c>
      <c r="J219" s="1" t="n">
        <v>1</v>
      </c>
      <c r="K219" s="1" t="n">
        <v>1</v>
      </c>
      <c r="L219" s="2" t="s">
        <v>1746</v>
      </c>
      <c r="M219" s="2" t="s">
        <v>1362</v>
      </c>
      <c r="N219" s="2" t="s">
        <v>1747</v>
      </c>
      <c r="O219" s="2" t="s">
        <v>1364</v>
      </c>
      <c r="P219" s="2" t="s">
        <v>1508</v>
      </c>
      <c r="Q219" s="1" t="n">
        <v>0</v>
      </c>
      <c r="R219" s="2" t="n">
        <v>92690</v>
      </c>
      <c r="S219" s="2" t="n">
        <v>109076</v>
      </c>
      <c r="T219" s="2" t="n">
        <v>4554</v>
      </c>
      <c r="U219" s="2" t="n">
        <v>97244</v>
      </c>
      <c r="V219" s="2" t="n">
        <v>85.58</v>
      </c>
      <c r="W219" s="2" t="s">
        <v>1360</v>
      </c>
    </row>
    <row r="220" customFormat="false" ht="18.7" hidden="false" customHeight="true" outlineLevel="0" collapsed="false">
      <c r="A220" s="1" t="n">
        <v>219</v>
      </c>
      <c r="B220" s="7" t="str">
        <f aca="false">HYPERLINK("https://mncourtfraud.com/file/27-CR-21-12947.pdf","27-CR-21-12947")</f>
        <v>27-CR-21-12947</v>
      </c>
      <c r="C220" s="1" t="n">
        <v>1</v>
      </c>
      <c r="D220" s="2" t="s">
        <v>12</v>
      </c>
      <c r="E220" s="8" t="n">
        <v>44396</v>
      </c>
      <c r="F220" s="2" t="s">
        <v>15</v>
      </c>
      <c r="G220" s="7" t="str">
        <f aca="false">HYPERLINK("https://mncourtfraud.com/file/MCRO_27-CR-21-12947_Order-Evaluation for Competency to Proceed (Rule 20.01)_2021-07-19_20251126182723.pdf","MCRO_27-CR-21-12947_Order-Evaluation for Competency to Proceed (Rule 20.01)_2021-07-19_20251126182723.pdf")</f>
        <v>MCRO_27-CR-21-12947_Order-Evaluation for Competency to Proceed (Rule 20.01)_2021-07-19_20251126182723.pdf</v>
      </c>
      <c r="H220" s="1" t="n">
        <v>4</v>
      </c>
      <c r="I220" s="1" t="s">
        <v>1360</v>
      </c>
      <c r="J220" s="1" t="n">
        <v>1</v>
      </c>
      <c r="K220" s="1" t="n">
        <v>1</v>
      </c>
      <c r="L220" s="2" t="s">
        <v>1748</v>
      </c>
      <c r="M220" s="2" t="s">
        <v>1362</v>
      </c>
      <c r="N220" s="2" t="s">
        <v>1749</v>
      </c>
      <c r="O220" s="2" t="s">
        <v>1364</v>
      </c>
      <c r="P220" s="2" t="s">
        <v>1390</v>
      </c>
      <c r="Q220" s="1" t="n">
        <v>0</v>
      </c>
      <c r="R220" s="2" t="n">
        <v>168679</v>
      </c>
      <c r="S220" s="2" t="n">
        <v>185065</v>
      </c>
      <c r="T220" s="2" t="n">
        <v>8533</v>
      </c>
      <c r="U220" s="2" t="n">
        <v>177212</v>
      </c>
      <c r="V220" s="2" t="n">
        <v>91.54</v>
      </c>
      <c r="W220" s="2" t="s">
        <v>1360</v>
      </c>
    </row>
    <row r="221" customFormat="false" ht="18.7" hidden="false" customHeight="true" outlineLevel="0" collapsed="false">
      <c r="A221" s="1" t="n">
        <v>220</v>
      </c>
      <c r="B221" s="7" t="str">
        <f aca="false">HYPERLINK("https://mncourtfraud.com/file/27-CR-21-12947.pdf","27-CR-21-12947")</f>
        <v>27-CR-21-12947</v>
      </c>
      <c r="C221" s="1" t="n">
        <v>1</v>
      </c>
      <c r="D221" s="2" t="s">
        <v>12</v>
      </c>
      <c r="E221" s="8" t="n">
        <v>44543</v>
      </c>
      <c r="F221" s="2" t="s">
        <v>15</v>
      </c>
      <c r="G221" s="7" t="str">
        <f aca="false">HYPERLINK("https://mncourtfraud.com/file/MCRO_27-CR-21-12947_Order-Evaluation for Competency to Proceed (Rule 20.01)_2021-12-13_20251126182732.pdf","MCRO_27-CR-21-12947_Order-Evaluation for Competency to Proceed (Rule 20.01)_2021-12-13_20251126182732.pdf")</f>
        <v>MCRO_27-CR-21-12947_Order-Evaluation for Competency to Proceed (Rule 20.01)_2021-12-13_20251126182732.pdf</v>
      </c>
      <c r="H221" s="1" t="n">
        <v>3</v>
      </c>
      <c r="I221" s="1" t="s">
        <v>1360</v>
      </c>
      <c r="J221" s="1" t="n">
        <v>1</v>
      </c>
      <c r="K221" s="1" t="n">
        <v>1</v>
      </c>
      <c r="L221" s="2" t="s">
        <v>1750</v>
      </c>
      <c r="M221" s="2" t="s">
        <v>1362</v>
      </c>
      <c r="N221" s="2" t="s">
        <v>1751</v>
      </c>
      <c r="O221" s="2" t="s">
        <v>1364</v>
      </c>
      <c r="P221" s="2" t="s">
        <v>1393</v>
      </c>
      <c r="Q221" s="1" t="n">
        <v>0</v>
      </c>
      <c r="R221" s="2" t="n">
        <v>212321</v>
      </c>
      <c r="S221" s="2" t="n">
        <v>228707</v>
      </c>
      <c r="T221" s="2" t="n">
        <v>5134</v>
      </c>
      <c r="U221" s="2" t="n">
        <v>217455</v>
      </c>
      <c r="V221" s="2" t="n">
        <v>92.99</v>
      </c>
      <c r="W221" s="2" t="s">
        <v>1360</v>
      </c>
    </row>
    <row r="222" customFormat="false" ht="18.7" hidden="false" customHeight="true" outlineLevel="0" collapsed="false">
      <c r="A222" s="1" t="n">
        <v>221</v>
      </c>
      <c r="B222" s="7" t="str">
        <f aca="false">HYPERLINK("https://mncourtfraud.com/file/27-CR-21-12947.pdf","27-CR-21-12947")</f>
        <v>27-CR-21-12947</v>
      </c>
      <c r="C222" s="1" t="n">
        <v>1</v>
      </c>
      <c r="D222" s="2" t="s">
        <v>12</v>
      </c>
      <c r="E222" s="8" t="n">
        <v>44558</v>
      </c>
      <c r="F222" s="2" t="s">
        <v>15</v>
      </c>
      <c r="G222" s="7" t="str">
        <f aca="false">HYPERLINK("https://mncourtfraud.com/file/MCRO_27-CR-21-12947_Order-Evaluation for Competency to Proceed (Rule 20.01)_2021-12-28_20251126182740.pdf","MCRO_27-CR-21-12947_Order-Evaluation for Competency to Proceed (Rule 20.01)_2021-12-28_20251126182740.pdf")</f>
        <v>MCRO_27-CR-21-12947_Order-Evaluation for Competency to Proceed (Rule 20.01)_2021-12-28_20251126182740.pdf</v>
      </c>
      <c r="H222" s="1" t="n">
        <v>4</v>
      </c>
      <c r="I222" s="1" t="s">
        <v>1360</v>
      </c>
      <c r="J222" s="1" t="n">
        <v>1</v>
      </c>
      <c r="K222" s="1" t="n">
        <v>1</v>
      </c>
      <c r="L222" s="2" t="s">
        <v>1752</v>
      </c>
      <c r="M222" s="2" t="s">
        <v>1362</v>
      </c>
      <c r="N222" s="2" t="s">
        <v>1753</v>
      </c>
      <c r="O222" s="2" t="s">
        <v>1364</v>
      </c>
      <c r="P222" s="2" t="s">
        <v>1396</v>
      </c>
      <c r="Q222" s="1" t="n">
        <v>0</v>
      </c>
      <c r="R222" s="2" t="n">
        <v>215113</v>
      </c>
      <c r="S222" s="2" t="n">
        <v>231499</v>
      </c>
      <c r="T222" s="2" t="n">
        <v>8578</v>
      </c>
      <c r="U222" s="2" t="n">
        <v>223691</v>
      </c>
      <c r="V222" s="2" t="n">
        <v>93.17</v>
      </c>
      <c r="W222" s="2" t="s">
        <v>1360</v>
      </c>
    </row>
    <row r="223" customFormat="false" ht="18.7" hidden="false" customHeight="true" outlineLevel="0" collapsed="false">
      <c r="A223" s="1" t="n">
        <v>222</v>
      </c>
      <c r="B223" s="7" t="str">
        <f aca="false">HYPERLINK("https://mncourtfraud.com/file/27-CR-21-12947.pdf","27-CR-21-12947")</f>
        <v>27-CR-21-12947</v>
      </c>
      <c r="C223" s="1" t="n">
        <v>1</v>
      </c>
      <c r="D223" s="2" t="s">
        <v>12</v>
      </c>
      <c r="E223" s="8" t="n">
        <v>44692</v>
      </c>
      <c r="F223" s="2" t="s">
        <v>15</v>
      </c>
      <c r="G223" s="7" t="str">
        <f aca="false">HYPERLINK("https://mncourtfraud.com/file/MCRO_27-CR-21-12947_Order-Evaluation for Competency to Proceed (Rule 20.01)_2022-05-11_20251126182749.pdf","MCRO_27-CR-21-12947_Order-Evaluation for Competency to Proceed (Rule 20.01)_2022-05-11_20251126182749.pdf")</f>
        <v>MCRO_27-CR-21-12947_Order-Evaluation for Competency to Proceed (Rule 20.01)_2022-05-11_20251126182749.pdf</v>
      </c>
      <c r="H223" s="1" t="n">
        <v>3</v>
      </c>
      <c r="I223" s="1" t="s">
        <v>1360</v>
      </c>
      <c r="J223" s="1" t="n">
        <v>1</v>
      </c>
      <c r="K223" s="1" t="n">
        <v>1</v>
      </c>
      <c r="L223" s="2" t="s">
        <v>1754</v>
      </c>
      <c r="M223" s="2" t="s">
        <v>1362</v>
      </c>
      <c r="N223" s="2" t="s">
        <v>1755</v>
      </c>
      <c r="O223" s="2" t="s">
        <v>1364</v>
      </c>
      <c r="P223" s="2" t="s">
        <v>1399</v>
      </c>
      <c r="Q223" s="1" t="n">
        <v>0</v>
      </c>
      <c r="R223" s="2" t="n">
        <v>218707</v>
      </c>
      <c r="S223" s="2" t="n">
        <v>235093</v>
      </c>
      <c r="T223" s="2" t="n">
        <v>4728</v>
      </c>
      <c r="U223" s="2" t="n">
        <v>223435</v>
      </c>
      <c r="V223" s="2" t="n">
        <v>93.17</v>
      </c>
      <c r="W223" s="2" t="s">
        <v>1360</v>
      </c>
    </row>
    <row r="224" customFormat="false" ht="18.7" hidden="false" customHeight="true" outlineLevel="0" collapsed="false">
      <c r="A224" s="1" t="n">
        <v>223</v>
      </c>
      <c r="B224" s="7" t="str">
        <f aca="false">HYPERLINK("https://mncourtfraud.com/file/27-CR-21-12947.pdf","27-CR-21-12947")</f>
        <v>27-CR-21-12947</v>
      </c>
      <c r="C224" s="1" t="n">
        <v>1</v>
      </c>
      <c r="D224" s="2" t="s">
        <v>12</v>
      </c>
      <c r="E224" s="8" t="n">
        <v>44895</v>
      </c>
      <c r="F224" s="2" t="s">
        <v>15</v>
      </c>
      <c r="G224" s="7" t="str">
        <f aca="false">HYPERLINK("https://mncourtfraud.com/file/MCRO_27-CR-21-12947_Order-Evaluation for Competency to Proceed (Rule 20.01)_2022-11-30_20251126182757.pdf","MCRO_27-CR-21-12947_Order-Evaluation for Competency to Proceed (Rule 20.01)_2022-11-30_20251126182757.pdf")</f>
        <v>MCRO_27-CR-21-12947_Order-Evaluation for Competency to Proceed (Rule 20.01)_2022-11-30_20251126182757.pdf</v>
      </c>
      <c r="H224" s="1" t="n">
        <v>4</v>
      </c>
      <c r="I224" s="1" t="s">
        <v>1360</v>
      </c>
      <c r="J224" s="1" t="n">
        <v>1</v>
      </c>
      <c r="K224" s="1" t="n">
        <v>1</v>
      </c>
      <c r="L224" s="2" t="s">
        <v>1756</v>
      </c>
      <c r="M224" s="2" t="s">
        <v>1362</v>
      </c>
      <c r="N224" s="2" t="s">
        <v>1757</v>
      </c>
      <c r="O224" s="2" t="s">
        <v>1364</v>
      </c>
      <c r="P224" s="2" t="s">
        <v>1402</v>
      </c>
      <c r="Q224" s="1" t="n">
        <v>0</v>
      </c>
      <c r="R224" s="2" t="n">
        <v>795534</v>
      </c>
      <c r="S224" s="2" t="n">
        <v>811920</v>
      </c>
      <c r="T224" s="2" t="n">
        <v>5079</v>
      </c>
      <c r="U224" s="2" t="n">
        <v>800613</v>
      </c>
      <c r="V224" s="2" t="n">
        <v>97.99</v>
      </c>
      <c r="W224" s="2" t="s">
        <v>1360</v>
      </c>
    </row>
    <row r="225" customFormat="false" ht="18.7" hidden="false" customHeight="true" outlineLevel="0" collapsed="false">
      <c r="A225" s="1" t="n">
        <v>224</v>
      </c>
      <c r="B225" s="7" t="str">
        <f aca="false">HYPERLINK("https://mncourtfraud.com/file/27-CR-21-12947.pdf","27-CR-21-12947")</f>
        <v>27-CR-21-12947</v>
      </c>
      <c r="C225" s="1" t="n">
        <v>1</v>
      </c>
      <c r="D225" s="2" t="s">
        <v>12</v>
      </c>
      <c r="E225" s="8" t="n">
        <v>45160</v>
      </c>
      <c r="F225" s="2" t="s">
        <v>15</v>
      </c>
      <c r="G225" s="7" t="str">
        <f aca="false">HYPERLINK("https://mncourtfraud.com/file/MCRO_27-CR-21-12947_Order-Evaluation for Competency to Proceed (Rule 20.01)_2023-08-22_20251126182805.pdf","MCRO_27-CR-21-12947_Order-Evaluation for Competency to Proceed (Rule 20.01)_2023-08-22_20251126182805.pdf")</f>
        <v>MCRO_27-CR-21-12947_Order-Evaluation for Competency to Proceed (Rule 20.01)_2023-08-22_20251126182805.pdf</v>
      </c>
      <c r="H225" s="1" t="n">
        <v>6</v>
      </c>
      <c r="I225" s="1" t="s">
        <v>1366</v>
      </c>
      <c r="J225" s="1" t="n">
        <v>1</v>
      </c>
      <c r="K225" s="1" t="n">
        <v>1</v>
      </c>
      <c r="L225" s="2" t="s">
        <v>1367</v>
      </c>
      <c r="M225" s="2" t="s">
        <v>1519</v>
      </c>
      <c r="N225" s="2" t="s">
        <v>1520</v>
      </c>
      <c r="O225" s="2" t="s">
        <v>1494</v>
      </c>
      <c r="P225" s="2" t="s">
        <v>1521</v>
      </c>
      <c r="Q225" s="1" t="n">
        <v>0</v>
      </c>
      <c r="R225" s="2" t="n">
        <v>122115</v>
      </c>
      <c r="S225" s="2" t="n">
        <v>129143</v>
      </c>
      <c r="T225" s="2" t="n">
        <v>87775</v>
      </c>
      <c r="U225" s="2" t="n">
        <v>209890</v>
      </c>
      <c r="V225" s="2" t="n">
        <v>23.95</v>
      </c>
      <c r="W225" s="2" t="s">
        <v>1366</v>
      </c>
    </row>
    <row r="226" customFormat="false" ht="18.7" hidden="false" customHeight="true" outlineLevel="0" collapsed="false">
      <c r="A226" s="1" t="n">
        <v>225</v>
      </c>
      <c r="B226" s="7" t="str">
        <f aca="false">HYPERLINK("https://mncourtfraud.com/file/27-CR-21-12947.pdf","27-CR-21-12947")</f>
        <v>27-CR-21-12947</v>
      </c>
      <c r="C226" s="1" t="n">
        <v>1</v>
      </c>
      <c r="D226" s="2" t="s">
        <v>12</v>
      </c>
      <c r="E226" s="8" t="n">
        <v>45160</v>
      </c>
      <c r="F226" s="2" t="s">
        <v>15</v>
      </c>
      <c r="G226" s="7" t="str">
        <f aca="false">HYPERLINK("https://mncourtfraud.com/file/MCRO_27-CR-21-12947_Order-Evaluation for Competency to Proceed (Rule 20.01)_2023-08-22_20251126182805.pdf","MCRO_27-CR-21-12947_Order-Evaluation for Competency to Proceed (Rule 20.01)_2023-08-22_20251126182805.pdf")</f>
        <v>MCRO_27-CR-21-12947_Order-Evaluation for Competency to Proceed (Rule 20.01)_2023-08-22_20251126182805.pdf</v>
      </c>
      <c r="H226" s="1" t="n">
        <v>6</v>
      </c>
      <c r="I226" s="1" t="s">
        <v>1366</v>
      </c>
      <c r="J226" s="1" t="n">
        <v>2</v>
      </c>
      <c r="K226" s="1" t="n">
        <v>2</v>
      </c>
      <c r="L226" s="2" t="s">
        <v>1758</v>
      </c>
      <c r="M226" s="2" t="s">
        <v>1362</v>
      </c>
      <c r="N226" s="2" t="s">
        <v>1759</v>
      </c>
      <c r="O226" s="2" t="s">
        <v>1364</v>
      </c>
      <c r="P226" s="2" t="s">
        <v>1524</v>
      </c>
      <c r="Q226" s="1" t="n">
        <v>0</v>
      </c>
      <c r="R226" s="2" t="n">
        <v>855042</v>
      </c>
      <c r="S226" s="2" t="n">
        <v>871428</v>
      </c>
      <c r="T226" s="2" t="n">
        <v>4974</v>
      </c>
      <c r="U226" s="2" t="n">
        <v>860016</v>
      </c>
      <c r="V226" s="2" t="n">
        <v>98.13</v>
      </c>
      <c r="W226" s="2" t="s">
        <v>1360</v>
      </c>
    </row>
    <row r="227" customFormat="false" ht="18.7" hidden="false" customHeight="true" outlineLevel="0" collapsed="false">
      <c r="A227" s="1" t="n">
        <v>226</v>
      </c>
      <c r="B227" s="7" t="str">
        <f aca="false">HYPERLINK("https://mncourtfraud.com/file/27-CR-21-12947.pdf","27-CR-21-12947")</f>
        <v>27-CR-21-12947</v>
      </c>
      <c r="C227" s="1" t="n">
        <v>1</v>
      </c>
      <c r="D227" s="2" t="s">
        <v>12</v>
      </c>
      <c r="E227" s="8" t="n">
        <v>45412</v>
      </c>
      <c r="F227" s="2" t="s">
        <v>15</v>
      </c>
      <c r="G227" s="7" t="str">
        <f aca="false">HYPERLINK("https://mncourtfraud.com/file/MCRO_27-CR-21-12947_Order-Evaluation for Competency to Proceed (Rule 20.01)_2024-04-30_20251126182816.pdf","MCRO_27-CR-21-12947_Order-Evaluation for Competency to Proceed (Rule 20.01)_2024-04-30_20251126182816.pdf")</f>
        <v>MCRO_27-CR-21-12947_Order-Evaluation for Competency to Proceed (Rule 20.01)_2024-04-30_20251126182816.pdf</v>
      </c>
      <c r="H227" s="1" t="n">
        <v>4</v>
      </c>
      <c r="I227" s="1" t="s">
        <v>1360</v>
      </c>
      <c r="J227" s="1" t="n">
        <v>1</v>
      </c>
      <c r="K227" s="1" t="n">
        <v>1</v>
      </c>
      <c r="L227" s="2" t="s">
        <v>1760</v>
      </c>
      <c r="M227" s="2" t="s">
        <v>1362</v>
      </c>
      <c r="N227" s="2" t="s">
        <v>1761</v>
      </c>
      <c r="O227" s="2" t="s">
        <v>1364</v>
      </c>
      <c r="P227" s="2" t="s">
        <v>1390</v>
      </c>
      <c r="Q227" s="1" t="n">
        <v>0</v>
      </c>
      <c r="R227" s="2" t="n">
        <v>198659</v>
      </c>
      <c r="S227" s="2" t="n">
        <v>215045</v>
      </c>
      <c r="T227" s="2" t="n">
        <v>4474</v>
      </c>
      <c r="U227" s="2" t="n">
        <v>203133</v>
      </c>
      <c r="V227" s="2" t="n">
        <v>92.54</v>
      </c>
      <c r="W227" s="2" t="s">
        <v>1360</v>
      </c>
    </row>
    <row r="228" customFormat="false" ht="18.7" hidden="false" customHeight="true" outlineLevel="0" collapsed="false">
      <c r="A228" s="1" t="n">
        <v>227</v>
      </c>
      <c r="B228" s="7" t="str">
        <f aca="false">HYPERLINK("https://mncourtfraud.com/file/27-CR-21-12947.pdf","27-CR-21-12947")</f>
        <v>27-CR-21-12947</v>
      </c>
      <c r="C228" s="1" t="n">
        <v>1</v>
      </c>
      <c r="D228" s="2" t="s">
        <v>12</v>
      </c>
      <c r="E228" s="8" t="n">
        <v>44460</v>
      </c>
      <c r="F228" s="2" t="s">
        <v>24</v>
      </c>
      <c r="G228" s="7" t="str">
        <f aca="false">HYPERLINK("https://mncourtfraud.com/file/MCRO_27-CR-21-12947_Order for Conditional Release_2021-09-21_20251126182704.pdf","MCRO_27-CR-21-12947_Order for Conditional Release_2021-09-21_20251126182704.pdf")</f>
        <v>MCRO_27-CR-21-12947_Order for Conditional Release_2021-09-21_20251126182704.pdf</v>
      </c>
      <c r="H228" s="1" t="n">
        <v>4</v>
      </c>
      <c r="I228" s="1" t="s">
        <v>1360</v>
      </c>
      <c r="J228" s="1" t="n">
        <v>1</v>
      </c>
      <c r="K228" s="1" t="n">
        <v>1</v>
      </c>
      <c r="L228" s="2" t="s">
        <v>1762</v>
      </c>
      <c r="M228" s="2" t="s">
        <v>1362</v>
      </c>
      <c r="N228" s="2" t="s">
        <v>1763</v>
      </c>
      <c r="O228" s="2" t="s">
        <v>1364</v>
      </c>
      <c r="P228" s="2" t="s">
        <v>1405</v>
      </c>
      <c r="Q228" s="1" t="n">
        <v>0</v>
      </c>
      <c r="R228" s="2" t="n">
        <v>84991</v>
      </c>
      <c r="S228" s="2" t="n">
        <v>101377</v>
      </c>
      <c r="T228" s="2" t="n">
        <v>4472</v>
      </c>
      <c r="U228" s="2" t="n">
        <v>89463</v>
      </c>
      <c r="V228" s="2" t="n">
        <v>84.52</v>
      </c>
      <c r="W228" s="2" t="s">
        <v>1360</v>
      </c>
    </row>
    <row r="229" customFormat="false" ht="18.7" hidden="false" customHeight="true" outlineLevel="0" collapsed="false">
      <c r="A229" s="1" t="n">
        <v>228</v>
      </c>
      <c r="B229" s="7" t="str">
        <f aca="false">HYPERLINK("https://mncourtfraud.com/file/27-CR-21-12947.pdf","27-CR-21-12947")</f>
        <v>27-CR-21-12947</v>
      </c>
      <c r="C229" s="1" t="n">
        <v>1</v>
      </c>
      <c r="D229" s="2" t="s">
        <v>12</v>
      </c>
      <c r="E229" s="8" t="n">
        <v>44468</v>
      </c>
      <c r="F229" s="2" t="s">
        <v>24</v>
      </c>
      <c r="G229" s="7" t="str">
        <f aca="false">HYPERLINK("https://mncourtfraud.com/file/MCRO_27-CR-21-12947_Order for Conditional Release_2021-09-29_20251126182710.pdf","MCRO_27-CR-21-12947_Order for Conditional Release_2021-09-29_20251126182710.pdf")</f>
        <v>MCRO_27-CR-21-12947_Order for Conditional Release_2021-09-29_20251126182710.pdf</v>
      </c>
      <c r="H229" s="1" t="n">
        <v>4</v>
      </c>
      <c r="I229" s="1" t="s">
        <v>1360</v>
      </c>
      <c r="J229" s="1" t="n">
        <v>1</v>
      </c>
      <c r="K229" s="1" t="n">
        <v>1</v>
      </c>
      <c r="L229" s="2" t="s">
        <v>1764</v>
      </c>
      <c r="M229" s="2" t="s">
        <v>1362</v>
      </c>
      <c r="N229" s="2" t="s">
        <v>1765</v>
      </c>
      <c r="O229" s="2" t="s">
        <v>1364</v>
      </c>
      <c r="P229" s="2" t="s">
        <v>1408</v>
      </c>
      <c r="Q229" s="1" t="n">
        <v>0</v>
      </c>
      <c r="R229" s="2" t="n">
        <v>130451</v>
      </c>
      <c r="S229" s="2" t="n">
        <v>146837</v>
      </c>
      <c r="T229" s="2" t="n">
        <v>4972</v>
      </c>
      <c r="U229" s="2" t="n">
        <v>135423</v>
      </c>
      <c r="V229" s="2" t="n">
        <v>89.21</v>
      </c>
      <c r="W229" s="2" t="s">
        <v>1360</v>
      </c>
    </row>
    <row r="230" customFormat="false" ht="18.7" hidden="false" customHeight="true" outlineLevel="0" collapsed="false">
      <c r="A230" s="1" t="n">
        <v>229</v>
      </c>
      <c r="B230" s="7" t="str">
        <f aca="false">HYPERLINK("https://mncourtfraud.com/file/27-CR-21-12947.pdf","27-CR-21-12947")</f>
        <v>27-CR-21-12947</v>
      </c>
      <c r="C230" s="1" t="n">
        <v>1</v>
      </c>
      <c r="D230" s="2" t="s">
        <v>12</v>
      </c>
      <c r="E230" s="8" t="n">
        <v>45412</v>
      </c>
      <c r="F230" s="2" t="s">
        <v>24</v>
      </c>
      <c r="G230" s="7" t="str">
        <f aca="false">HYPERLINK("https://mncourtfraud.com/file/MCRO_27-CR-21-12947_Order for Conditional Release_2024-04-30_20251126182656.pdf","MCRO_27-CR-21-12947_Order for Conditional Release_2024-04-30_20251126182656.pdf")</f>
        <v>MCRO_27-CR-21-12947_Order for Conditional Release_2024-04-30_20251126182656.pdf</v>
      </c>
      <c r="H230" s="1" t="n">
        <v>4</v>
      </c>
      <c r="I230" s="1" t="s">
        <v>1360</v>
      </c>
      <c r="J230" s="1" t="n">
        <v>1</v>
      </c>
      <c r="K230" s="1" t="n">
        <v>1</v>
      </c>
      <c r="L230" s="2" t="s">
        <v>1766</v>
      </c>
      <c r="M230" s="2" t="s">
        <v>1362</v>
      </c>
      <c r="N230" s="2" t="s">
        <v>1767</v>
      </c>
      <c r="O230" s="2" t="s">
        <v>1364</v>
      </c>
      <c r="P230" s="2" t="s">
        <v>1536</v>
      </c>
      <c r="Q230" s="1" t="n">
        <v>0</v>
      </c>
      <c r="R230" s="2" t="n">
        <v>129678</v>
      </c>
      <c r="S230" s="2" t="n">
        <v>146064</v>
      </c>
      <c r="T230" s="2" t="n">
        <v>4468</v>
      </c>
      <c r="U230" s="2" t="n">
        <v>134146</v>
      </c>
      <c r="V230" s="2" t="n">
        <v>89.11</v>
      </c>
      <c r="W230" s="2" t="s">
        <v>1360</v>
      </c>
    </row>
    <row r="231" customFormat="false" ht="18.7" hidden="false" customHeight="true" outlineLevel="0" collapsed="false">
      <c r="A231" s="1" t="n">
        <v>230</v>
      </c>
      <c r="B231" s="7" t="str">
        <f aca="false">HYPERLINK("https://mncourtfraud.com/file/27-CR-21-13144.pdf","27-CR-21-13144")</f>
        <v>27-CR-21-13144</v>
      </c>
      <c r="C231" s="1" t="n">
        <v>1</v>
      </c>
      <c r="D231" s="2" t="s">
        <v>12</v>
      </c>
      <c r="E231" s="8" t="n">
        <v>44405</v>
      </c>
      <c r="F231" s="2" t="s">
        <v>145</v>
      </c>
      <c r="G231" s="7" t="str">
        <f aca="false">HYPERLINK("https://mncourtfraud.com/file/MCRO_27-CR-21-13144_Demand or Request for Discovery_2021-07-28_20251126182845.pdf","MCRO_27-CR-21-13144_Demand or Request for Discovery_2021-07-28_20251126182845.pdf")</f>
        <v>MCRO_27-CR-21-13144_Demand or Request for Discovery_2021-07-28_20251126182845.pdf</v>
      </c>
      <c r="H231" s="1" t="n">
        <v>3</v>
      </c>
      <c r="I231" s="1" t="s">
        <v>1360</v>
      </c>
      <c r="J231" s="1" t="n">
        <v>1</v>
      </c>
      <c r="K231" s="1" t="n">
        <v>1</v>
      </c>
      <c r="L231" s="2" t="s">
        <v>1768</v>
      </c>
      <c r="M231" s="2" t="s">
        <v>1362</v>
      </c>
      <c r="N231" s="2" t="s">
        <v>1769</v>
      </c>
      <c r="O231" s="2" t="s">
        <v>1364</v>
      </c>
      <c r="P231" s="2" t="s">
        <v>1651</v>
      </c>
      <c r="Q231" s="1" t="n">
        <v>0</v>
      </c>
      <c r="R231" s="2" t="n">
        <v>293525</v>
      </c>
      <c r="S231" s="2" t="n">
        <v>309911</v>
      </c>
      <c r="T231" s="2" t="n">
        <v>5948</v>
      </c>
      <c r="U231" s="2" t="n">
        <v>299473</v>
      </c>
      <c r="V231" s="2" t="n">
        <v>94.81</v>
      </c>
      <c r="W231" s="2" t="s">
        <v>1360</v>
      </c>
    </row>
    <row r="232" customFormat="false" ht="18.7" hidden="false" customHeight="true" outlineLevel="0" collapsed="false">
      <c r="A232" s="1" t="n">
        <v>231</v>
      </c>
      <c r="B232" s="7" t="str">
        <f aca="false">HYPERLINK("https://mncourtfraud.com/file/27-CR-21-13144.pdf","27-CR-21-13144")</f>
        <v>27-CR-21-13144</v>
      </c>
      <c r="C232" s="1" t="n">
        <v>1</v>
      </c>
      <c r="D232" s="2" t="s">
        <v>12</v>
      </c>
      <c r="E232" s="8" t="n">
        <v>45048</v>
      </c>
      <c r="F232" s="2" t="s">
        <v>80</v>
      </c>
      <c r="G232" s="7" t="str">
        <f aca="false">HYPERLINK("https://mncourtfraud.com/file/MCRO_27-CR-21-13144_Finding of Incompetency and Order_2023-05-02_20251126182855.pdf","MCRO_27-CR-21-13144_Finding of Incompetency and Order_2023-05-02_20251126182855.pdf")</f>
        <v>MCRO_27-CR-21-13144_Finding of Incompetency and Order_2023-05-02_20251126182855.pdf</v>
      </c>
      <c r="H232" s="1" t="n">
        <v>9</v>
      </c>
      <c r="I232" s="1" t="s">
        <v>1366</v>
      </c>
      <c r="J232" s="1" t="n">
        <v>1</v>
      </c>
      <c r="K232" s="1" t="n">
        <v>1</v>
      </c>
      <c r="L232" s="2" t="s">
        <v>1491</v>
      </c>
      <c r="M232" s="2" t="s">
        <v>1492</v>
      </c>
      <c r="N232" s="2" t="s">
        <v>1493</v>
      </c>
      <c r="O232" s="2" t="s">
        <v>1494</v>
      </c>
      <c r="P232" s="2" t="s">
        <v>1495</v>
      </c>
      <c r="Q232" s="1" t="n">
        <v>0</v>
      </c>
      <c r="R232" s="2" t="n">
        <v>100288</v>
      </c>
      <c r="S232" s="2" t="n">
        <v>112370</v>
      </c>
      <c r="T232" s="2" t="n">
        <v>48200</v>
      </c>
      <c r="U232" s="2" t="n">
        <v>148488</v>
      </c>
      <c r="V232" s="2" t="n">
        <v>15.21</v>
      </c>
      <c r="W232" s="2" t="s">
        <v>1366</v>
      </c>
    </row>
    <row r="233" customFormat="false" ht="18.7" hidden="false" customHeight="true" outlineLevel="0" collapsed="false">
      <c r="A233" s="1" t="n">
        <v>232</v>
      </c>
      <c r="B233" s="7" t="str">
        <f aca="false">HYPERLINK("https://mncourtfraud.com/file/27-CR-21-13144.pdf","27-CR-21-13144")</f>
        <v>27-CR-21-13144</v>
      </c>
      <c r="C233" s="1" t="n">
        <v>1</v>
      </c>
      <c r="D233" s="2" t="s">
        <v>12</v>
      </c>
      <c r="E233" s="8" t="n">
        <v>45048</v>
      </c>
      <c r="F233" s="2" t="s">
        <v>80</v>
      </c>
      <c r="G233" s="7" t="str">
        <f aca="false">HYPERLINK("https://mncourtfraud.com/file/MCRO_27-CR-21-13144_Finding of Incompetency and Order_2023-05-02_20251126182855.pdf","MCRO_27-CR-21-13144_Finding of Incompetency and Order_2023-05-02_20251126182855.pdf")</f>
        <v>MCRO_27-CR-21-13144_Finding of Incompetency and Order_2023-05-02_20251126182855.pdf</v>
      </c>
      <c r="H233" s="1" t="n">
        <v>9</v>
      </c>
      <c r="I233" s="1" t="s">
        <v>1366</v>
      </c>
      <c r="J233" s="1" t="n">
        <v>2</v>
      </c>
      <c r="K233" s="1" t="n">
        <v>2</v>
      </c>
      <c r="L233" s="2" t="s">
        <v>1367</v>
      </c>
      <c r="M233" s="2" t="s">
        <v>1496</v>
      </c>
      <c r="N233" s="2" t="s">
        <v>1497</v>
      </c>
      <c r="O233" s="2" t="s">
        <v>1494</v>
      </c>
      <c r="P233" s="2" t="s">
        <v>1498</v>
      </c>
      <c r="Q233" s="1" t="n">
        <v>0</v>
      </c>
      <c r="R233" s="2" t="n">
        <v>160968</v>
      </c>
      <c r="S233" s="2" t="n">
        <v>167974</v>
      </c>
      <c r="T233" s="2" t="n">
        <v>59084</v>
      </c>
      <c r="U233" s="2" t="n">
        <v>220052</v>
      </c>
      <c r="V233" s="2" t="n">
        <v>22.53</v>
      </c>
      <c r="W233" s="2" t="s">
        <v>1366</v>
      </c>
    </row>
    <row r="234" customFormat="false" ht="18.7" hidden="false" customHeight="true" outlineLevel="0" collapsed="false">
      <c r="A234" s="1" t="n">
        <v>233</v>
      </c>
      <c r="B234" s="7" t="str">
        <f aca="false">HYPERLINK("https://mncourtfraud.com/file/27-CR-21-13144.pdf","27-CR-21-13144")</f>
        <v>27-CR-21-13144</v>
      </c>
      <c r="C234" s="1" t="n">
        <v>1</v>
      </c>
      <c r="D234" s="2" t="s">
        <v>12</v>
      </c>
      <c r="E234" s="8" t="n">
        <v>45048</v>
      </c>
      <c r="F234" s="2" t="s">
        <v>80</v>
      </c>
      <c r="G234" s="7" t="str">
        <f aca="false">HYPERLINK("https://mncourtfraud.com/file/MCRO_27-CR-21-13144_Finding of Incompetency and Order_2023-05-02_20251126182855.pdf","MCRO_27-CR-21-13144_Finding of Incompetency and Order_2023-05-02_20251126182855.pdf")</f>
        <v>MCRO_27-CR-21-13144_Finding of Incompetency and Order_2023-05-02_20251126182855.pdf</v>
      </c>
      <c r="H234" s="1" t="n">
        <v>9</v>
      </c>
      <c r="I234" s="1" t="s">
        <v>1366</v>
      </c>
      <c r="J234" s="1" t="n">
        <v>3</v>
      </c>
      <c r="K234" s="1" t="n">
        <v>3</v>
      </c>
      <c r="L234" s="2" t="s">
        <v>1770</v>
      </c>
      <c r="M234" s="2" t="s">
        <v>1362</v>
      </c>
      <c r="N234" s="2" t="s">
        <v>1771</v>
      </c>
      <c r="O234" s="2" t="s">
        <v>1364</v>
      </c>
      <c r="P234" s="2" t="s">
        <v>1501</v>
      </c>
      <c r="Q234" s="1" t="n">
        <v>0</v>
      </c>
      <c r="R234" s="2" t="n">
        <v>954852</v>
      </c>
      <c r="S234" s="2" t="n">
        <v>971238</v>
      </c>
      <c r="T234" s="2" t="n">
        <v>5306</v>
      </c>
      <c r="U234" s="2" t="n">
        <v>960158</v>
      </c>
      <c r="V234" s="2" t="n">
        <v>98.32</v>
      </c>
      <c r="W234" s="2" t="s">
        <v>1360</v>
      </c>
    </row>
    <row r="235" customFormat="false" ht="18.7" hidden="false" customHeight="true" outlineLevel="0" collapsed="false">
      <c r="A235" s="1" t="n">
        <v>234</v>
      </c>
      <c r="B235" s="7" t="str">
        <f aca="false">HYPERLINK("https://mncourtfraud.com/file/27-CR-21-13144.pdf","27-CR-21-13144")</f>
        <v>27-CR-21-13144</v>
      </c>
      <c r="C235" s="1" t="n">
        <v>1</v>
      </c>
      <c r="D235" s="2" t="s">
        <v>12</v>
      </c>
      <c r="E235" s="8" t="n">
        <v>44439</v>
      </c>
      <c r="F235" s="2" t="s">
        <v>19</v>
      </c>
      <c r="G235" s="7" t="str">
        <f aca="false">HYPERLINK("https://mncourtfraud.com/file/MCRO_27-CR-21-13144_Findings and Order_2021-08-31_20251126182917.pdf","MCRO_27-CR-21-13144_Findings and Order_2021-08-31_20251126182917.pdf")</f>
        <v>MCRO_27-CR-21-13144_Findings and Order_2021-08-31_20251126182917.pdf</v>
      </c>
      <c r="H235" s="1" t="n">
        <v>5</v>
      </c>
      <c r="I235" s="1" t="s">
        <v>1366</v>
      </c>
      <c r="J235" s="1" t="n">
        <v>1</v>
      </c>
      <c r="K235" s="1" t="n">
        <v>1</v>
      </c>
      <c r="L235" s="2" t="s">
        <v>1367</v>
      </c>
      <c r="M235" s="2" t="s">
        <v>1368</v>
      </c>
      <c r="N235" s="2" t="s">
        <v>1369</v>
      </c>
      <c r="O235" s="2" t="s">
        <v>1364</v>
      </c>
      <c r="P235" s="2" t="s">
        <v>1370</v>
      </c>
      <c r="Q235" s="1" t="n">
        <v>0</v>
      </c>
      <c r="R235" s="2" t="n">
        <v>129996</v>
      </c>
      <c r="S235" s="2" t="n">
        <v>137690</v>
      </c>
      <c r="T235" s="2" t="n">
        <v>19979</v>
      </c>
      <c r="U235" s="2" t="n">
        <v>149975</v>
      </c>
      <c r="V235" s="2" t="n">
        <v>39.94</v>
      </c>
      <c r="W235" s="2" t="s">
        <v>1366</v>
      </c>
    </row>
    <row r="236" customFormat="false" ht="18.7" hidden="false" customHeight="true" outlineLevel="0" collapsed="false">
      <c r="A236" s="1" t="n">
        <v>235</v>
      </c>
      <c r="B236" s="7" t="str">
        <f aca="false">HYPERLINK("https://mncourtfraud.com/file/27-CR-21-13144.pdf","27-CR-21-13144")</f>
        <v>27-CR-21-13144</v>
      </c>
      <c r="C236" s="1" t="n">
        <v>1</v>
      </c>
      <c r="D236" s="2" t="s">
        <v>12</v>
      </c>
      <c r="E236" s="8" t="n">
        <v>44439</v>
      </c>
      <c r="F236" s="2" t="s">
        <v>19</v>
      </c>
      <c r="G236" s="7" t="str">
        <f aca="false">HYPERLINK("https://mncourtfraud.com/file/MCRO_27-CR-21-13144_Findings and Order_2021-08-31_20251126182917.pdf","MCRO_27-CR-21-13144_Findings and Order_2021-08-31_20251126182917.pdf")</f>
        <v>MCRO_27-CR-21-13144_Findings and Order_2021-08-31_20251126182917.pdf</v>
      </c>
      <c r="H236" s="1" t="n">
        <v>5</v>
      </c>
      <c r="I236" s="1" t="s">
        <v>1366</v>
      </c>
      <c r="J236" s="1" t="n">
        <v>2</v>
      </c>
      <c r="K236" s="1" t="n">
        <v>2</v>
      </c>
      <c r="L236" s="2" t="s">
        <v>1772</v>
      </c>
      <c r="M236" s="2" t="s">
        <v>1362</v>
      </c>
      <c r="N236" s="2" t="s">
        <v>1773</v>
      </c>
      <c r="O236" s="2" t="s">
        <v>1364</v>
      </c>
      <c r="P236" s="2" t="s">
        <v>1373</v>
      </c>
      <c r="Q236" s="1" t="n">
        <v>0</v>
      </c>
      <c r="R236" s="2" t="n">
        <v>354063</v>
      </c>
      <c r="S236" s="2" t="n">
        <v>370449</v>
      </c>
      <c r="T236" s="2" t="n">
        <v>5041</v>
      </c>
      <c r="U236" s="2" t="n">
        <v>359104</v>
      </c>
      <c r="V236" s="2" t="n">
        <v>95.64</v>
      </c>
      <c r="W236" s="2" t="s">
        <v>1360</v>
      </c>
    </row>
    <row r="237" customFormat="false" ht="18.7" hidden="false" customHeight="true" outlineLevel="0" collapsed="false">
      <c r="A237" s="1" t="n">
        <v>236</v>
      </c>
      <c r="B237" s="7" t="str">
        <f aca="false">HYPERLINK("https://mncourtfraud.com/file/27-CR-21-13144.pdf","27-CR-21-13144")</f>
        <v>27-CR-21-13144</v>
      </c>
      <c r="C237" s="1" t="n">
        <v>1</v>
      </c>
      <c r="D237" s="2" t="s">
        <v>12</v>
      </c>
      <c r="E237" s="8" t="n">
        <v>44593</v>
      </c>
      <c r="F237" s="2" t="s">
        <v>19</v>
      </c>
      <c r="G237" s="7" t="str">
        <f aca="false">HYPERLINK("https://mncourtfraud.com/file/MCRO_27-CR-21-13144_Findings and Order_2022-02-01_20251126182907.pdf","MCRO_27-CR-21-13144_Findings and Order_2022-02-01_20251126182907.pdf")</f>
        <v>MCRO_27-CR-21-13144_Findings and Order_2022-02-01_20251126182907.pdf</v>
      </c>
      <c r="H237" s="1" t="n">
        <v>4</v>
      </c>
      <c r="I237" s="1" t="s">
        <v>1360</v>
      </c>
      <c r="J237" s="1" t="n">
        <v>1</v>
      </c>
      <c r="K237" s="1" t="n">
        <v>1</v>
      </c>
      <c r="L237" s="2" t="s">
        <v>1367</v>
      </c>
      <c r="M237" s="2" t="s">
        <v>1368</v>
      </c>
      <c r="N237" s="2" t="s">
        <v>1374</v>
      </c>
      <c r="O237" s="2" t="s">
        <v>1364</v>
      </c>
      <c r="P237" s="2" t="s">
        <v>1375</v>
      </c>
      <c r="Q237" s="1" t="n">
        <v>0</v>
      </c>
      <c r="R237" s="2" t="n">
        <v>163153</v>
      </c>
      <c r="S237" s="2" t="n">
        <v>173205</v>
      </c>
      <c r="T237" s="2" t="n">
        <v>9683</v>
      </c>
      <c r="U237" s="2" t="n">
        <v>172836</v>
      </c>
      <c r="V237" s="2" t="n">
        <v>47.77</v>
      </c>
      <c r="W237" s="2" t="s">
        <v>1366</v>
      </c>
    </row>
    <row r="238" customFormat="false" ht="18.7" hidden="false" customHeight="true" outlineLevel="0" collapsed="false">
      <c r="A238" s="1" t="n">
        <v>237</v>
      </c>
      <c r="B238" s="7" t="str">
        <f aca="false">HYPERLINK("https://mncourtfraud.com/file/27-CR-21-13144.pdf","27-CR-21-13144")</f>
        <v>27-CR-21-13144</v>
      </c>
      <c r="C238" s="1" t="n">
        <v>1</v>
      </c>
      <c r="D238" s="2" t="s">
        <v>12</v>
      </c>
      <c r="E238" s="8" t="n">
        <v>44593</v>
      </c>
      <c r="F238" s="2" t="s">
        <v>19</v>
      </c>
      <c r="G238" s="7" t="str">
        <f aca="false">HYPERLINK("https://mncourtfraud.com/file/MCRO_27-CR-21-13144_Findings and Order_2022-02-01_20251126182907.pdf","MCRO_27-CR-21-13144_Findings and Order_2022-02-01_20251126182907.pdf")</f>
        <v>MCRO_27-CR-21-13144_Findings and Order_2022-02-01_20251126182907.pdf</v>
      </c>
      <c r="H238" s="1" t="n">
        <v>4</v>
      </c>
      <c r="I238" s="1" t="s">
        <v>1360</v>
      </c>
      <c r="J238" s="1" t="n">
        <v>2</v>
      </c>
      <c r="K238" s="1" t="n">
        <v>2</v>
      </c>
      <c r="L238" s="2" t="s">
        <v>1774</v>
      </c>
      <c r="M238" s="2" t="s">
        <v>1362</v>
      </c>
      <c r="N238" s="2" t="s">
        <v>1775</v>
      </c>
      <c r="O238" s="2" t="s">
        <v>1364</v>
      </c>
      <c r="P238" s="2" t="s">
        <v>1378</v>
      </c>
      <c r="Q238" s="1" t="n">
        <v>0</v>
      </c>
      <c r="R238" s="2" t="n">
        <v>340312</v>
      </c>
      <c r="S238" s="2" t="n">
        <v>356698</v>
      </c>
      <c r="T238" s="2" t="n">
        <v>5090</v>
      </c>
      <c r="U238" s="2" t="n">
        <v>345402</v>
      </c>
      <c r="V238" s="2" t="n">
        <v>95.47</v>
      </c>
      <c r="W238" s="2" t="s">
        <v>1360</v>
      </c>
    </row>
    <row r="239" customFormat="false" ht="18.7" hidden="false" customHeight="true" outlineLevel="0" collapsed="false">
      <c r="A239" s="1" t="n">
        <v>238</v>
      </c>
      <c r="B239" s="7" t="str">
        <f aca="false">HYPERLINK("https://mncourtfraud.com/file/27-CR-21-13144.pdf","27-CR-21-13144")</f>
        <v>27-CR-21-13144</v>
      </c>
      <c r="C239" s="1" t="n">
        <v>1</v>
      </c>
      <c r="D239" s="2" t="s">
        <v>12</v>
      </c>
      <c r="E239" s="8" t="n">
        <v>45093</v>
      </c>
      <c r="F239" s="2" t="s">
        <v>82</v>
      </c>
      <c r="G239" s="7" t="str">
        <f aca="false">HYPERLINK("https://mncourtfraud.com/file/MCRO_27-CR-21-13144_Notice of Case Reassignment_2023-06-16_20251126182929.pdf","MCRO_27-CR-21-13144_Notice of Case Reassignment_2023-06-16_20251126182929.pdf")</f>
        <v>MCRO_27-CR-21-13144_Notice of Case Reassignment_2023-06-16_20251126182929.pdf</v>
      </c>
      <c r="H239" s="1" t="n">
        <v>3</v>
      </c>
      <c r="I239" s="1" t="s">
        <v>1360</v>
      </c>
      <c r="J239" s="1" t="n">
        <v>1</v>
      </c>
      <c r="K239" s="1" t="n">
        <v>1</v>
      </c>
      <c r="L239" s="2" t="s">
        <v>1776</v>
      </c>
      <c r="M239" s="2" t="s">
        <v>1362</v>
      </c>
      <c r="N239" s="2" t="s">
        <v>1777</v>
      </c>
      <c r="O239" s="2" t="s">
        <v>1364</v>
      </c>
      <c r="P239" s="2" t="s">
        <v>1508</v>
      </c>
      <c r="Q239" s="1" t="n">
        <v>0</v>
      </c>
      <c r="R239" s="2" t="n">
        <v>92687</v>
      </c>
      <c r="S239" s="2" t="n">
        <v>109073</v>
      </c>
      <c r="T239" s="2" t="n">
        <v>4555</v>
      </c>
      <c r="U239" s="2" t="n">
        <v>97242</v>
      </c>
      <c r="V239" s="2" t="n">
        <v>85.58</v>
      </c>
      <c r="W239" s="2" t="s">
        <v>1360</v>
      </c>
    </row>
    <row r="240" customFormat="false" ht="18.7" hidden="false" customHeight="true" outlineLevel="0" collapsed="false">
      <c r="A240" s="1" t="n">
        <v>239</v>
      </c>
      <c r="B240" s="7" t="str">
        <f aca="false">HYPERLINK("https://mncourtfraud.com/file/27-CR-21-13144.pdf","27-CR-21-13144")</f>
        <v>27-CR-21-13144</v>
      </c>
      <c r="C240" s="1" t="n">
        <v>1</v>
      </c>
      <c r="D240" s="2" t="s">
        <v>12</v>
      </c>
      <c r="E240" s="8" t="n">
        <v>44396</v>
      </c>
      <c r="F240" s="2" t="s">
        <v>15</v>
      </c>
      <c r="G240" s="7" t="str">
        <f aca="false">HYPERLINK("https://mncourtfraud.com/file/MCRO_27-CR-21-13144_Order-Evaluation for Competency to Proceed (Rule 20.01)_2021-07-19_20251126183017.pdf","MCRO_27-CR-21-13144_Order-Evaluation for Competency to Proceed (Rule 20.01)_2021-07-19_20251126183017.pdf")</f>
        <v>MCRO_27-CR-21-13144_Order-Evaluation for Competency to Proceed (Rule 20.01)_2021-07-19_20251126183017.pdf</v>
      </c>
      <c r="H240" s="1" t="n">
        <v>4</v>
      </c>
      <c r="I240" s="1" t="s">
        <v>1360</v>
      </c>
      <c r="J240" s="1" t="n">
        <v>1</v>
      </c>
      <c r="K240" s="1" t="n">
        <v>1</v>
      </c>
      <c r="L240" s="2" t="s">
        <v>1778</v>
      </c>
      <c r="M240" s="2" t="s">
        <v>1362</v>
      </c>
      <c r="N240" s="2" t="s">
        <v>1779</v>
      </c>
      <c r="O240" s="2" t="s">
        <v>1364</v>
      </c>
      <c r="P240" s="2" t="s">
        <v>1390</v>
      </c>
      <c r="Q240" s="1" t="n">
        <v>0</v>
      </c>
      <c r="R240" s="2" t="n">
        <v>168793</v>
      </c>
      <c r="S240" s="2" t="n">
        <v>185179</v>
      </c>
      <c r="T240" s="2" t="n">
        <v>8533</v>
      </c>
      <c r="U240" s="2" t="n">
        <v>177326</v>
      </c>
      <c r="V240" s="2" t="n">
        <v>91.54</v>
      </c>
      <c r="W240" s="2" t="s">
        <v>1360</v>
      </c>
    </row>
    <row r="241" customFormat="false" ht="18.7" hidden="false" customHeight="true" outlineLevel="0" collapsed="false">
      <c r="A241" s="1" t="n">
        <v>240</v>
      </c>
      <c r="B241" s="7" t="str">
        <f aca="false">HYPERLINK("https://mncourtfraud.com/file/27-CR-21-13144.pdf","27-CR-21-13144")</f>
        <v>27-CR-21-13144</v>
      </c>
      <c r="C241" s="1" t="n">
        <v>1</v>
      </c>
      <c r="D241" s="2" t="s">
        <v>12</v>
      </c>
      <c r="E241" s="8" t="n">
        <v>44543</v>
      </c>
      <c r="F241" s="2" t="s">
        <v>15</v>
      </c>
      <c r="G241" s="7" t="str">
        <f aca="false">HYPERLINK("https://mncourtfraud.com/file/MCRO_27-CR-21-13144_Order-Evaluation for Competency to Proceed (Rule 20.01)_2021-12-13_20251126183025.pdf","MCRO_27-CR-21-13144_Order-Evaluation for Competency to Proceed (Rule 20.01)_2021-12-13_20251126183025.pdf")</f>
        <v>MCRO_27-CR-21-13144_Order-Evaluation for Competency to Proceed (Rule 20.01)_2021-12-13_20251126183025.pdf</v>
      </c>
      <c r="H241" s="1" t="n">
        <v>3</v>
      </c>
      <c r="I241" s="1" t="s">
        <v>1360</v>
      </c>
      <c r="J241" s="1" t="n">
        <v>1</v>
      </c>
      <c r="K241" s="1" t="n">
        <v>1</v>
      </c>
      <c r="L241" s="2" t="s">
        <v>1780</v>
      </c>
      <c r="M241" s="2" t="s">
        <v>1362</v>
      </c>
      <c r="N241" s="2" t="s">
        <v>1781</v>
      </c>
      <c r="O241" s="2" t="s">
        <v>1364</v>
      </c>
      <c r="P241" s="2" t="s">
        <v>1393</v>
      </c>
      <c r="Q241" s="1" t="n">
        <v>0</v>
      </c>
      <c r="R241" s="2" t="n">
        <v>212321</v>
      </c>
      <c r="S241" s="2" t="n">
        <v>228707</v>
      </c>
      <c r="T241" s="2" t="n">
        <v>5133</v>
      </c>
      <c r="U241" s="2" t="n">
        <v>217454</v>
      </c>
      <c r="V241" s="2" t="n">
        <v>92.99</v>
      </c>
      <c r="W241" s="2" t="s">
        <v>1360</v>
      </c>
    </row>
    <row r="242" customFormat="false" ht="18.7" hidden="false" customHeight="true" outlineLevel="0" collapsed="false">
      <c r="A242" s="1" t="n">
        <v>241</v>
      </c>
      <c r="B242" s="7" t="str">
        <f aca="false">HYPERLINK("https://mncourtfraud.com/file/27-CR-21-13144.pdf","27-CR-21-13144")</f>
        <v>27-CR-21-13144</v>
      </c>
      <c r="C242" s="1" t="n">
        <v>1</v>
      </c>
      <c r="D242" s="2" t="s">
        <v>12</v>
      </c>
      <c r="E242" s="8" t="n">
        <v>44558</v>
      </c>
      <c r="F242" s="2" t="s">
        <v>15</v>
      </c>
      <c r="G242" s="7" t="str">
        <f aca="false">HYPERLINK("https://mncourtfraud.com/file/MCRO_27-CR-21-13144_Order-Evaluation for Competency to Proceed (Rule 20.01)_2021-12-28_20251126183033.pdf","MCRO_27-CR-21-13144_Order-Evaluation for Competency to Proceed (Rule 20.01)_2021-12-28_20251126183033.pdf")</f>
        <v>MCRO_27-CR-21-13144_Order-Evaluation for Competency to Proceed (Rule 20.01)_2021-12-28_20251126183033.pdf</v>
      </c>
      <c r="H242" s="1" t="n">
        <v>4</v>
      </c>
      <c r="I242" s="1" t="s">
        <v>1360</v>
      </c>
      <c r="J242" s="1" t="n">
        <v>1</v>
      </c>
      <c r="K242" s="1" t="n">
        <v>1</v>
      </c>
      <c r="L242" s="2" t="s">
        <v>1782</v>
      </c>
      <c r="M242" s="2" t="s">
        <v>1362</v>
      </c>
      <c r="N242" s="2" t="s">
        <v>1783</v>
      </c>
      <c r="O242" s="2" t="s">
        <v>1364</v>
      </c>
      <c r="P242" s="2" t="s">
        <v>1396</v>
      </c>
      <c r="Q242" s="1" t="n">
        <v>0</v>
      </c>
      <c r="R242" s="2" t="n">
        <v>213918</v>
      </c>
      <c r="S242" s="2" t="n">
        <v>230304</v>
      </c>
      <c r="T242" s="2" t="n">
        <v>8578</v>
      </c>
      <c r="U242" s="2" t="n">
        <v>222496</v>
      </c>
      <c r="V242" s="2" t="n">
        <v>93.14</v>
      </c>
      <c r="W242" s="2" t="s">
        <v>1360</v>
      </c>
    </row>
    <row r="243" customFormat="false" ht="18.7" hidden="false" customHeight="true" outlineLevel="0" collapsed="false">
      <c r="A243" s="1" t="n">
        <v>242</v>
      </c>
      <c r="B243" s="7" t="str">
        <f aca="false">HYPERLINK("https://mncourtfraud.com/file/27-CR-21-13144.pdf","27-CR-21-13144")</f>
        <v>27-CR-21-13144</v>
      </c>
      <c r="C243" s="1" t="n">
        <v>1</v>
      </c>
      <c r="D243" s="2" t="s">
        <v>12</v>
      </c>
      <c r="E243" s="8" t="n">
        <v>44692</v>
      </c>
      <c r="F243" s="2" t="s">
        <v>15</v>
      </c>
      <c r="G243" s="7" t="str">
        <f aca="false">HYPERLINK("https://mncourtfraud.com/file/MCRO_27-CR-21-13144_Order-Evaluation for Competency to Proceed (Rule 20.01)_2022-05-11_20251126183041.pdf","MCRO_27-CR-21-13144_Order-Evaluation for Competency to Proceed (Rule 20.01)_2022-05-11_20251126183041.pdf")</f>
        <v>MCRO_27-CR-21-13144_Order-Evaluation for Competency to Proceed (Rule 20.01)_2022-05-11_20251126183041.pdf</v>
      </c>
      <c r="H243" s="1" t="n">
        <v>3</v>
      </c>
      <c r="I243" s="1" t="s">
        <v>1360</v>
      </c>
      <c r="J243" s="1" t="n">
        <v>1</v>
      </c>
      <c r="K243" s="1" t="n">
        <v>1</v>
      </c>
      <c r="L243" s="2" t="s">
        <v>1784</v>
      </c>
      <c r="M243" s="2" t="s">
        <v>1362</v>
      </c>
      <c r="N243" s="2" t="s">
        <v>1785</v>
      </c>
      <c r="O243" s="2" t="s">
        <v>1364</v>
      </c>
      <c r="P243" s="2" t="s">
        <v>1399</v>
      </c>
      <c r="Q243" s="1" t="n">
        <v>0</v>
      </c>
      <c r="R243" s="2" t="n">
        <v>218703</v>
      </c>
      <c r="S243" s="2" t="n">
        <v>235089</v>
      </c>
      <c r="T243" s="2" t="n">
        <v>4728</v>
      </c>
      <c r="U243" s="2" t="n">
        <v>223431</v>
      </c>
      <c r="V243" s="2" t="n">
        <v>93.17</v>
      </c>
      <c r="W243" s="2" t="s">
        <v>1360</v>
      </c>
    </row>
    <row r="244" customFormat="false" ht="18.7" hidden="false" customHeight="true" outlineLevel="0" collapsed="false">
      <c r="A244" s="1" t="n">
        <v>243</v>
      </c>
      <c r="B244" s="7" t="str">
        <f aca="false">HYPERLINK("https://mncourtfraud.com/file/27-CR-21-13144.pdf","27-CR-21-13144")</f>
        <v>27-CR-21-13144</v>
      </c>
      <c r="C244" s="1" t="n">
        <v>1</v>
      </c>
      <c r="D244" s="2" t="s">
        <v>12</v>
      </c>
      <c r="E244" s="8" t="n">
        <v>44895</v>
      </c>
      <c r="F244" s="2" t="s">
        <v>15</v>
      </c>
      <c r="G244" s="7" t="str">
        <f aca="false">HYPERLINK("https://mncourtfraud.com/file/MCRO_27-CR-21-13144_Order-Evaluation for Competency to Proceed (Rule 20.01)_2022-11-30_20251126183049.pdf","MCRO_27-CR-21-13144_Order-Evaluation for Competency to Proceed (Rule 20.01)_2022-11-30_20251126183049.pdf")</f>
        <v>MCRO_27-CR-21-13144_Order-Evaluation for Competency to Proceed (Rule 20.01)_2022-11-30_20251126183049.pdf</v>
      </c>
      <c r="H244" s="1" t="n">
        <v>4</v>
      </c>
      <c r="I244" s="1" t="s">
        <v>1360</v>
      </c>
      <c r="J244" s="1" t="n">
        <v>1</v>
      </c>
      <c r="K244" s="1" t="n">
        <v>1</v>
      </c>
      <c r="L244" s="2" t="s">
        <v>1786</v>
      </c>
      <c r="M244" s="2" t="s">
        <v>1362</v>
      </c>
      <c r="N244" s="2" t="s">
        <v>1787</v>
      </c>
      <c r="O244" s="2" t="s">
        <v>1364</v>
      </c>
      <c r="P244" s="2" t="s">
        <v>1402</v>
      </c>
      <c r="Q244" s="1" t="n">
        <v>0</v>
      </c>
      <c r="R244" s="2" t="n">
        <v>795532</v>
      </c>
      <c r="S244" s="2" t="n">
        <v>811918</v>
      </c>
      <c r="T244" s="2" t="n">
        <v>5080</v>
      </c>
      <c r="U244" s="2" t="n">
        <v>800612</v>
      </c>
      <c r="V244" s="2" t="n">
        <v>97.99</v>
      </c>
      <c r="W244" s="2" t="s">
        <v>1360</v>
      </c>
    </row>
    <row r="245" customFormat="false" ht="18.7" hidden="false" customHeight="true" outlineLevel="0" collapsed="false">
      <c r="A245" s="1" t="n">
        <v>244</v>
      </c>
      <c r="B245" s="7" t="str">
        <f aca="false">HYPERLINK("https://mncourtfraud.com/file/27-CR-21-13144.pdf","27-CR-21-13144")</f>
        <v>27-CR-21-13144</v>
      </c>
      <c r="C245" s="1" t="n">
        <v>1</v>
      </c>
      <c r="D245" s="2" t="s">
        <v>12</v>
      </c>
      <c r="E245" s="8" t="n">
        <v>45160</v>
      </c>
      <c r="F245" s="2" t="s">
        <v>15</v>
      </c>
      <c r="G245" s="7" t="str">
        <f aca="false">HYPERLINK("https://mncourtfraud.com/file/MCRO_27-CR-21-13144_Order-Evaluation for Competency to Proceed (Rule 20.01)_2023-08-22_20251126183057.pdf","MCRO_27-CR-21-13144_Order-Evaluation for Competency to Proceed (Rule 20.01)_2023-08-22_20251126183057.pdf")</f>
        <v>MCRO_27-CR-21-13144_Order-Evaluation for Competency to Proceed (Rule 20.01)_2023-08-22_20251126183057.pdf</v>
      </c>
      <c r="H245" s="1" t="n">
        <v>6</v>
      </c>
      <c r="I245" s="1" t="s">
        <v>1366</v>
      </c>
      <c r="J245" s="1" t="n">
        <v>1</v>
      </c>
      <c r="K245" s="1" t="n">
        <v>1</v>
      </c>
      <c r="L245" s="2" t="s">
        <v>1367</v>
      </c>
      <c r="M245" s="2" t="s">
        <v>1519</v>
      </c>
      <c r="N245" s="2" t="s">
        <v>1520</v>
      </c>
      <c r="O245" s="2" t="s">
        <v>1494</v>
      </c>
      <c r="P245" s="2" t="s">
        <v>1521</v>
      </c>
      <c r="Q245" s="1" t="n">
        <v>0</v>
      </c>
      <c r="R245" s="2" t="n">
        <v>122115</v>
      </c>
      <c r="S245" s="2" t="n">
        <v>129143</v>
      </c>
      <c r="T245" s="2" t="n">
        <v>87775</v>
      </c>
      <c r="U245" s="2" t="n">
        <v>209890</v>
      </c>
      <c r="V245" s="2" t="n">
        <v>23.95</v>
      </c>
      <c r="W245" s="2" t="s">
        <v>1366</v>
      </c>
    </row>
    <row r="246" customFormat="false" ht="18.7" hidden="false" customHeight="true" outlineLevel="0" collapsed="false">
      <c r="A246" s="1" t="n">
        <v>245</v>
      </c>
      <c r="B246" s="7" t="str">
        <f aca="false">HYPERLINK("https://mncourtfraud.com/file/27-CR-21-13144.pdf","27-CR-21-13144")</f>
        <v>27-CR-21-13144</v>
      </c>
      <c r="C246" s="1" t="n">
        <v>1</v>
      </c>
      <c r="D246" s="2" t="s">
        <v>12</v>
      </c>
      <c r="E246" s="8" t="n">
        <v>45160</v>
      </c>
      <c r="F246" s="2" t="s">
        <v>15</v>
      </c>
      <c r="G246" s="7" t="str">
        <f aca="false">HYPERLINK("https://mncourtfraud.com/file/MCRO_27-CR-21-13144_Order-Evaluation for Competency to Proceed (Rule 20.01)_2023-08-22_20251126183057.pdf","MCRO_27-CR-21-13144_Order-Evaluation for Competency to Proceed (Rule 20.01)_2023-08-22_20251126183057.pdf")</f>
        <v>MCRO_27-CR-21-13144_Order-Evaluation for Competency to Proceed (Rule 20.01)_2023-08-22_20251126183057.pdf</v>
      </c>
      <c r="H246" s="1" t="n">
        <v>6</v>
      </c>
      <c r="I246" s="1" t="s">
        <v>1366</v>
      </c>
      <c r="J246" s="1" t="n">
        <v>2</v>
      </c>
      <c r="K246" s="1" t="n">
        <v>2</v>
      </c>
      <c r="L246" s="2" t="s">
        <v>1788</v>
      </c>
      <c r="M246" s="2" t="s">
        <v>1362</v>
      </c>
      <c r="N246" s="2" t="s">
        <v>1789</v>
      </c>
      <c r="O246" s="2" t="s">
        <v>1364</v>
      </c>
      <c r="P246" s="2" t="s">
        <v>1524</v>
      </c>
      <c r="Q246" s="1" t="n">
        <v>0</v>
      </c>
      <c r="R246" s="2" t="n">
        <v>855039</v>
      </c>
      <c r="S246" s="2" t="n">
        <v>871425</v>
      </c>
      <c r="T246" s="2" t="n">
        <v>4974</v>
      </c>
      <c r="U246" s="2" t="n">
        <v>860013</v>
      </c>
      <c r="V246" s="2" t="n">
        <v>98.13</v>
      </c>
      <c r="W246" s="2" t="s">
        <v>1360</v>
      </c>
    </row>
    <row r="247" customFormat="false" ht="18.7" hidden="false" customHeight="true" outlineLevel="0" collapsed="false">
      <c r="A247" s="1" t="n">
        <v>246</v>
      </c>
      <c r="B247" s="7" t="str">
        <f aca="false">HYPERLINK("https://mncourtfraud.com/file/27-CR-21-13144.pdf","27-CR-21-13144")</f>
        <v>27-CR-21-13144</v>
      </c>
      <c r="C247" s="1" t="n">
        <v>1</v>
      </c>
      <c r="D247" s="2" t="s">
        <v>12</v>
      </c>
      <c r="E247" s="8" t="n">
        <v>45412</v>
      </c>
      <c r="F247" s="2" t="s">
        <v>15</v>
      </c>
      <c r="G247" s="7" t="str">
        <f aca="false">HYPERLINK("https://mncourtfraud.com/file/MCRO_27-CR-21-13144_Order-Evaluation for Competency to Proceed (Rule 20.01)_2024-04-30_20251126183105.pdf","MCRO_27-CR-21-13144_Order-Evaluation for Competency to Proceed (Rule 20.01)_2024-04-30_20251126183105.pdf")</f>
        <v>MCRO_27-CR-21-13144_Order-Evaluation for Competency to Proceed (Rule 20.01)_2024-04-30_20251126183105.pdf</v>
      </c>
      <c r="H247" s="1" t="n">
        <v>4</v>
      </c>
      <c r="I247" s="1" t="s">
        <v>1360</v>
      </c>
      <c r="J247" s="1" t="n">
        <v>1</v>
      </c>
      <c r="K247" s="1" t="n">
        <v>1</v>
      </c>
      <c r="L247" s="2" t="s">
        <v>1790</v>
      </c>
      <c r="M247" s="2" t="s">
        <v>1362</v>
      </c>
      <c r="N247" s="2" t="s">
        <v>1791</v>
      </c>
      <c r="O247" s="2" t="s">
        <v>1364</v>
      </c>
      <c r="P247" s="2" t="s">
        <v>1390</v>
      </c>
      <c r="Q247" s="1" t="n">
        <v>0</v>
      </c>
      <c r="R247" s="2" t="n">
        <v>198664</v>
      </c>
      <c r="S247" s="2" t="n">
        <v>215050</v>
      </c>
      <c r="T247" s="2" t="n">
        <v>4474</v>
      </c>
      <c r="U247" s="2" t="n">
        <v>203138</v>
      </c>
      <c r="V247" s="2" t="n">
        <v>92.54</v>
      </c>
      <c r="W247" s="2" t="s">
        <v>1360</v>
      </c>
    </row>
    <row r="248" customFormat="false" ht="18.7" hidden="false" customHeight="true" outlineLevel="0" collapsed="false">
      <c r="A248" s="1" t="n">
        <v>247</v>
      </c>
      <c r="B248" s="7" t="str">
        <f aca="false">HYPERLINK("https://mncourtfraud.com/file/27-CR-21-13144.pdf","27-CR-21-13144")</f>
        <v>27-CR-21-13144</v>
      </c>
      <c r="C248" s="1" t="n">
        <v>1</v>
      </c>
      <c r="D248" s="2" t="s">
        <v>12</v>
      </c>
      <c r="E248" s="8" t="n">
        <v>44460</v>
      </c>
      <c r="F248" s="2" t="s">
        <v>24</v>
      </c>
      <c r="G248" s="7" t="str">
        <f aca="false">HYPERLINK("https://mncourtfraud.com/file/MCRO_27-CR-21-13144_Order for Conditional Release_2021-09-21_20251126182955.pdf","MCRO_27-CR-21-13144_Order for Conditional Release_2021-09-21_20251126182955.pdf")</f>
        <v>MCRO_27-CR-21-13144_Order for Conditional Release_2021-09-21_20251126182955.pdf</v>
      </c>
      <c r="H248" s="1" t="n">
        <v>4</v>
      </c>
      <c r="I248" s="1" t="s">
        <v>1360</v>
      </c>
      <c r="J248" s="1" t="n">
        <v>1</v>
      </c>
      <c r="K248" s="1" t="n">
        <v>1</v>
      </c>
      <c r="L248" s="2" t="s">
        <v>1792</v>
      </c>
      <c r="M248" s="2" t="s">
        <v>1362</v>
      </c>
      <c r="N248" s="2" t="s">
        <v>1793</v>
      </c>
      <c r="O248" s="2" t="s">
        <v>1364</v>
      </c>
      <c r="P248" s="2" t="s">
        <v>1405</v>
      </c>
      <c r="Q248" s="1" t="n">
        <v>0</v>
      </c>
      <c r="R248" s="2" t="n">
        <v>84991</v>
      </c>
      <c r="S248" s="2" t="n">
        <v>101377</v>
      </c>
      <c r="T248" s="2" t="n">
        <v>4472</v>
      </c>
      <c r="U248" s="2" t="n">
        <v>89463</v>
      </c>
      <c r="V248" s="2" t="n">
        <v>84.52</v>
      </c>
      <c r="W248" s="2" t="s">
        <v>1360</v>
      </c>
    </row>
    <row r="249" customFormat="false" ht="18.7" hidden="false" customHeight="true" outlineLevel="0" collapsed="false">
      <c r="A249" s="1" t="n">
        <v>248</v>
      </c>
      <c r="B249" s="7" t="str">
        <f aca="false">HYPERLINK("https://mncourtfraud.com/file/27-CR-21-13144.pdf","27-CR-21-13144")</f>
        <v>27-CR-21-13144</v>
      </c>
      <c r="C249" s="1" t="n">
        <v>1</v>
      </c>
      <c r="D249" s="2" t="s">
        <v>12</v>
      </c>
      <c r="E249" s="8" t="n">
        <v>44468</v>
      </c>
      <c r="F249" s="2" t="s">
        <v>24</v>
      </c>
      <c r="G249" s="7" t="str">
        <f aca="false">HYPERLINK("https://mncourtfraud.com/file/MCRO_27-CR-21-13144_Order for Conditional Release_2021-09-29_20251126183006.pdf","MCRO_27-CR-21-13144_Order for Conditional Release_2021-09-29_20251126183006.pdf")</f>
        <v>MCRO_27-CR-21-13144_Order for Conditional Release_2021-09-29_20251126183006.pdf</v>
      </c>
      <c r="H249" s="1" t="n">
        <v>4</v>
      </c>
      <c r="I249" s="1" t="s">
        <v>1360</v>
      </c>
      <c r="J249" s="1" t="n">
        <v>1</v>
      </c>
      <c r="K249" s="1" t="n">
        <v>1</v>
      </c>
      <c r="L249" s="2" t="s">
        <v>1794</v>
      </c>
      <c r="M249" s="2" t="s">
        <v>1362</v>
      </c>
      <c r="N249" s="2" t="s">
        <v>1795</v>
      </c>
      <c r="O249" s="2" t="s">
        <v>1364</v>
      </c>
      <c r="P249" s="2" t="s">
        <v>1408</v>
      </c>
      <c r="Q249" s="1" t="n">
        <v>0</v>
      </c>
      <c r="R249" s="2" t="n">
        <v>130453</v>
      </c>
      <c r="S249" s="2" t="n">
        <v>146839</v>
      </c>
      <c r="T249" s="2" t="n">
        <v>4975</v>
      </c>
      <c r="U249" s="2" t="n">
        <v>135428</v>
      </c>
      <c r="V249" s="2" t="n">
        <v>89.21</v>
      </c>
      <c r="W249" s="2" t="s">
        <v>1360</v>
      </c>
    </row>
    <row r="250" customFormat="false" ht="18.7" hidden="false" customHeight="true" outlineLevel="0" collapsed="false">
      <c r="A250" s="1" t="n">
        <v>249</v>
      </c>
      <c r="B250" s="7" t="str">
        <f aca="false">HYPERLINK("https://mncourtfraud.com/file/27-CR-21-13144.pdf","27-CR-21-13144")</f>
        <v>27-CR-21-13144</v>
      </c>
      <c r="C250" s="1" t="n">
        <v>1</v>
      </c>
      <c r="D250" s="2" t="s">
        <v>12</v>
      </c>
      <c r="E250" s="8" t="n">
        <v>45412</v>
      </c>
      <c r="F250" s="2" t="s">
        <v>24</v>
      </c>
      <c r="G250" s="7" t="str">
        <f aca="false">HYPERLINK("https://mncourtfraud.com/file/MCRO_27-CR-21-13144_Order for Conditional Release_2024-04-30_20251126182947.pdf","MCRO_27-CR-21-13144_Order for Conditional Release_2024-04-30_20251126182947.pdf")</f>
        <v>MCRO_27-CR-21-13144_Order for Conditional Release_2024-04-30_20251126182947.pdf</v>
      </c>
      <c r="H250" s="1" t="n">
        <v>4</v>
      </c>
      <c r="I250" s="1" t="s">
        <v>1360</v>
      </c>
      <c r="J250" s="1" t="n">
        <v>1</v>
      </c>
      <c r="K250" s="1" t="n">
        <v>1</v>
      </c>
      <c r="L250" s="2" t="s">
        <v>1796</v>
      </c>
      <c r="M250" s="2" t="s">
        <v>1362</v>
      </c>
      <c r="N250" s="2" t="s">
        <v>1797</v>
      </c>
      <c r="O250" s="2" t="s">
        <v>1364</v>
      </c>
      <c r="P250" s="2" t="s">
        <v>1536</v>
      </c>
      <c r="Q250" s="1" t="n">
        <v>0</v>
      </c>
      <c r="R250" s="2" t="n">
        <v>129682</v>
      </c>
      <c r="S250" s="2" t="n">
        <v>146068</v>
      </c>
      <c r="T250" s="2" t="n">
        <v>4468</v>
      </c>
      <c r="U250" s="2" t="n">
        <v>134150</v>
      </c>
      <c r="V250" s="2" t="n">
        <v>89.11</v>
      </c>
      <c r="W250" s="2" t="s">
        <v>1360</v>
      </c>
    </row>
    <row r="251" customFormat="false" ht="18.7" hidden="false" customHeight="true" outlineLevel="0" collapsed="false">
      <c r="A251" s="1" t="n">
        <v>250</v>
      </c>
      <c r="B251" s="7" t="str">
        <f aca="false">HYPERLINK("https://mncourtfraud.com/file/27-CR-21-13144.pdf","27-CR-21-13144")</f>
        <v>27-CR-21-13144</v>
      </c>
      <c r="C251" s="1" t="n">
        <v>1</v>
      </c>
      <c r="D251" s="2" t="s">
        <v>12</v>
      </c>
      <c r="E251" s="8" t="n">
        <v>44999</v>
      </c>
      <c r="F251" s="2" t="s">
        <v>17</v>
      </c>
      <c r="G251" s="7" t="str">
        <f aca="false">HYPERLINK("https://mncourtfraud.com/file/MCRO_27-CR-21-13144_Returned Mail_2023-03-14_20251126183118.pdf","MCRO_27-CR-21-13144_Returned Mail_2023-03-14_20251126183118.pdf")</f>
        <v>MCRO_27-CR-21-13144_Returned Mail_2023-03-14_20251126183118.pdf</v>
      </c>
      <c r="H251" s="1" t="n">
        <v>4</v>
      </c>
      <c r="I251" s="1" t="s">
        <v>1360</v>
      </c>
      <c r="J251" s="1" t="n">
        <v>1</v>
      </c>
      <c r="K251" s="1" t="n">
        <v>1</v>
      </c>
      <c r="L251" s="2" t="s">
        <v>1798</v>
      </c>
      <c r="M251" s="2" t="s">
        <v>1362</v>
      </c>
      <c r="N251" s="2" t="s">
        <v>1799</v>
      </c>
      <c r="O251" s="2" t="s">
        <v>1364</v>
      </c>
      <c r="P251" s="2" t="s">
        <v>1800</v>
      </c>
      <c r="Q251" s="1" t="n">
        <v>0</v>
      </c>
      <c r="R251" s="2" t="n">
        <v>241409</v>
      </c>
      <c r="S251" s="2" t="n">
        <v>257795</v>
      </c>
      <c r="T251" s="2" t="n">
        <v>8487</v>
      </c>
      <c r="U251" s="2" t="n">
        <v>249896</v>
      </c>
      <c r="V251" s="2" t="n">
        <v>93.85</v>
      </c>
      <c r="W251" s="2" t="s">
        <v>1360</v>
      </c>
    </row>
    <row r="252" customFormat="false" ht="18.7" hidden="false" customHeight="true" outlineLevel="0" collapsed="false">
      <c r="A252" s="1" t="n">
        <v>251</v>
      </c>
      <c r="B252" s="7" t="str">
        <f aca="false">HYPERLINK("https://mncourtfraud.com/file/27-CR-21-13146.pdf","27-CR-21-13146")</f>
        <v>27-CR-21-13146</v>
      </c>
      <c r="C252" s="1" t="n">
        <v>1</v>
      </c>
      <c r="D252" s="2" t="s">
        <v>12</v>
      </c>
      <c r="E252" s="8" t="n">
        <v>44405</v>
      </c>
      <c r="F252" s="2" t="s">
        <v>145</v>
      </c>
      <c r="G252" s="7" t="str">
        <f aca="false">HYPERLINK("https://mncourtfraud.com/file/MCRO_27-CR-21-13146_Demand or Request for Discovery_2021-07-28_20251126183146.pdf","MCRO_27-CR-21-13146_Demand or Request for Discovery_2021-07-28_20251126183146.pdf")</f>
        <v>MCRO_27-CR-21-13146_Demand or Request for Discovery_2021-07-28_20251126183146.pdf</v>
      </c>
      <c r="H252" s="1" t="n">
        <v>3</v>
      </c>
      <c r="I252" s="1" t="s">
        <v>1360</v>
      </c>
      <c r="J252" s="1" t="n">
        <v>1</v>
      </c>
      <c r="K252" s="1" t="n">
        <v>1</v>
      </c>
      <c r="L252" s="2" t="s">
        <v>1801</v>
      </c>
      <c r="M252" s="2" t="s">
        <v>1362</v>
      </c>
      <c r="N252" s="2" t="s">
        <v>1802</v>
      </c>
      <c r="O252" s="2" t="s">
        <v>1364</v>
      </c>
      <c r="P252" s="2" t="s">
        <v>1803</v>
      </c>
      <c r="Q252" s="1" t="n">
        <v>0</v>
      </c>
      <c r="R252" s="2" t="n">
        <v>293799</v>
      </c>
      <c r="S252" s="2" t="n">
        <v>310185</v>
      </c>
      <c r="T252" s="2" t="n">
        <v>5942</v>
      </c>
      <c r="U252" s="2" t="n">
        <v>299741</v>
      </c>
      <c r="V252" s="2" t="n">
        <v>94.82</v>
      </c>
      <c r="W252" s="2" t="s">
        <v>1360</v>
      </c>
    </row>
    <row r="253" customFormat="false" ht="18.7" hidden="false" customHeight="true" outlineLevel="0" collapsed="false">
      <c r="A253" s="1" t="n">
        <v>252</v>
      </c>
      <c r="B253" s="7" t="str">
        <f aca="false">HYPERLINK("https://mncourtfraud.com/file/27-CR-21-13146.pdf","27-CR-21-13146")</f>
        <v>27-CR-21-13146</v>
      </c>
      <c r="C253" s="1" t="n">
        <v>1</v>
      </c>
      <c r="D253" s="2" t="s">
        <v>12</v>
      </c>
      <c r="E253" s="8" t="n">
        <v>45048</v>
      </c>
      <c r="F253" s="2" t="s">
        <v>80</v>
      </c>
      <c r="G253" s="7" t="str">
        <f aca="false">HYPERLINK("https://mncourtfraud.com/file/MCRO_27-CR-21-13146_Finding of Incompetency and Order_2023-05-02_20251126183156.pdf","MCRO_27-CR-21-13146_Finding of Incompetency and Order_2023-05-02_20251126183156.pdf")</f>
        <v>MCRO_27-CR-21-13146_Finding of Incompetency and Order_2023-05-02_20251126183156.pdf</v>
      </c>
      <c r="H253" s="1" t="n">
        <v>9</v>
      </c>
      <c r="I253" s="1" t="s">
        <v>1366</v>
      </c>
      <c r="J253" s="1" t="n">
        <v>1</v>
      </c>
      <c r="K253" s="1" t="n">
        <v>1</v>
      </c>
      <c r="L253" s="2" t="s">
        <v>1491</v>
      </c>
      <c r="M253" s="2" t="s">
        <v>1492</v>
      </c>
      <c r="N253" s="2" t="s">
        <v>1493</v>
      </c>
      <c r="O253" s="2" t="s">
        <v>1494</v>
      </c>
      <c r="P253" s="2" t="s">
        <v>1495</v>
      </c>
      <c r="Q253" s="1" t="n">
        <v>0</v>
      </c>
      <c r="R253" s="2" t="n">
        <v>100288</v>
      </c>
      <c r="S253" s="2" t="n">
        <v>112370</v>
      </c>
      <c r="T253" s="2" t="n">
        <v>48200</v>
      </c>
      <c r="U253" s="2" t="n">
        <v>148488</v>
      </c>
      <c r="V253" s="2" t="n">
        <v>15.21</v>
      </c>
      <c r="W253" s="2" t="s">
        <v>1366</v>
      </c>
    </row>
    <row r="254" customFormat="false" ht="18.7" hidden="false" customHeight="true" outlineLevel="0" collapsed="false">
      <c r="A254" s="1" t="n">
        <v>253</v>
      </c>
      <c r="B254" s="7" t="str">
        <f aca="false">HYPERLINK("https://mncourtfraud.com/file/27-CR-21-13146.pdf","27-CR-21-13146")</f>
        <v>27-CR-21-13146</v>
      </c>
      <c r="C254" s="1" t="n">
        <v>1</v>
      </c>
      <c r="D254" s="2" t="s">
        <v>12</v>
      </c>
      <c r="E254" s="8" t="n">
        <v>45048</v>
      </c>
      <c r="F254" s="2" t="s">
        <v>80</v>
      </c>
      <c r="G254" s="7" t="str">
        <f aca="false">HYPERLINK("https://mncourtfraud.com/file/MCRO_27-CR-21-13146_Finding of Incompetency and Order_2023-05-02_20251126183156.pdf","MCRO_27-CR-21-13146_Finding of Incompetency and Order_2023-05-02_20251126183156.pdf")</f>
        <v>MCRO_27-CR-21-13146_Finding of Incompetency and Order_2023-05-02_20251126183156.pdf</v>
      </c>
      <c r="H254" s="1" t="n">
        <v>9</v>
      </c>
      <c r="I254" s="1" t="s">
        <v>1366</v>
      </c>
      <c r="J254" s="1" t="n">
        <v>2</v>
      </c>
      <c r="K254" s="1" t="n">
        <v>2</v>
      </c>
      <c r="L254" s="2" t="s">
        <v>1367</v>
      </c>
      <c r="M254" s="2" t="s">
        <v>1496</v>
      </c>
      <c r="N254" s="2" t="s">
        <v>1497</v>
      </c>
      <c r="O254" s="2" t="s">
        <v>1494</v>
      </c>
      <c r="P254" s="2" t="s">
        <v>1498</v>
      </c>
      <c r="Q254" s="1" t="n">
        <v>0</v>
      </c>
      <c r="R254" s="2" t="n">
        <v>160968</v>
      </c>
      <c r="S254" s="2" t="n">
        <v>167974</v>
      </c>
      <c r="T254" s="2" t="n">
        <v>59084</v>
      </c>
      <c r="U254" s="2" t="n">
        <v>220052</v>
      </c>
      <c r="V254" s="2" t="n">
        <v>22.53</v>
      </c>
      <c r="W254" s="2" t="s">
        <v>1366</v>
      </c>
    </row>
    <row r="255" customFormat="false" ht="18.7" hidden="false" customHeight="true" outlineLevel="0" collapsed="false">
      <c r="A255" s="1" t="n">
        <v>254</v>
      </c>
      <c r="B255" s="7" t="str">
        <f aca="false">HYPERLINK("https://mncourtfraud.com/file/27-CR-21-13146.pdf","27-CR-21-13146")</f>
        <v>27-CR-21-13146</v>
      </c>
      <c r="C255" s="1" t="n">
        <v>1</v>
      </c>
      <c r="D255" s="2" t="s">
        <v>12</v>
      </c>
      <c r="E255" s="8" t="n">
        <v>45048</v>
      </c>
      <c r="F255" s="2" t="s">
        <v>80</v>
      </c>
      <c r="G255" s="7" t="str">
        <f aca="false">HYPERLINK("https://mncourtfraud.com/file/MCRO_27-CR-21-13146_Finding of Incompetency and Order_2023-05-02_20251126183156.pdf","MCRO_27-CR-21-13146_Finding of Incompetency and Order_2023-05-02_20251126183156.pdf")</f>
        <v>MCRO_27-CR-21-13146_Finding of Incompetency and Order_2023-05-02_20251126183156.pdf</v>
      </c>
      <c r="H255" s="1" t="n">
        <v>9</v>
      </c>
      <c r="I255" s="1" t="s">
        <v>1366</v>
      </c>
      <c r="J255" s="1" t="n">
        <v>3</v>
      </c>
      <c r="K255" s="1" t="n">
        <v>3</v>
      </c>
      <c r="L255" s="2" t="s">
        <v>1804</v>
      </c>
      <c r="M255" s="2" t="s">
        <v>1362</v>
      </c>
      <c r="N255" s="2" t="s">
        <v>1805</v>
      </c>
      <c r="O255" s="2" t="s">
        <v>1364</v>
      </c>
      <c r="P255" s="2" t="s">
        <v>1501</v>
      </c>
      <c r="Q255" s="1" t="n">
        <v>0</v>
      </c>
      <c r="R255" s="2" t="n">
        <v>954854</v>
      </c>
      <c r="S255" s="2" t="n">
        <v>971240</v>
      </c>
      <c r="T255" s="2" t="n">
        <v>5304</v>
      </c>
      <c r="U255" s="2" t="n">
        <v>960158</v>
      </c>
      <c r="V255" s="2" t="n">
        <v>98.32</v>
      </c>
      <c r="W255" s="2" t="s">
        <v>1360</v>
      </c>
    </row>
    <row r="256" customFormat="false" ht="18.7" hidden="false" customHeight="true" outlineLevel="0" collapsed="false">
      <c r="A256" s="1" t="n">
        <v>255</v>
      </c>
      <c r="B256" s="7" t="str">
        <f aca="false">HYPERLINK("https://mncourtfraud.com/file/27-CR-21-13146.pdf","27-CR-21-13146")</f>
        <v>27-CR-21-13146</v>
      </c>
      <c r="C256" s="1" t="n">
        <v>1</v>
      </c>
      <c r="D256" s="2" t="s">
        <v>12</v>
      </c>
      <c r="E256" s="8" t="n">
        <v>44439</v>
      </c>
      <c r="F256" s="2" t="s">
        <v>19</v>
      </c>
      <c r="G256" s="7" t="str">
        <f aca="false">HYPERLINK("https://mncourtfraud.com/file/MCRO_27-CR-21-13146_Findings and Order_2021-08-31_20251126183219.pdf","MCRO_27-CR-21-13146_Findings and Order_2021-08-31_20251126183219.pdf")</f>
        <v>MCRO_27-CR-21-13146_Findings and Order_2021-08-31_20251126183219.pdf</v>
      </c>
      <c r="H256" s="1" t="n">
        <v>5</v>
      </c>
      <c r="I256" s="1" t="s">
        <v>1366</v>
      </c>
      <c r="J256" s="1" t="n">
        <v>1</v>
      </c>
      <c r="K256" s="1" t="n">
        <v>1</v>
      </c>
      <c r="L256" s="2" t="s">
        <v>1367</v>
      </c>
      <c r="M256" s="2" t="s">
        <v>1368</v>
      </c>
      <c r="N256" s="2" t="s">
        <v>1369</v>
      </c>
      <c r="O256" s="2" t="s">
        <v>1364</v>
      </c>
      <c r="P256" s="2" t="s">
        <v>1370</v>
      </c>
      <c r="Q256" s="1" t="n">
        <v>0</v>
      </c>
      <c r="R256" s="2" t="n">
        <v>129996</v>
      </c>
      <c r="S256" s="2" t="n">
        <v>137690</v>
      </c>
      <c r="T256" s="2" t="n">
        <v>19979</v>
      </c>
      <c r="U256" s="2" t="n">
        <v>149975</v>
      </c>
      <c r="V256" s="2" t="n">
        <v>39.94</v>
      </c>
      <c r="W256" s="2" t="s">
        <v>1366</v>
      </c>
    </row>
    <row r="257" customFormat="false" ht="18.7" hidden="false" customHeight="true" outlineLevel="0" collapsed="false">
      <c r="A257" s="1" t="n">
        <v>256</v>
      </c>
      <c r="B257" s="7" t="str">
        <f aca="false">HYPERLINK("https://mncourtfraud.com/file/27-CR-21-13146.pdf","27-CR-21-13146")</f>
        <v>27-CR-21-13146</v>
      </c>
      <c r="C257" s="1" t="n">
        <v>1</v>
      </c>
      <c r="D257" s="2" t="s">
        <v>12</v>
      </c>
      <c r="E257" s="8" t="n">
        <v>44439</v>
      </c>
      <c r="F257" s="2" t="s">
        <v>19</v>
      </c>
      <c r="G257" s="7" t="str">
        <f aca="false">HYPERLINK("https://mncourtfraud.com/file/MCRO_27-CR-21-13146_Findings and Order_2021-08-31_20251126183219.pdf","MCRO_27-CR-21-13146_Findings and Order_2021-08-31_20251126183219.pdf")</f>
        <v>MCRO_27-CR-21-13146_Findings and Order_2021-08-31_20251126183219.pdf</v>
      </c>
      <c r="H257" s="1" t="n">
        <v>5</v>
      </c>
      <c r="I257" s="1" t="s">
        <v>1366</v>
      </c>
      <c r="J257" s="1" t="n">
        <v>2</v>
      </c>
      <c r="K257" s="1" t="n">
        <v>2</v>
      </c>
      <c r="L257" s="2" t="s">
        <v>1806</v>
      </c>
      <c r="M257" s="2" t="s">
        <v>1362</v>
      </c>
      <c r="N257" s="2" t="s">
        <v>1807</v>
      </c>
      <c r="O257" s="2" t="s">
        <v>1364</v>
      </c>
      <c r="P257" s="2" t="s">
        <v>1373</v>
      </c>
      <c r="Q257" s="1" t="n">
        <v>0</v>
      </c>
      <c r="R257" s="2" t="n">
        <v>354063</v>
      </c>
      <c r="S257" s="2" t="n">
        <v>370449</v>
      </c>
      <c r="T257" s="2" t="n">
        <v>5041</v>
      </c>
      <c r="U257" s="2" t="n">
        <v>359104</v>
      </c>
      <c r="V257" s="2" t="n">
        <v>95.64</v>
      </c>
      <c r="W257" s="2" t="s">
        <v>1360</v>
      </c>
    </row>
    <row r="258" customFormat="false" ht="18.7" hidden="false" customHeight="true" outlineLevel="0" collapsed="false">
      <c r="A258" s="1" t="n">
        <v>257</v>
      </c>
      <c r="B258" s="7" t="str">
        <f aca="false">HYPERLINK("https://mncourtfraud.com/file/27-CR-21-13146.pdf","27-CR-21-13146")</f>
        <v>27-CR-21-13146</v>
      </c>
      <c r="C258" s="1" t="n">
        <v>1</v>
      </c>
      <c r="D258" s="2" t="s">
        <v>12</v>
      </c>
      <c r="E258" s="8" t="n">
        <v>44593</v>
      </c>
      <c r="F258" s="2" t="s">
        <v>19</v>
      </c>
      <c r="G258" s="7" t="str">
        <f aca="false">HYPERLINK("https://mncourtfraud.com/file/MCRO_27-CR-21-13146_Findings and Order_2022-02-01_20251126183209.pdf","MCRO_27-CR-21-13146_Findings and Order_2022-02-01_20251126183209.pdf")</f>
        <v>MCRO_27-CR-21-13146_Findings and Order_2022-02-01_20251126183209.pdf</v>
      </c>
      <c r="H258" s="1" t="n">
        <v>4</v>
      </c>
      <c r="I258" s="1" t="s">
        <v>1360</v>
      </c>
      <c r="J258" s="1" t="n">
        <v>1</v>
      </c>
      <c r="K258" s="1" t="n">
        <v>1</v>
      </c>
      <c r="L258" s="2" t="s">
        <v>1367</v>
      </c>
      <c r="M258" s="2" t="s">
        <v>1368</v>
      </c>
      <c r="N258" s="2" t="s">
        <v>1374</v>
      </c>
      <c r="O258" s="2" t="s">
        <v>1364</v>
      </c>
      <c r="P258" s="2" t="s">
        <v>1375</v>
      </c>
      <c r="Q258" s="1" t="n">
        <v>0</v>
      </c>
      <c r="R258" s="2" t="n">
        <v>163153</v>
      </c>
      <c r="S258" s="2" t="n">
        <v>173205</v>
      </c>
      <c r="T258" s="2" t="n">
        <v>9683</v>
      </c>
      <c r="U258" s="2" t="n">
        <v>172836</v>
      </c>
      <c r="V258" s="2" t="n">
        <v>47.77</v>
      </c>
      <c r="W258" s="2" t="s">
        <v>1366</v>
      </c>
    </row>
    <row r="259" customFormat="false" ht="18.7" hidden="false" customHeight="true" outlineLevel="0" collapsed="false">
      <c r="A259" s="1" t="n">
        <v>258</v>
      </c>
      <c r="B259" s="7" t="str">
        <f aca="false">HYPERLINK("https://mncourtfraud.com/file/27-CR-21-13146.pdf","27-CR-21-13146")</f>
        <v>27-CR-21-13146</v>
      </c>
      <c r="C259" s="1" t="n">
        <v>1</v>
      </c>
      <c r="D259" s="2" t="s">
        <v>12</v>
      </c>
      <c r="E259" s="8" t="n">
        <v>44593</v>
      </c>
      <c r="F259" s="2" t="s">
        <v>19</v>
      </c>
      <c r="G259" s="7" t="str">
        <f aca="false">HYPERLINK("https://mncourtfraud.com/file/MCRO_27-CR-21-13146_Findings and Order_2022-02-01_20251126183209.pdf","MCRO_27-CR-21-13146_Findings and Order_2022-02-01_20251126183209.pdf")</f>
        <v>MCRO_27-CR-21-13146_Findings and Order_2022-02-01_20251126183209.pdf</v>
      </c>
      <c r="H259" s="1" t="n">
        <v>4</v>
      </c>
      <c r="I259" s="1" t="s">
        <v>1360</v>
      </c>
      <c r="J259" s="1" t="n">
        <v>2</v>
      </c>
      <c r="K259" s="1" t="n">
        <v>2</v>
      </c>
      <c r="L259" s="2" t="s">
        <v>1808</v>
      </c>
      <c r="M259" s="2" t="s">
        <v>1362</v>
      </c>
      <c r="N259" s="2" t="s">
        <v>1809</v>
      </c>
      <c r="O259" s="2" t="s">
        <v>1364</v>
      </c>
      <c r="P259" s="2" t="s">
        <v>1378</v>
      </c>
      <c r="Q259" s="1" t="n">
        <v>0</v>
      </c>
      <c r="R259" s="2" t="n">
        <v>340312</v>
      </c>
      <c r="S259" s="2" t="n">
        <v>356698</v>
      </c>
      <c r="T259" s="2" t="n">
        <v>5090</v>
      </c>
      <c r="U259" s="2" t="n">
        <v>345402</v>
      </c>
      <c r="V259" s="2" t="n">
        <v>95.47</v>
      </c>
      <c r="W259" s="2" t="s">
        <v>1360</v>
      </c>
    </row>
    <row r="260" customFormat="false" ht="18.7" hidden="false" customHeight="true" outlineLevel="0" collapsed="false">
      <c r="A260" s="1" t="n">
        <v>259</v>
      </c>
      <c r="B260" s="7" t="str">
        <f aca="false">HYPERLINK("https://mncourtfraud.com/file/27-CR-21-13146.pdf","27-CR-21-13146")</f>
        <v>27-CR-21-13146</v>
      </c>
      <c r="C260" s="1" t="n">
        <v>1</v>
      </c>
      <c r="D260" s="2" t="s">
        <v>12</v>
      </c>
      <c r="E260" s="8" t="n">
        <v>45093</v>
      </c>
      <c r="F260" s="2" t="s">
        <v>82</v>
      </c>
      <c r="G260" s="7" t="str">
        <f aca="false">HYPERLINK("https://mncourtfraud.com/file/MCRO_27-CR-21-13146_Notice of Case Reassignment_2023-06-16_20251126183231.pdf","MCRO_27-CR-21-13146_Notice of Case Reassignment_2023-06-16_20251126183231.pdf")</f>
        <v>MCRO_27-CR-21-13146_Notice of Case Reassignment_2023-06-16_20251126183231.pdf</v>
      </c>
      <c r="H260" s="1" t="n">
        <v>3</v>
      </c>
      <c r="I260" s="1" t="s">
        <v>1360</v>
      </c>
      <c r="J260" s="1" t="n">
        <v>1</v>
      </c>
      <c r="K260" s="1" t="n">
        <v>1</v>
      </c>
      <c r="L260" s="2" t="s">
        <v>1810</v>
      </c>
      <c r="M260" s="2" t="s">
        <v>1362</v>
      </c>
      <c r="N260" s="2" t="s">
        <v>1811</v>
      </c>
      <c r="O260" s="2" t="s">
        <v>1364</v>
      </c>
      <c r="P260" s="2" t="s">
        <v>1508</v>
      </c>
      <c r="Q260" s="1" t="n">
        <v>0</v>
      </c>
      <c r="R260" s="2" t="n">
        <v>92691</v>
      </c>
      <c r="S260" s="2" t="n">
        <v>109077</v>
      </c>
      <c r="T260" s="2" t="n">
        <v>4554</v>
      </c>
      <c r="U260" s="2" t="n">
        <v>97245</v>
      </c>
      <c r="V260" s="2" t="n">
        <v>85.58</v>
      </c>
      <c r="W260" s="2" t="s">
        <v>1360</v>
      </c>
    </row>
    <row r="261" customFormat="false" ht="18.7" hidden="false" customHeight="true" outlineLevel="0" collapsed="false">
      <c r="A261" s="1" t="n">
        <v>260</v>
      </c>
      <c r="B261" s="7" t="str">
        <f aca="false">HYPERLINK("https://mncourtfraud.com/file/27-CR-21-13146.pdf","27-CR-21-13146")</f>
        <v>27-CR-21-13146</v>
      </c>
      <c r="C261" s="1" t="n">
        <v>1</v>
      </c>
      <c r="D261" s="2" t="s">
        <v>12</v>
      </c>
      <c r="E261" s="8" t="n">
        <v>44396</v>
      </c>
      <c r="F261" s="2" t="s">
        <v>15</v>
      </c>
      <c r="G261" s="7" t="str">
        <f aca="false">HYPERLINK("https://mncourtfraud.com/file/MCRO_27-CR-21-13146_Order-Evaluation for Competency to Proceed (Rule 20.01)_2021-07-19_20251126183316.pdf","MCRO_27-CR-21-13146_Order-Evaluation for Competency to Proceed (Rule 20.01)_2021-07-19_20251126183316.pdf")</f>
        <v>MCRO_27-CR-21-13146_Order-Evaluation for Competency to Proceed (Rule 20.01)_2021-07-19_20251126183316.pdf</v>
      </c>
      <c r="H261" s="1" t="n">
        <v>4</v>
      </c>
      <c r="I261" s="1" t="s">
        <v>1360</v>
      </c>
      <c r="J261" s="1" t="n">
        <v>1</v>
      </c>
      <c r="K261" s="1" t="n">
        <v>1</v>
      </c>
      <c r="L261" s="2" t="s">
        <v>1812</v>
      </c>
      <c r="M261" s="2" t="s">
        <v>1362</v>
      </c>
      <c r="N261" s="2" t="s">
        <v>1813</v>
      </c>
      <c r="O261" s="2" t="s">
        <v>1364</v>
      </c>
      <c r="P261" s="2" t="s">
        <v>1390</v>
      </c>
      <c r="Q261" s="1" t="n">
        <v>0</v>
      </c>
      <c r="R261" s="2" t="n">
        <v>170215</v>
      </c>
      <c r="S261" s="2" t="n">
        <v>186601</v>
      </c>
      <c r="T261" s="2" t="n">
        <v>8533</v>
      </c>
      <c r="U261" s="2" t="n">
        <v>178748</v>
      </c>
      <c r="V261" s="2" t="n">
        <v>91.6</v>
      </c>
      <c r="W261" s="2" t="s">
        <v>1360</v>
      </c>
    </row>
    <row r="262" customFormat="false" ht="18.7" hidden="false" customHeight="true" outlineLevel="0" collapsed="false">
      <c r="A262" s="1" t="n">
        <v>261</v>
      </c>
      <c r="B262" s="7" t="str">
        <f aca="false">HYPERLINK("https://mncourtfraud.com/file/27-CR-21-13146.pdf","27-CR-21-13146")</f>
        <v>27-CR-21-13146</v>
      </c>
      <c r="C262" s="1" t="n">
        <v>1</v>
      </c>
      <c r="D262" s="2" t="s">
        <v>12</v>
      </c>
      <c r="E262" s="8" t="n">
        <v>44543</v>
      </c>
      <c r="F262" s="2" t="s">
        <v>15</v>
      </c>
      <c r="G262" s="7" t="str">
        <f aca="false">HYPERLINK("https://mncourtfraud.com/file/MCRO_27-CR-21-13146_Order-Evaluation for Competency to Proceed (Rule 20.01)_2021-12-13_20251126183322.pdf","MCRO_27-CR-21-13146_Order-Evaluation for Competency to Proceed (Rule 20.01)_2021-12-13_20251126183322.pdf")</f>
        <v>MCRO_27-CR-21-13146_Order-Evaluation for Competency to Proceed (Rule 20.01)_2021-12-13_20251126183322.pdf</v>
      </c>
      <c r="H262" s="1" t="n">
        <v>3</v>
      </c>
      <c r="I262" s="1" t="s">
        <v>1360</v>
      </c>
      <c r="J262" s="1" t="n">
        <v>1</v>
      </c>
      <c r="K262" s="1" t="n">
        <v>1</v>
      </c>
      <c r="L262" s="2" t="s">
        <v>1814</v>
      </c>
      <c r="M262" s="2" t="s">
        <v>1362</v>
      </c>
      <c r="N262" s="2" t="s">
        <v>1815</v>
      </c>
      <c r="O262" s="2" t="s">
        <v>1364</v>
      </c>
      <c r="P262" s="2" t="s">
        <v>1393</v>
      </c>
      <c r="Q262" s="1" t="n">
        <v>0</v>
      </c>
      <c r="R262" s="2" t="n">
        <v>212319</v>
      </c>
      <c r="S262" s="2" t="n">
        <v>228705</v>
      </c>
      <c r="T262" s="2" t="n">
        <v>5135</v>
      </c>
      <c r="U262" s="2" t="n">
        <v>217454</v>
      </c>
      <c r="V262" s="2" t="n">
        <v>92.99</v>
      </c>
      <c r="W262" s="2" t="s">
        <v>1360</v>
      </c>
    </row>
    <row r="263" customFormat="false" ht="18.7" hidden="false" customHeight="true" outlineLevel="0" collapsed="false">
      <c r="A263" s="1" t="n">
        <v>262</v>
      </c>
      <c r="B263" s="7" t="str">
        <f aca="false">HYPERLINK("https://mncourtfraud.com/file/27-CR-21-13146.pdf","27-CR-21-13146")</f>
        <v>27-CR-21-13146</v>
      </c>
      <c r="C263" s="1" t="n">
        <v>1</v>
      </c>
      <c r="D263" s="2" t="s">
        <v>12</v>
      </c>
      <c r="E263" s="8" t="n">
        <v>44558</v>
      </c>
      <c r="F263" s="2" t="s">
        <v>15</v>
      </c>
      <c r="G263" s="7" t="str">
        <f aca="false">HYPERLINK("https://mncourtfraud.com/file/MCRO_27-CR-21-13146_Order-Evaluation for Competency to Proceed (Rule 20.01)_2021-12-28_20251126183331.pdf","MCRO_27-CR-21-13146_Order-Evaluation for Competency to Proceed (Rule 20.01)_2021-12-28_20251126183331.pdf")</f>
        <v>MCRO_27-CR-21-13146_Order-Evaluation for Competency to Proceed (Rule 20.01)_2021-12-28_20251126183331.pdf</v>
      </c>
      <c r="H263" s="1" t="n">
        <v>4</v>
      </c>
      <c r="I263" s="1" t="s">
        <v>1360</v>
      </c>
      <c r="J263" s="1" t="n">
        <v>1</v>
      </c>
      <c r="K263" s="1" t="n">
        <v>1</v>
      </c>
      <c r="L263" s="2" t="s">
        <v>1816</v>
      </c>
      <c r="M263" s="2" t="s">
        <v>1362</v>
      </c>
      <c r="N263" s="2" t="s">
        <v>1817</v>
      </c>
      <c r="O263" s="2" t="s">
        <v>1364</v>
      </c>
      <c r="P263" s="2" t="s">
        <v>1396</v>
      </c>
      <c r="Q263" s="1" t="n">
        <v>0</v>
      </c>
      <c r="R263" s="2" t="n">
        <v>214315</v>
      </c>
      <c r="S263" s="2" t="n">
        <v>230701</v>
      </c>
      <c r="T263" s="2" t="n">
        <v>8578</v>
      </c>
      <c r="U263" s="2" t="n">
        <v>222893</v>
      </c>
      <c r="V263" s="2" t="n">
        <v>93.15</v>
      </c>
      <c r="W263" s="2" t="s">
        <v>1360</v>
      </c>
    </row>
    <row r="264" customFormat="false" ht="18.7" hidden="false" customHeight="true" outlineLevel="0" collapsed="false">
      <c r="A264" s="1" t="n">
        <v>263</v>
      </c>
      <c r="B264" s="7" t="str">
        <f aca="false">HYPERLINK("https://mncourtfraud.com/file/27-CR-21-13146.pdf","27-CR-21-13146")</f>
        <v>27-CR-21-13146</v>
      </c>
      <c r="C264" s="1" t="n">
        <v>1</v>
      </c>
      <c r="D264" s="2" t="s">
        <v>12</v>
      </c>
      <c r="E264" s="8" t="n">
        <v>44692</v>
      </c>
      <c r="F264" s="2" t="s">
        <v>15</v>
      </c>
      <c r="G264" s="7" t="str">
        <f aca="false">HYPERLINK("https://mncourtfraud.com/file/MCRO_27-CR-21-13146_Order-Evaluation for Competency to Proceed (Rule 20.01)_2022-05-11_20251126183340.pdf","MCRO_27-CR-21-13146_Order-Evaluation for Competency to Proceed (Rule 20.01)_2022-05-11_20251126183340.pdf")</f>
        <v>MCRO_27-CR-21-13146_Order-Evaluation for Competency to Proceed (Rule 20.01)_2022-05-11_20251126183340.pdf</v>
      </c>
      <c r="H264" s="1" t="n">
        <v>3</v>
      </c>
      <c r="I264" s="1" t="s">
        <v>1360</v>
      </c>
      <c r="J264" s="1" t="n">
        <v>1</v>
      </c>
      <c r="K264" s="1" t="n">
        <v>1</v>
      </c>
      <c r="L264" s="2" t="s">
        <v>1818</v>
      </c>
      <c r="M264" s="2" t="s">
        <v>1362</v>
      </c>
      <c r="N264" s="2" t="s">
        <v>1819</v>
      </c>
      <c r="O264" s="2" t="s">
        <v>1364</v>
      </c>
      <c r="P264" s="2" t="s">
        <v>1399</v>
      </c>
      <c r="Q264" s="1" t="n">
        <v>0</v>
      </c>
      <c r="R264" s="2" t="n">
        <v>218705</v>
      </c>
      <c r="S264" s="2" t="n">
        <v>235091</v>
      </c>
      <c r="T264" s="2" t="n">
        <v>4728</v>
      </c>
      <c r="U264" s="2" t="n">
        <v>223433</v>
      </c>
      <c r="V264" s="2" t="n">
        <v>93.17</v>
      </c>
      <c r="W264" s="2" t="s">
        <v>1360</v>
      </c>
    </row>
    <row r="265" customFormat="false" ht="18.7" hidden="false" customHeight="true" outlineLevel="0" collapsed="false">
      <c r="A265" s="1" t="n">
        <v>264</v>
      </c>
      <c r="B265" s="7" t="str">
        <f aca="false">HYPERLINK("https://mncourtfraud.com/file/27-CR-21-13146.pdf","27-CR-21-13146")</f>
        <v>27-CR-21-13146</v>
      </c>
      <c r="C265" s="1" t="n">
        <v>1</v>
      </c>
      <c r="D265" s="2" t="s">
        <v>12</v>
      </c>
      <c r="E265" s="8" t="n">
        <v>44895</v>
      </c>
      <c r="F265" s="2" t="s">
        <v>15</v>
      </c>
      <c r="G265" s="7" t="str">
        <f aca="false">HYPERLINK("https://mncourtfraud.com/file/MCRO_27-CR-21-13146_Order-Evaluation for Competency to Proceed (Rule 20.01)_2022-11-30_20251126183348.pdf","MCRO_27-CR-21-13146_Order-Evaluation for Competency to Proceed (Rule 20.01)_2022-11-30_20251126183348.pdf")</f>
        <v>MCRO_27-CR-21-13146_Order-Evaluation for Competency to Proceed (Rule 20.01)_2022-11-30_20251126183348.pdf</v>
      </c>
      <c r="H265" s="1" t="n">
        <v>4</v>
      </c>
      <c r="I265" s="1" t="s">
        <v>1360</v>
      </c>
      <c r="J265" s="1" t="n">
        <v>1</v>
      </c>
      <c r="K265" s="1" t="n">
        <v>1</v>
      </c>
      <c r="L265" s="2" t="s">
        <v>1820</v>
      </c>
      <c r="M265" s="2" t="s">
        <v>1362</v>
      </c>
      <c r="N265" s="2" t="s">
        <v>1821</v>
      </c>
      <c r="O265" s="2" t="s">
        <v>1364</v>
      </c>
      <c r="P265" s="2" t="s">
        <v>1402</v>
      </c>
      <c r="Q265" s="1" t="n">
        <v>0</v>
      </c>
      <c r="R265" s="2" t="n">
        <v>795532</v>
      </c>
      <c r="S265" s="2" t="n">
        <v>811918</v>
      </c>
      <c r="T265" s="2" t="n">
        <v>5078</v>
      </c>
      <c r="U265" s="2" t="n">
        <v>800610</v>
      </c>
      <c r="V265" s="2" t="n">
        <v>97.99</v>
      </c>
      <c r="W265" s="2" t="s">
        <v>1360</v>
      </c>
    </row>
    <row r="266" customFormat="false" ht="18.7" hidden="false" customHeight="true" outlineLevel="0" collapsed="false">
      <c r="A266" s="1" t="n">
        <v>265</v>
      </c>
      <c r="B266" s="7" t="str">
        <f aca="false">HYPERLINK("https://mncourtfraud.com/file/27-CR-21-13146.pdf","27-CR-21-13146")</f>
        <v>27-CR-21-13146</v>
      </c>
      <c r="C266" s="1" t="n">
        <v>1</v>
      </c>
      <c r="D266" s="2" t="s">
        <v>12</v>
      </c>
      <c r="E266" s="8" t="n">
        <v>45160</v>
      </c>
      <c r="F266" s="2" t="s">
        <v>15</v>
      </c>
      <c r="G266" s="7" t="str">
        <f aca="false">HYPERLINK("https://mncourtfraud.com/file/MCRO_27-CR-21-13146_Order-Evaluation for Competency to Proceed (Rule 20.01)_2023-08-22_20251126183356.pdf","MCRO_27-CR-21-13146_Order-Evaluation for Competency to Proceed (Rule 20.01)_2023-08-22_20251126183356.pdf")</f>
        <v>MCRO_27-CR-21-13146_Order-Evaluation for Competency to Proceed (Rule 20.01)_2023-08-22_20251126183356.pdf</v>
      </c>
      <c r="H266" s="1" t="n">
        <v>6</v>
      </c>
      <c r="I266" s="1" t="s">
        <v>1366</v>
      </c>
      <c r="J266" s="1" t="n">
        <v>1</v>
      </c>
      <c r="K266" s="1" t="n">
        <v>1</v>
      </c>
      <c r="L266" s="2" t="s">
        <v>1367</v>
      </c>
      <c r="M266" s="2" t="s">
        <v>1519</v>
      </c>
      <c r="N266" s="2" t="s">
        <v>1520</v>
      </c>
      <c r="O266" s="2" t="s">
        <v>1494</v>
      </c>
      <c r="P266" s="2" t="s">
        <v>1521</v>
      </c>
      <c r="Q266" s="1" t="n">
        <v>0</v>
      </c>
      <c r="R266" s="2" t="n">
        <v>122115</v>
      </c>
      <c r="S266" s="2" t="n">
        <v>129143</v>
      </c>
      <c r="T266" s="2" t="n">
        <v>87775</v>
      </c>
      <c r="U266" s="2" t="n">
        <v>209890</v>
      </c>
      <c r="V266" s="2" t="n">
        <v>23.95</v>
      </c>
      <c r="W266" s="2" t="s">
        <v>1366</v>
      </c>
    </row>
    <row r="267" customFormat="false" ht="18.7" hidden="false" customHeight="true" outlineLevel="0" collapsed="false">
      <c r="A267" s="1" t="n">
        <v>266</v>
      </c>
      <c r="B267" s="7" t="str">
        <f aca="false">HYPERLINK("https://mncourtfraud.com/file/27-CR-21-13146.pdf","27-CR-21-13146")</f>
        <v>27-CR-21-13146</v>
      </c>
      <c r="C267" s="1" t="n">
        <v>1</v>
      </c>
      <c r="D267" s="2" t="s">
        <v>12</v>
      </c>
      <c r="E267" s="8" t="n">
        <v>45160</v>
      </c>
      <c r="F267" s="2" t="s">
        <v>15</v>
      </c>
      <c r="G267" s="7" t="str">
        <f aca="false">HYPERLINK("https://mncourtfraud.com/file/MCRO_27-CR-21-13146_Order-Evaluation for Competency to Proceed (Rule 20.01)_2023-08-22_20251126183356.pdf","MCRO_27-CR-21-13146_Order-Evaluation for Competency to Proceed (Rule 20.01)_2023-08-22_20251126183356.pdf")</f>
        <v>MCRO_27-CR-21-13146_Order-Evaluation for Competency to Proceed (Rule 20.01)_2023-08-22_20251126183356.pdf</v>
      </c>
      <c r="H267" s="1" t="n">
        <v>6</v>
      </c>
      <c r="I267" s="1" t="s">
        <v>1366</v>
      </c>
      <c r="J267" s="1" t="n">
        <v>2</v>
      </c>
      <c r="K267" s="1" t="n">
        <v>2</v>
      </c>
      <c r="L267" s="2" t="s">
        <v>1822</v>
      </c>
      <c r="M267" s="2" t="s">
        <v>1362</v>
      </c>
      <c r="N267" s="2" t="s">
        <v>1823</v>
      </c>
      <c r="O267" s="2" t="s">
        <v>1364</v>
      </c>
      <c r="P267" s="2" t="s">
        <v>1524</v>
      </c>
      <c r="Q267" s="1" t="n">
        <v>0</v>
      </c>
      <c r="R267" s="2" t="n">
        <v>855045</v>
      </c>
      <c r="S267" s="2" t="n">
        <v>871431</v>
      </c>
      <c r="T267" s="2" t="n">
        <v>4974</v>
      </c>
      <c r="U267" s="2" t="n">
        <v>860019</v>
      </c>
      <c r="V267" s="2" t="n">
        <v>98.13</v>
      </c>
      <c r="W267" s="2" t="s">
        <v>1360</v>
      </c>
    </row>
    <row r="268" customFormat="false" ht="18.7" hidden="false" customHeight="true" outlineLevel="0" collapsed="false">
      <c r="A268" s="1" t="n">
        <v>267</v>
      </c>
      <c r="B268" s="7" t="str">
        <f aca="false">HYPERLINK("https://mncourtfraud.com/file/27-CR-21-13146.pdf","27-CR-21-13146")</f>
        <v>27-CR-21-13146</v>
      </c>
      <c r="C268" s="1" t="n">
        <v>1</v>
      </c>
      <c r="D268" s="2" t="s">
        <v>12</v>
      </c>
      <c r="E268" s="8" t="n">
        <v>45412</v>
      </c>
      <c r="F268" s="2" t="s">
        <v>15</v>
      </c>
      <c r="G268" s="7" t="str">
        <f aca="false">HYPERLINK("https://mncourtfraud.com/file/MCRO_27-CR-21-13146_Order-Evaluation for Competency to Proceed (Rule 20.01)_2024-04-30_20251126183404.pdf","MCRO_27-CR-21-13146_Order-Evaluation for Competency to Proceed (Rule 20.01)_2024-04-30_20251126183404.pdf")</f>
        <v>MCRO_27-CR-21-13146_Order-Evaluation for Competency to Proceed (Rule 20.01)_2024-04-30_20251126183404.pdf</v>
      </c>
      <c r="H268" s="1" t="n">
        <v>4</v>
      </c>
      <c r="I268" s="1" t="s">
        <v>1360</v>
      </c>
      <c r="J268" s="1" t="n">
        <v>1</v>
      </c>
      <c r="K268" s="1" t="n">
        <v>1</v>
      </c>
      <c r="L268" s="2" t="s">
        <v>1824</v>
      </c>
      <c r="M268" s="2" t="s">
        <v>1362</v>
      </c>
      <c r="N268" s="2" t="s">
        <v>1825</v>
      </c>
      <c r="O268" s="2" t="s">
        <v>1364</v>
      </c>
      <c r="P268" s="2" t="s">
        <v>1390</v>
      </c>
      <c r="Q268" s="1" t="n">
        <v>0</v>
      </c>
      <c r="R268" s="2" t="n">
        <v>198660</v>
      </c>
      <c r="S268" s="2" t="n">
        <v>215046</v>
      </c>
      <c r="T268" s="2" t="n">
        <v>4474</v>
      </c>
      <c r="U268" s="2" t="n">
        <v>203134</v>
      </c>
      <c r="V268" s="2" t="n">
        <v>92.54</v>
      </c>
      <c r="W268" s="2" t="s">
        <v>1360</v>
      </c>
    </row>
    <row r="269" customFormat="false" ht="18.7" hidden="false" customHeight="true" outlineLevel="0" collapsed="false">
      <c r="A269" s="1" t="n">
        <v>268</v>
      </c>
      <c r="B269" s="7" t="str">
        <f aca="false">HYPERLINK("https://mncourtfraud.com/file/27-CR-21-13146.pdf","27-CR-21-13146")</f>
        <v>27-CR-21-13146</v>
      </c>
      <c r="C269" s="1" t="n">
        <v>1</v>
      </c>
      <c r="D269" s="2" t="s">
        <v>12</v>
      </c>
      <c r="E269" s="8" t="n">
        <v>44460</v>
      </c>
      <c r="F269" s="2" t="s">
        <v>24</v>
      </c>
      <c r="G269" s="7" t="str">
        <f aca="false">HYPERLINK("https://mncourtfraud.com/file/MCRO_27-CR-21-13146_Order for Conditional Release_2021-09-21_20251126183258.pdf","MCRO_27-CR-21-13146_Order for Conditional Release_2021-09-21_20251126183258.pdf")</f>
        <v>MCRO_27-CR-21-13146_Order for Conditional Release_2021-09-21_20251126183258.pdf</v>
      </c>
      <c r="H269" s="1" t="n">
        <v>4</v>
      </c>
      <c r="I269" s="1" t="s">
        <v>1360</v>
      </c>
      <c r="J269" s="1" t="n">
        <v>1</v>
      </c>
      <c r="K269" s="1" t="n">
        <v>1</v>
      </c>
      <c r="L269" s="2" t="s">
        <v>1826</v>
      </c>
      <c r="M269" s="2" t="s">
        <v>1362</v>
      </c>
      <c r="N269" s="2" t="s">
        <v>1827</v>
      </c>
      <c r="O269" s="2" t="s">
        <v>1364</v>
      </c>
      <c r="P269" s="2" t="s">
        <v>1405</v>
      </c>
      <c r="Q269" s="1" t="n">
        <v>0</v>
      </c>
      <c r="R269" s="2" t="n">
        <v>84990</v>
      </c>
      <c r="S269" s="2" t="n">
        <v>101376</v>
      </c>
      <c r="T269" s="2" t="n">
        <v>4472</v>
      </c>
      <c r="U269" s="2" t="n">
        <v>89462</v>
      </c>
      <c r="V269" s="2" t="n">
        <v>84.52</v>
      </c>
      <c r="W269" s="2" t="s">
        <v>1360</v>
      </c>
    </row>
    <row r="270" customFormat="false" ht="18.7" hidden="false" customHeight="true" outlineLevel="0" collapsed="false">
      <c r="A270" s="1" t="n">
        <v>269</v>
      </c>
      <c r="B270" s="7" t="str">
        <f aca="false">HYPERLINK("https://mncourtfraud.com/file/27-CR-21-13146.pdf","27-CR-21-13146")</f>
        <v>27-CR-21-13146</v>
      </c>
      <c r="C270" s="1" t="n">
        <v>1</v>
      </c>
      <c r="D270" s="2" t="s">
        <v>12</v>
      </c>
      <c r="E270" s="8" t="n">
        <v>44468</v>
      </c>
      <c r="F270" s="2" t="s">
        <v>24</v>
      </c>
      <c r="G270" s="7" t="str">
        <f aca="false">HYPERLINK("https://mncourtfraud.com/file/MCRO_27-CR-21-13146_Order for Conditional Release_2021-09-29_20251126183304.pdf","MCRO_27-CR-21-13146_Order for Conditional Release_2021-09-29_20251126183304.pdf")</f>
        <v>MCRO_27-CR-21-13146_Order for Conditional Release_2021-09-29_20251126183304.pdf</v>
      </c>
      <c r="H270" s="1" t="n">
        <v>4</v>
      </c>
      <c r="I270" s="1" t="s">
        <v>1360</v>
      </c>
      <c r="J270" s="1" t="n">
        <v>1</v>
      </c>
      <c r="K270" s="1" t="n">
        <v>1</v>
      </c>
      <c r="L270" s="2" t="s">
        <v>1828</v>
      </c>
      <c r="M270" s="2" t="s">
        <v>1362</v>
      </c>
      <c r="N270" s="2" t="s">
        <v>1829</v>
      </c>
      <c r="O270" s="2" t="s">
        <v>1364</v>
      </c>
      <c r="P270" s="2" t="s">
        <v>1408</v>
      </c>
      <c r="Q270" s="1" t="n">
        <v>0</v>
      </c>
      <c r="R270" s="2" t="n">
        <v>130450</v>
      </c>
      <c r="S270" s="2" t="n">
        <v>146836</v>
      </c>
      <c r="T270" s="2" t="n">
        <v>4975</v>
      </c>
      <c r="U270" s="2" t="n">
        <v>135425</v>
      </c>
      <c r="V270" s="2" t="n">
        <v>89.21</v>
      </c>
      <c r="W270" s="2" t="s">
        <v>1360</v>
      </c>
    </row>
    <row r="271" customFormat="false" ht="18.7" hidden="false" customHeight="true" outlineLevel="0" collapsed="false">
      <c r="A271" s="1" t="n">
        <v>270</v>
      </c>
      <c r="B271" s="7" t="str">
        <f aca="false">HYPERLINK("https://mncourtfraud.com/file/27-CR-21-13146.pdf","27-CR-21-13146")</f>
        <v>27-CR-21-13146</v>
      </c>
      <c r="C271" s="1" t="n">
        <v>1</v>
      </c>
      <c r="D271" s="2" t="s">
        <v>12</v>
      </c>
      <c r="E271" s="8" t="n">
        <v>45412</v>
      </c>
      <c r="F271" s="2" t="s">
        <v>24</v>
      </c>
      <c r="G271" s="7" t="str">
        <f aca="false">HYPERLINK("https://mncourtfraud.com/file/MCRO_27-CR-21-13146_Order for Conditional Release_2024-04-30_20251126183251.pdf","MCRO_27-CR-21-13146_Order for Conditional Release_2024-04-30_20251126183251.pdf")</f>
        <v>MCRO_27-CR-21-13146_Order for Conditional Release_2024-04-30_20251126183251.pdf</v>
      </c>
      <c r="H271" s="1" t="n">
        <v>4</v>
      </c>
      <c r="I271" s="1" t="s">
        <v>1360</v>
      </c>
      <c r="J271" s="1" t="n">
        <v>1</v>
      </c>
      <c r="K271" s="1" t="n">
        <v>1</v>
      </c>
      <c r="L271" s="2" t="s">
        <v>1830</v>
      </c>
      <c r="M271" s="2" t="s">
        <v>1362</v>
      </c>
      <c r="N271" s="2" t="s">
        <v>1831</v>
      </c>
      <c r="O271" s="2" t="s">
        <v>1364</v>
      </c>
      <c r="P271" s="2" t="s">
        <v>1536</v>
      </c>
      <c r="Q271" s="1" t="n">
        <v>0</v>
      </c>
      <c r="R271" s="2" t="n">
        <v>129677</v>
      </c>
      <c r="S271" s="2" t="n">
        <v>146063</v>
      </c>
      <c r="T271" s="2" t="n">
        <v>4468</v>
      </c>
      <c r="U271" s="2" t="n">
        <v>134145</v>
      </c>
      <c r="V271" s="2" t="n">
        <v>89.11</v>
      </c>
      <c r="W271" s="2" t="s">
        <v>1360</v>
      </c>
    </row>
    <row r="272" customFormat="false" ht="18.7" hidden="false" customHeight="true" outlineLevel="0" collapsed="false">
      <c r="A272" s="1" t="n">
        <v>271</v>
      </c>
      <c r="B272" s="7" t="str">
        <f aca="false">HYPERLINK("https://mncourtfraud.com/file/27-CR-21-13146.pdf","27-CR-21-13146")</f>
        <v>27-CR-21-13146</v>
      </c>
      <c r="C272" s="1" t="n">
        <v>1</v>
      </c>
      <c r="D272" s="2" t="s">
        <v>12</v>
      </c>
      <c r="E272" s="8" t="n">
        <v>44999</v>
      </c>
      <c r="F272" s="2" t="s">
        <v>17</v>
      </c>
      <c r="G272" s="7" t="str">
        <f aca="false">HYPERLINK("https://mncourtfraud.com/file/MCRO_27-CR-21-13146_Returned Mail_2023-03-14_20251126183418.pdf","MCRO_27-CR-21-13146_Returned Mail_2023-03-14_20251126183418.pdf")</f>
        <v>MCRO_27-CR-21-13146_Returned Mail_2023-03-14_20251126183418.pdf</v>
      </c>
      <c r="H272" s="1" t="n">
        <v>4</v>
      </c>
      <c r="I272" s="1" t="s">
        <v>1360</v>
      </c>
      <c r="J272" s="1" t="n">
        <v>1</v>
      </c>
      <c r="K272" s="1" t="n">
        <v>1</v>
      </c>
      <c r="L272" s="2" t="s">
        <v>1832</v>
      </c>
      <c r="M272" s="2" t="s">
        <v>1362</v>
      </c>
      <c r="N272" s="2" t="s">
        <v>1833</v>
      </c>
      <c r="O272" s="2" t="s">
        <v>1364</v>
      </c>
      <c r="P272" s="2" t="s">
        <v>1800</v>
      </c>
      <c r="Q272" s="1" t="n">
        <v>0</v>
      </c>
      <c r="R272" s="2" t="n">
        <v>235148</v>
      </c>
      <c r="S272" s="2" t="n">
        <v>251534</v>
      </c>
      <c r="T272" s="2" t="n">
        <v>8487</v>
      </c>
      <c r="U272" s="2" t="n">
        <v>243635</v>
      </c>
      <c r="V272" s="2" t="n">
        <v>93.7</v>
      </c>
      <c r="W272" s="2" t="s">
        <v>1360</v>
      </c>
    </row>
    <row r="273" customFormat="false" ht="18.7" hidden="false" customHeight="true" outlineLevel="0" collapsed="false">
      <c r="A273" s="1" t="n">
        <v>272</v>
      </c>
      <c r="B273" s="7" t="str">
        <f aca="false">HYPERLINK("https://mncourtfraud.com/file/27-CR-21-13147.pdf","27-CR-21-13147")</f>
        <v>27-CR-21-13147</v>
      </c>
      <c r="C273" s="1" t="n">
        <v>1</v>
      </c>
      <c r="D273" s="2" t="s">
        <v>12</v>
      </c>
      <c r="E273" s="8" t="n">
        <v>44405</v>
      </c>
      <c r="F273" s="2" t="s">
        <v>145</v>
      </c>
      <c r="G273" s="7" t="str">
        <f aca="false">HYPERLINK("https://mncourtfraud.com/file/MCRO_27-CR-21-13147_Demand or Request for Discovery_2021-07-28_20251126183447.pdf","MCRO_27-CR-21-13147_Demand or Request for Discovery_2021-07-28_20251126183447.pdf")</f>
        <v>MCRO_27-CR-21-13147_Demand or Request for Discovery_2021-07-28_20251126183447.pdf</v>
      </c>
      <c r="H273" s="1" t="n">
        <v>3</v>
      </c>
      <c r="I273" s="1" t="s">
        <v>1360</v>
      </c>
      <c r="J273" s="1" t="n">
        <v>1</v>
      </c>
      <c r="K273" s="1" t="n">
        <v>1</v>
      </c>
      <c r="L273" s="2" t="s">
        <v>1834</v>
      </c>
      <c r="M273" s="2" t="s">
        <v>1362</v>
      </c>
      <c r="N273" s="2" t="s">
        <v>1835</v>
      </c>
      <c r="O273" s="2" t="s">
        <v>1364</v>
      </c>
      <c r="P273" s="2" t="s">
        <v>1803</v>
      </c>
      <c r="Q273" s="1" t="n">
        <v>0</v>
      </c>
      <c r="R273" s="2" t="n">
        <v>293581</v>
      </c>
      <c r="S273" s="2" t="n">
        <v>309967</v>
      </c>
      <c r="T273" s="2" t="n">
        <v>5944</v>
      </c>
      <c r="U273" s="2" t="n">
        <v>299525</v>
      </c>
      <c r="V273" s="2" t="n">
        <v>94.81</v>
      </c>
      <c r="W273" s="2" t="s">
        <v>1360</v>
      </c>
    </row>
    <row r="274" customFormat="false" ht="18.7" hidden="false" customHeight="true" outlineLevel="0" collapsed="false">
      <c r="A274" s="1" t="n">
        <v>273</v>
      </c>
      <c r="B274" s="7" t="str">
        <f aca="false">HYPERLINK("https://mncourtfraud.com/file/27-CR-21-13147.pdf","27-CR-21-13147")</f>
        <v>27-CR-21-13147</v>
      </c>
      <c r="C274" s="1" t="n">
        <v>1</v>
      </c>
      <c r="D274" s="2" t="s">
        <v>12</v>
      </c>
      <c r="E274" s="8" t="n">
        <v>45048</v>
      </c>
      <c r="F274" s="2" t="s">
        <v>80</v>
      </c>
      <c r="G274" s="7" t="str">
        <f aca="false">HYPERLINK("https://mncourtfraud.com/file/MCRO_27-CR-21-13147_Finding of Incompetency and Order_2023-05-02_20251126183457.pdf","MCRO_27-CR-21-13147_Finding of Incompetency and Order_2023-05-02_20251126183457.pdf")</f>
        <v>MCRO_27-CR-21-13147_Finding of Incompetency and Order_2023-05-02_20251126183457.pdf</v>
      </c>
      <c r="H274" s="1" t="n">
        <v>9</v>
      </c>
      <c r="I274" s="1" t="s">
        <v>1366</v>
      </c>
      <c r="J274" s="1" t="n">
        <v>1</v>
      </c>
      <c r="K274" s="1" t="n">
        <v>1</v>
      </c>
      <c r="L274" s="2" t="s">
        <v>1491</v>
      </c>
      <c r="M274" s="2" t="s">
        <v>1492</v>
      </c>
      <c r="N274" s="2" t="s">
        <v>1493</v>
      </c>
      <c r="O274" s="2" t="s">
        <v>1494</v>
      </c>
      <c r="P274" s="2" t="s">
        <v>1495</v>
      </c>
      <c r="Q274" s="1" t="n">
        <v>0</v>
      </c>
      <c r="R274" s="2" t="n">
        <v>100288</v>
      </c>
      <c r="S274" s="2" t="n">
        <v>112370</v>
      </c>
      <c r="T274" s="2" t="n">
        <v>48200</v>
      </c>
      <c r="U274" s="2" t="n">
        <v>148488</v>
      </c>
      <c r="V274" s="2" t="n">
        <v>15.21</v>
      </c>
      <c r="W274" s="2" t="s">
        <v>1366</v>
      </c>
    </row>
    <row r="275" customFormat="false" ht="18.7" hidden="false" customHeight="true" outlineLevel="0" collapsed="false">
      <c r="A275" s="1" t="n">
        <v>274</v>
      </c>
      <c r="B275" s="7" t="str">
        <f aca="false">HYPERLINK("https://mncourtfraud.com/file/27-CR-21-13147.pdf","27-CR-21-13147")</f>
        <v>27-CR-21-13147</v>
      </c>
      <c r="C275" s="1" t="n">
        <v>1</v>
      </c>
      <c r="D275" s="2" t="s">
        <v>12</v>
      </c>
      <c r="E275" s="8" t="n">
        <v>45048</v>
      </c>
      <c r="F275" s="2" t="s">
        <v>80</v>
      </c>
      <c r="G275" s="7" t="str">
        <f aca="false">HYPERLINK("https://mncourtfraud.com/file/MCRO_27-CR-21-13147_Finding of Incompetency and Order_2023-05-02_20251126183457.pdf","MCRO_27-CR-21-13147_Finding of Incompetency and Order_2023-05-02_20251126183457.pdf")</f>
        <v>MCRO_27-CR-21-13147_Finding of Incompetency and Order_2023-05-02_20251126183457.pdf</v>
      </c>
      <c r="H275" s="1" t="n">
        <v>9</v>
      </c>
      <c r="I275" s="1" t="s">
        <v>1366</v>
      </c>
      <c r="J275" s="1" t="n">
        <v>2</v>
      </c>
      <c r="K275" s="1" t="n">
        <v>2</v>
      </c>
      <c r="L275" s="2" t="s">
        <v>1367</v>
      </c>
      <c r="M275" s="2" t="s">
        <v>1496</v>
      </c>
      <c r="N275" s="2" t="s">
        <v>1497</v>
      </c>
      <c r="O275" s="2" t="s">
        <v>1494</v>
      </c>
      <c r="P275" s="2" t="s">
        <v>1498</v>
      </c>
      <c r="Q275" s="1" t="n">
        <v>0</v>
      </c>
      <c r="R275" s="2" t="n">
        <v>160968</v>
      </c>
      <c r="S275" s="2" t="n">
        <v>167974</v>
      </c>
      <c r="T275" s="2" t="n">
        <v>59084</v>
      </c>
      <c r="U275" s="2" t="n">
        <v>220052</v>
      </c>
      <c r="V275" s="2" t="n">
        <v>22.53</v>
      </c>
      <c r="W275" s="2" t="s">
        <v>1366</v>
      </c>
    </row>
    <row r="276" customFormat="false" ht="18.7" hidden="false" customHeight="true" outlineLevel="0" collapsed="false">
      <c r="A276" s="1" t="n">
        <v>275</v>
      </c>
      <c r="B276" s="7" t="str">
        <f aca="false">HYPERLINK("https://mncourtfraud.com/file/27-CR-21-13147.pdf","27-CR-21-13147")</f>
        <v>27-CR-21-13147</v>
      </c>
      <c r="C276" s="1" t="n">
        <v>1</v>
      </c>
      <c r="D276" s="2" t="s">
        <v>12</v>
      </c>
      <c r="E276" s="8" t="n">
        <v>45048</v>
      </c>
      <c r="F276" s="2" t="s">
        <v>80</v>
      </c>
      <c r="G276" s="7" t="str">
        <f aca="false">HYPERLINK("https://mncourtfraud.com/file/MCRO_27-CR-21-13147_Finding of Incompetency and Order_2023-05-02_20251126183457.pdf","MCRO_27-CR-21-13147_Finding of Incompetency and Order_2023-05-02_20251126183457.pdf")</f>
        <v>MCRO_27-CR-21-13147_Finding of Incompetency and Order_2023-05-02_20251126183457.pdf</v>
      </c>
      <c r="H276" s="1" t="n">
        <v>9</v>
      </c>
      <c r="I276" s="1" t="s">
        <v>1366</v>
      </c>
      <c r="J276" s="1" t="n">
        <v>3</v>
      </c>
      <c r="K276" s="1" t="n">
        <v>3</v>
      </c>
      <c r="L276" s="2" t="s">
        <v>1836</v>
      </c>
      <c r="M276" s="2" t="s">
        <v>1362</v>
      </c>
      <c r="N276" s="2" t="s">
        <v>1837</v>
      </c>
      <c r="O276" s="2" t="s">
        <v>1364</v>
      </c>
      <c r="P276" s="2" t="s">
        <v>1501</v>
      </c>
      <c r="Q276" s="1" t="n">
        <v>0</v>
      </c>
      <c r="R276" s="2" t="n">
        <v>954853</v>
      </c>
      <c r="S276" s="2" t="n">
        <v>971239</v>
      </c>
      <c r="T276" s="2" t="n">
        <v>5305</v>
      </c>
      <c r="U276" s="2" t="n">
        <v>960158</v>
      </c>
      <c r="V276" s="2" t="n">
        <v>98.32</v>
      </c>
      <c r="W276" s="2" t="s">
        <v>1360</v>
      </c>
    </row>
    <row r="277" customFormat="false" ht="18.7" hidden="false" customHeight="true" outlineLevel="0" collapsed="false">
      <c r="A277" s="1" t="n">
        <v>276</v>
      </c>
      <c r="B277" s="7" t="str">
        <f aca="false">HYPERLINK("https://mncourtfraud.com/file/27-CR-21-13147.pdf","27-CR-21-13147")</f>
        <v>27-CR-21-13147</v>
      </c>
      <c r="C277" s="1" t="n">
        <v>1</v>
      </c>
      <c r="D277" s="2" t="s">
        <v>12</v>
      </c>
      <c r="E277" s="8" t="n">
        <v>44439</v>
      </c>
      <c r="F277" s="2" t="s">
        <v>19</v>
      </c>
      <c r="G277" s="7" t="str">
        <f aca="false">HYPERLINK("https://mncourtfraud.com/file/MCRO_27-CR-21-13147_Findings and Order_2021-08-31_20251126183518.pdf","MCRO_27-CR-21-13147_Findings and Order_2021-08-31_20251126183518.pdf")</f>
        <v>MCRO_27-CR-21-13147_Findings and Order_2021-08-31_20251126183518.pdf</v>
      </c>
      <c r="H277" s="1" t="n">
        <v>5</v>
      </c>
      <c r="I277" s="1" t="s">
        <v>1366</v>
      </c>
      <c r="J277" s="1" t="n">
        <v>1</v>
      </c>
      <c r="K277" s="1" t="n">
        <v>1</v>
      </c>
      <c r="L277" s="2" t="s">
        <v>1367</v>
      </c>
      <c r="M277" s="2" t="s">
        <v>1368</v>
      </c>
      <c r="N277" s="2" t="s">
        <v>1369</v>
      </c>
      <c r="O277" s="2" t="s">
        <v>1364</v>
      </c>
      <c r="P277" s="2" t="s">
        <v>1370</v>
      </c>
      <c r="Q277" s="1" t="n">
        <v>0</v>
      </c>
      <c r="R277" s="2" t="n">
        <v>129996</v>
      </c>
      <c r="S277" s="2" t="n">
        <v>137690</v>
      </c>
      <c r="T277" s="2" t="n">
        <v>19979</v>
      </c>
      <c r="U277" s="2" t="n">
        <v>149975</v>
      </c>
      <c r="V277" s="2" t="n">
        <v>39.94</v>
      </c>
      <c r="W277" s="2" t="s">
        <v>1366</v>
      </c>
    </row>
    <row r="278" customFormat="false" ht="18.7" hidden="false" customHeight="true" outlineLevel="0" collapsed="false">
      <c r="A278" s="1" t="n">
        <v>277</v>
      </c>
      <c r="B278" s="7" t="str">
        <f aca="false">HYPERLINK("https://mncourtfraud.com/file/27-CR-21-13147.pdf","27-CR-21-13147")</f>
        <v>27-CR-21-13147</v>
      </c>
      <c r="C278" s="1" t="n">
        <v>1</v>
      </c>
      <c r="D278" s="2" t="s">
        <v>12</v>
      </c>
      <c r="E278" s="8" t="n">
        <v>44439</v>
      </c>
      <c r="F278" s="2" t="s">
        <v>19</v>
      </c>
      <c r="G278" s="7" t="str">
        <f aca="false">HYPERLINK("https://mncourtfraud.com/file/MCRO_27-CR-21-13147_Findings and Order_2021-08-31_20251126183518.pdf","MCRO_27-CR-21-13147_Findings and Order_2021-08-31_20251126183518.pdf")</f>
        <v>MCRO_27-CR-21-13147_Findings and Order_2021-08-31_20251126183518.pdf</v>
      </c>
      <c r="H278" s="1" t="n">
        <v>5</v>
      </c>
      <c r="I278" s="1" t="s">
        <v>1366</v>
      </c>
      <c r="J278" s="1" t="n">
        <v>2</v>
      </c>
      <c r="K278" s="1" t="n">
        <v>2</v>
      </c>
      <c r="L278" s="2" t="s">
        <v>1838</v>
      </c>
      <c r="M278" s="2" t="s">
        <v>1362</v>
      </c>
      <c r="N278" s="2" t="s">
        <v>1839</v>
      </c>
      <c r="O278" s="2" t="s">
        <v>1364</v>
      </c>
      <c r="P278" s="2" t="s">
        <v>1373</v>
      </c>
      <c r="Q278" s="1" t="n">
        <v>0</v>
      </c>
      <c r="R278" s="2" t="n">
        <v>354061</v>
      </c>
      <c r="S278" s="2" t="n">
        <v>370447</v>
      </c>
      <c r="T278" s="2" t="n">
        <v>5043</v>
      </c>
      <c r="U278" s="2" t="n">
        <v>359104</v>
      </c>
      <c r="V278" s="2" t="n">
        <v>95.64</v>
      </c>
      <c r="W278" s="2" t="s">
        <v>1360</v>
      </c>
    </row>
    <row r="279" customFormat="false" ht="18.7" hidden="false" customHeight="true" outlineLevel="0" collapsed="false">
      <c r="A279" s="1" t="n">
        <v>278</v>
      </c>
      <c r="B279" s="7" t="str">
        <f aca="false">HYPERLINK("https://mncourtfraud.com/file/27-CR-21-13147.pdf","27-CR-21-13147")</f>
        <v>27-CR-21-13147</v>
      </c>
      <c r="C279" s="1" t="n">
        <v>1</v>
      </c>
      <c r="D279" s="2" t="s">
        <v>12</v>
      </c>
      <c r="E279" s="8" t="n">
        <v>44593</v>
      </c>
      <c r="F279" s="2" t="s">
        <v>19</v>
      </c>
      <c r="G279" s="7" t="str">
        <f aca="false">HYPERLINK("https://mncourtfraud.com/file/MCRO_27-CR-21-13147_Findings and Order_2022-02-01_20251126183510.pdf","MCRO_27-CR-21-13147_Findings and Order_2022-02-01_20251126183510.pdf")</f>
        <v>MCRO_27-CR-21-13147_Findings and Order_2022-02-01_20251126183510.pdf</v>
      </c>
      <c r="H279" s="1" t="n">
        <v>4</v>
      </c>
      <c r="I279" s="1" t="s">
        <v>1360</v>
      </c>
      <c r="J279" s="1" t="n">
        <v>1</v>
      </c>
      <c r="K279" s="1" t="n">
        <v>1</v>
      </c>
      <c r="L279" s="2" t="s">
        <v>1367</v>
      </c>
      <c r="M279" s="2" t="s">
        <v>1368</v>
      </c>
      <c r="N279" s="2" t="s">
        <v>1374</v>
      </c>
      <c r="O279" s="2" t="s">
        <v>1364</v>
      </c>
      <c r="P279" s="2" t="s">
        <v>1375</v>
      </c>
      <c r="Q279" s="1" t="n">
        <v>0</v>
      </c>
      <c r="R279" s="2" t="n">
        <v>163153</v>
      </c>
      <c r="S279" s="2" t="n">
        <v>173205</v>
      </c>
      <c r="T279" s="2" t="n">
        <v>9683</v>
      </c>
      <c r="U279" s="2" t="n">
        <v>172836</v>
      </c>
      <c r="V279" s="2" t="n">
        <v>47.77</v>
      </c>
      <c r="W279" s="2" t="s">
        <v>1366</v>
      </c>
    </row>
    <row r="280" customFormat="false" ht="18.7" hidden="false" customHeight="true" outlineLevel="0" collapsed="false">
      <c r="A280" s="1" t="n">
        <v>279</v>
      </c>
      <c r="B280" s="7" t="str">
        <f aca="false">HYPERLINK("https://mncourtfraud.com/file/27-CR-21-13147.pdf","27-CR-21-13147")</f>
        <v>27-CR-21-13147</v>
      </c>
      <c r="C280" s="1" t="n">
        <v>1</v>
      </c>
      <c r="D280" s="2" t="s">
        <v>12</v>
      </c>
      <c r="E280" s="8" t="n">
        <v>44593</v>
      </c>
      <c r="F280" s="2" t="s">
        <v>19</v>
      </c>
      <c r="G280" s="7" t="str">
        <f aca="false">HYPERLINK("https://mncourtfraud.com/file/MCRO_27-CR-21-13147_Findings and Order_2022-02-01_20251126183510.pdf","MCRO_27-CR-21-13147_Findings and Order_2022-02-01_20251126183510.pdf")</f>
        <v>MCRO_27-CR-21-13147_Findings and Order_2022-02-01_20251126183510.pdf</v>
      </c>
      <c r="H280" s="1" t="n">
        <v>4</v>
      </c>
      <c r="I280" s="1" t="s">
        <v>1360</v>
      </c>
      <c r="J280" s="1" t="n">
        <v>2</v>
      </c>
      <c r="K280" s="1" t="n">
        <v>2</v>
      </c>
      <c r="L280" s="2" t="s">
        <v>1840</v>
      </c>
      <c r="M280" s="2" t="s">
        <v>1362</v>
      </c>
      <c r="N280" s="2" t="s">
        <v>1841</v>
      </c>
      <c r="O280" s="2" t="s">
        <v>1364</v>
      </c>
      <c r="P280" s="2" t="s">
        <v>1378</v>
      </c>
      <c r="Q280" s="1" t="n">
        <v>0</v>
      </c>
      <c r="R280" s="2" t="n">
        <v>340310</v>
      </c>
      <c r="S280" s="2" t="n">
        <v>356696</v>
      </c>
      <c r="T280" s="2" t="n">
        <v>5092</v>
      </c>
      <c r="U280" s="2" t="n">
        <v>345402</v>
      </c>
      <c r="V280" s="2" t="n">
        <v>95.47</v>
      </c>
      <c r="W280" s="2" t="s">
        <v>1360</v>
      </c>
    </row>
    <row r="281" customFormat="false" ht="18.7" hidden="false" customHeight="true" outlineLevel="0" collapsed="false">
      <c r="A281" s="1" t="n">
        <v>280</v>
      </c>
      <c r="B281" s="7" t="str">
        <f aca="false">HYPERLINK("https://mncourtfraud.com/file/27-CR-21-13147.pdf","27-CR-21-13147")</f>
        <v>27-CR-21-13147</v>
      </c>
      <c r="C281" s="1" t="n">
        <v>1</v>
      </c>
      <c r="D281" s="2" t="s">
        <v>12</v>
      </c>
      <c r="E281" s="8" t="n">
        <v>45093</v>
      </c>
      <c r="F281" s="2" t="s">
        <v>82</v>
      </c>
      <c r="G281" s="7" t="str">
        <f aca="false">HYPERLINK("https://mncourtfraud.com/file/MCRO_27-CR-21-13147_Notice of Case Reassignment_2023-06-16_20251126183529.pdf","MCRO_27-CR-21-13147_Notice of Case Reassignment_2023-06-16_20251126183529.pdf")</f>
        <v>MCRO_27-CR-21-13147_Notice of Case Reassignment_2023-06-16_20251126183529.pdf</v>
      </c>
      <c r="H281" s="1" t="n">
        <v>3</v>
      </c>
      <c r="I281" s="1" t="s">
        <v>1360</v>
      </c>
      <c r="J281" s="1" t="n">
        <v>1</v>
      </c>
      <c r="K281" s="1" t="n">
        <v>1</v>
      </c>
      <c r="L281" s="2" t="s">
        <v>1842</v>
      </c>
      <c r="M281" s="2" t="s">
        <v>1362</v>
      </c>
      <c r="N281" s="2" t="s">
        <v>1843</v>
      </c>
      <c r="O281" s="2" t="s">
        <v>1364</v>
      </c>
      <c r="P281" s="2" t="s">
        <v>1508</v>
      </c>
      <c r="Q281" s="1" t="n">
        <v>0</v>
      </c>
      <c r="R281" s="2" t="n">
        <v>92689</v>
      </c>
      <c r="S281" s="2" t="n">
        <v>109075</v>
      </c>
      <c r="T281" s="2" t="n">
        <v>4553</v>
      </c>
      <c r="U281" s="2" t="n">
        <v>97242</v>
      </c>
      <c r="V281" s="2" t="n">
        <v>85.58</v>
      </c>
      <c r="W281" s="2" t="s">
        <v>1360</v>
      </c>
    </row>
    <row r="282" customFormat="false" ht="18.7" hidden="false" customHeight="true" outlineLevel="0" collapsed="false">
      <c r="A282" s="1" t="n">
        <v>281</v>
      </c>
      <c r="B282" s="7" t="str">
        <f aca="false">HYPERLINK("https://mncourtfraud.com/file/27-CR-21-13147.pdf","27-CR-21-13147")</f>
        <v>27-CR-21-13147</v>
      </c>
      <c r="C282" s="1" t="n">
        <v>1</v>
      </c>
      <c r="D282" s="2" t="s">
        <v>12</v>
      </c>
      <c r="E282" s="8" t="n">
        <v>44396</v>
      </c>
      <c r="F282" s="2" t="s">
        <v>15</v>
      </c>
      <c r="G282" s="7" t="str">
        <f aca="false">HYPERLINK("https://mncourtfraud.com/file/MCRO_27-CR-21-13147_Order-Evaluation for Competency to Proceed (Rule 20.01)_2021-07-19_20251126183607.pdf","MCRO_27-CR-21-13147_Order-Evaluation for Competency to Proceed (Rule 20.01)_2021-07-19_20251126183607.pdf")</f>
        <v>MCRO_27-CR-21-13147_Order-Evaluation for Competency to Proceed (Rule 20.01)_2021-07-19_20251126183607.pdf</v>
      </c>
      <c r="H282" s="1" t="n">
        <v>4</v>
      </c>
      <c r="I282" s="1" t="s">
        <v>1360</v>
      </c>
      <c r="J282" s="1" t="n">
        <v>1</v>
      </c>
      <c r="K282" s="1" t="n">
        <v>1</v>
      </c>
      <c r="L282" s="2" t="s">
        <v>1844</v>
      </c>
      <c r="M282" s="2" t="s">
        <v>1362</v>
      </c>
      <c r="N282" s="2" t="s">
        <v>1845</v>
      </c>
      <c r="O282" s="2" t="s">
        <v>1364</v>
      </c>
      <c r="P282" s="2" t="s">
        <v>1390</v>
      </c>
      <c r="Q282" s="1" t="n">
        <v>0</v>
      </c>
      <c r="R282" s="2" t="n">
        <v>171948</v>
      </c>
      <c r="S282" s="2" t="n">
        <v>188334</v>
      </c>
      <c r="T282" s="2" t="n">
        <v>8533</v>
      </c>
      <c r="U282" s="2" t="n">
        <v>180481</v>
      </c>
      <c r="V282" s="2" t="n">
        <v>91.68</v>
      </c>
      <c r="W282" s="2" t="s">
        <v>1360</v>
      </c>
    </row>
    <row r="283" customFormat="false" ht="18.7" hidden="false" customHeight="true" outlineLevel="0" collapsed="false">
      <c r="A283" s="1" t="n">
        <v>282</v>
      </c>
      <c r="B283" s="7" t="str">
        <f aca="false">HYPERLINK("https://mncourtfraud.com/file/27-CR-21-13147.pdf","27-CR-21-13147")</f>
        <v>27-CR-21-13147</v>
      </c>
      <c r="C283" s="1" t="n">
        <v>1</v>
      </c>
      <c r="D283" s="2" t="s">
        <v>12</v>
      </c>
      <c r="E283" s="8" t="n">
        <v>44543</v>
      </c>
      <c r="F283" s="2" t="s">
        <v>15</v>
      </c>
      <c r="G283" s="7" t="str">
        <f aca="false">HYPERLINK("https://mncourtfraud.com/file/MCRO_27-CR-21-13147_Order-Evaluation for Competency to Proceed (Rule 20.01)_2021-12-13_20251126183615.pdf","MCRO_27-CR-21-13147_Order-Evaluation for Competency to Proceed (Rule 20.01)_2021-12-13_20251126183615.pdf")</f>
        <v>MCRO_27-CR-21-13147_Order-Evaluation for Competency to Proceed (Rule 20.01)_2021-12-13_20251126183615.pdf</v>
      </c>
      <c r="H283" s="1" t="n">
        <v>3</v>
      </c>
      <c r="I283" s="1" t="s">
        <v>1360</v>
      </c>
      <c r="J283" s="1" t="n">
        <v>1</v>
      </c>
      <c r="K283" s="1" t="n">
        <v>1</v>
      </c>
      <c r="L283" s="2" t="s">
        <v>1846</v>
      </c>
      <c r="M283" s="2" t="s">
        <v>1362</v>
      </c>
      <c r="N283" s="2" t="s">
        <v>1847</v>
      </c>
      <c r="O283" s="2" t="s">
        <v>1364</v>
      </c>
      <c r="P283" s="2" t="s">
        <v>1393</v>
      </c>
      <c r="Q283" s="1" t="n">
        <v>0</v>
      </c>
      <c r="R283" s="2" t="n">
        <v>212319</v>
      </c>
      <c r="S283" s="2" t="n">
        <v>228705</v>
      </c>
      <c r="T283" s="2" t="n">
        <v>5133</v>
      </c>
      <c r="U283" s="2" t="n">
        <v>217452</v>
      </c>
      <c r="V283" s="2" t="n">
        <v>92.99</v>
      </c>
      <c r="W283" s="2" t="s">
        <v>1360</v>
      </c>
    </row>
    <row r="284" customFormat="false" ht="18.7" hidden="false" customHeight="true" outlineLevel="0" collapsed="false">
      <c r="A284" s="1" t="n">
        <v>283</v>
      </c>
      <c r="B284" s="7" t="str">
        <f aca="false">HYPERLINK("https://mncourtfraud.com/file/27-CR-21-13147.pdf","27-CR-21-13147")</f>
        <v>27-CR-21-13147</v>
      </c>
      <c r="C284" s="1" t="n">
        <v>1</v>
      </c>
      <c r="D284" s="2" t="s">
        <v>12</v>
      </c>
      <c r="E284" s="8" t="n">
        <v>44558</v>
      </c>
      <c r="F284" s="2" t="s">
        <v>15</v>
      </c>
      <c r="G284" s="7" t="str">
        <f aca="false">HYPERLINK("https://mncourtfraud.com/file/MCRO_27-CR-21-13147_Order-Evaluation for Competency to Proceed (Rule 20.01)_2021-12-28_20251126183624.pdf","MCRO_27-CR-21-13147_Order-Evaluation for Competency to Proceed (Rule 20.01)_2021-12-28_20251126183624.pdf")</f>
        <v>MCRO_27-CR-21-13147_Order-Evaluation for Competency to Proceed (Rule 20.01)_2021-12-28_20251126183624.pdf</v>
      </c>
      <c r="H284" s="1" t="n">
        <v>4</v>
      </c>
      <c r="I284" s="1" t="s">
        <v>1360</v>
      </c>
      <c r="J284" s="1" t="n">
        <v>1</v>
      </c>
      <c r="K284" s="1" t="n">
        <v>1</v>
      </c>
      <c r="L284" s="2" t="s">
        <v>1848</v>
      </c>
      <c r="M284" s="2" t="s">
        <v>1362</v>
      </c>
      <c r="N284" s="2" t="s">
        <v>1849</v>
      </c>
      <c r="O284" s="2" t="s">
        <v>1364</v>
      </c>
      <c r="P284" s="2" t="s">
        <v>1396</v>
      </c>
      <c r="Q284" s="1" t="n">
        <v>0</v>
      </c>
      <c r="R284" s="2" t="n">
        <v>214365</v>
      </c>
      <c r="S284" s="2" t="n">
        <v>230751</v>
      </c>
      <c r="T284" s="2" t="n">
        <v>8578</v>
      </c>
      <c r="U284" s="2" t="n">
        <v>222943</v>
      </c>
      <c r="V284" s="2" t="n">
        <v>93.15</v>
      </c>
      <c r="W284" s="2" t="s">
        <v>1360</v>
      </c>
    </row>
    <row r="285" customFormat="false" ht="18.7" hidden="false" customHeight="true" outlineLevel="0" collapsed="false">
      <c r="A285" s="1" t="n">
        <v>284</v>
      </c>
      <c r="B285" s="7" t="str">
        <f aca="false">HYPERLINK("https://mncourtfraud.com/file/27-CR-21-13147.pdf","27-CR-21-13147")</f>
        <v>27-CR-21-13147</v>
      </c>
      <c r="C285" s="1" t="n">
        <v>1</v>
      </c>
      <c r="D285" s="2" t="s">
        <v>12</v>
      </c>
      <c r="E285" s="8" t="n">
        <v>44692</v>
      </c>
      <c r="F285" s="2" t="s">
        <v>15</v>
      </c>
      <c r="G285" s="7" t="str">
        <f aca="false">HYPERLINK("https://mncourtfraud.com/file/MCRO_27-CR-21-13147_Order-Evaluation for Competency to Proceed (Rule 20.01)_2022-05-11_20251126183632.pdf","MCRO_27-CR-21-13147_Order-Evaluation for Competency to Proceed (Rule 20.01)_2022-05-11_20251126183632.pdf")</f>
        <v>MCRO_27-CR-21-13147_Order-Evaluation for Competency to Proceed (Rule 20.01)_2022-05-11_20251126183632.pdf</v>
      </c>
      <c r="H285" s="1" t="n">
        <v>3</v>
      </c>
      <c r="I285" s="1" t="s">
        <v>1360</v>
      </c>
      <c r="J285" s="1" t="n">
        <v>1</v>
      </c>
      <c r="K285" s="1" t="n">
        <v>1</v>
      </c>
      <c r="L285" s="2" t="s">
        <v>1850</v>
      </c>
      <c r="M285" s="2" t="s">
        <v>1362</v>
      </c>
      <c r="N285" s="2" t="s">
        <v>1851</v>
      </c>
      <c r="O285" s="2" t="s">
        <v>1364</v>
      </c>
      <c r="P285" s="2" t="s">
        <v>1399</v>
      </c>
      <c r="Q285" s="1" t="n">
        <v>0</v>
      </c>
      <c r="R285" s="2" t="n">
        <v>218705</v>
      </c>
      <c r="S285" s="2" t="n">
        <v>235091</v>
      </c>
      <c r="T285" s="2" t="n">
        <v>4728</v>
      </c>
      <c r="U285" s="2" t="n">
        <v>223433</v>
      </c>
      <c r="V285" s="2" t="n">
        <v>93.17</v>
      </c>
      <c r="W285" s="2" t="s">
        <v>1360</v>
      </c>
    </row>
    <row r="286" customFormat="false" ht="18.7" hidden="false" customHeight="true" outlineLevel="0" collapsed="false">
      <c r="A286" s="1" t="n">
        <v>285</v>
      </c>
      <c r="B286" s="7" t="str">
        <f aca="false">HYPERLINK("https://mncourtfraud.com/file/27-CR-21-13147.pdf","27-CR-21-13147")</f>
        <v>27-CR-21-13147</v>
      </c>
      <c r="C286" s="1" t="n">
        <v>1</v>
      </c>
      <c r="D286" s="2" t="s">
        <v>12</v>
      </c>
      <c r="E286" s="8" t="n">
        <v>44895</v>
      </c>
      <c r="F286" s="2" t="s">
        <v>15</v>
      </c>
      <c r="G286" s="7" t="str">
        <f aca="false">HYPERLINK("https://mncourtfraud.com/file/MCRO_27-CR-21-13147_Order-Evaluation for Competency to Proceed (Rule 20.01)_2022-11-30_20251126183640.pdf","MCRO_27-CR-21-13147_Order-Evaluation for Competency to Proceed (Rule 20.01)_2022-11-30_20251126183640.pdf")</f>
        <v>MCRO_27-CR-21-13147_Order-Evaluation for Competency to Proceed (Rule 20.01)_2022-11-30_20251126183640.pdf</v>
      </c>
      <c r="H286" s="1" t="n">
        <v>4</v>
      </c>
      <c r="I286" s="1" t="s">
        <v>1360</v>
      </c>
      <c r="J286" s="1" t="n">
        <v>1</v>
      </c>
      <c r="K286" s="1" t="n">
        <v>1</v>
      </c>
      <c r="L286" s="2" t="s">
        <v>1852</v>
      </c>
      <c r="M286" s="2" t="s">
        <v>1362</v>
      </c>
      <c r="N286" s="2" t="s">
        <v>1853</v>
      </c>
      <c r="O286" s="2" t="s">
        <v>1364</v>
      </c>
      <c r="P286" s="2" t="s">
        <v>1402</v>
      </c>
      <c r="Q286" s="1" t="n">
        <v>0</v>
      </c>
      <c r="R286" s="2" t="n">
        <v>795532</v>
      </c>
      <c r="S286" s="2" t="n">
        <v>811918</v>
      </c>
      <c r="T286" s="2" t="n">
        <v>5078</v>
      </c>
      <c r="U286" s="2" t="n">
        <v>800610</v>
      </c>
      <c r="V286" s="2" t="n">
        <v>97.99</v>
      </c>
      <c r="W286" s="2" t="s">
        <v>1360</v>
      </c>
    </row>
    <row r="287" customFormat="false" ht="18.7" hidden="false" customHeight="true" outlineLevel="0" collapsed="false">
      <c r="A287" s="1" t="n">
        <v>286</v>
      </c>
      <c r="B287" s="7" t="str">
        <f aca="false">HYPERLINK("https://mncourtfraud.com/file/27-CR-21-13147.pdf","27-CR-21-13147")</f>
        <v>27-CR-21-13147</v>
      </c>
      <c r="C287" s="1" t="n">
        <v>1</v>
      </c>
      <c r="D287" s="2" t="s">
        <v>12</v>
      </c>
      <c r="E287" s="8" t="n">
        <v>45160</v>
      </c>
      <c r="F287" s="2" t="s">
        <v>15</v>
      </c>
      <c r="G287" s="7" t="str">
        <f aca="false">HYPERLINK("https://mncourtfraud.com/file/MCRO_27-CR-21-13147_Order-Evaluation for Competency to Proceed (Rule 20.01)_2023-08-22_20251126183648.pdf","MCRO_27-CR-21-13147_Order-Evaluation for Competency to Proceed (Rule 20.01)_2023-08-22_20251126183648.pdf")</f>
        <v>MCRO_27-CR-21-13147_Order-Evaluation for Competency to Proceed (Rule 20.01)_2023-08-22_20251126183648.pdf</v>
      </c>
      <c r="H287" s="1" t="n">
        <v>6</v>
      </c>
      <c r="I287" s="1" t="s">
        <v>1366</v>
      </c>
      <c r="J287" s="1" t="n">
        <v>1</v>
      </c>
      <c r="K287" s="1" t="n">
        <v>1</v>
      </c>
      <c r="L287" s="2" t="s">
        <v>1367</v>
      </c>
      <c r="M287" s="2" t="s">
        <v>1519</v>
      </c>
      <c r="N287" s="2" t="s">
        <v>1520</v>
      </c>
      <c r="O287" s="2" t="s">
        <v>1494</v>
      </c>
      <c r="P287" s="2" t="s">
        <v>1521</v>
      </c>
      <c r="Q287" s="1" t="n">
        <v>0</v>
      </c>
      <c r="R287" s="2" t="n">
        <v>122115</v>
      </c>
      <c r="S287" s="2" t="n">
        <v>129143</v>
      </c>
      <c r="T287" s="2" t="n">
        <v>87775</v>
      </c>
      <c r="U287" s="2" t="n">
        <v>209890</v>
      </c>
      <c r="V287" s="2" t="n">
        <v>23.95</v>
      </c>
      <c r="W287" s="2" t="s">
        <v>1366</v>
      </c>
    </row>
    <row r="288" customFormat="false" ht="18.7" hidden="false" customHeight="true" outlineLevel="0" collapsed="false">
      <c r="A288" s="1" t="n">
        <v>287</v>
      </c>
      <c r="B288" s="7" t="str">
        <f aca="false">HYPERLINK("https://mncourtfraud.com/file/27-CR-21-13147.pdf","27-CR-21-13147")</f>
        <v>27-CR-21-13147</v>
      </c>
      <c r="C288" s="1" t="n">
        <v>1</v>
      </c>
      <c r="D288" s="2" t="s">
        <v>12</v>
      </c>
      <c r="E288" s="8" t="n">
        <v>45160</v>
      </c>
      <c r="F288" s="2" t="s">
        <v>15</v>
      </c>
      <c r="G288" s="7" t="str">
        <f aca="false">HYPERLINK("https://mncourtfraud.com/file/MCRO_27-CR-21-13147_Order-Evaluation for Competency to Proceed (Rule 20.01)_2023-08-22_20251126183648.pdf","MCRO_27-CR-21-13147_Order-Evaluation for Competency to Proceed (Rule 20.01)_2023-08-22_20251126183648.pdf")</f>
        <v>MCRO_27-CR-21-13147_Order-Evaluation for Competency to Proceed (Rule 20.01)_2023-08-22_20251126183648.pdf</v>
      </c>
      <c r="H288" s="1" t="n">
        <v>6</v>
      </c>
      <c r="I288" s="1" t="s">
        <v>1366</v>
      </c>
      <c r="J288" s="1" t="n">
        <v>2</v>
      </c>
      <c r="K288" s="1" t="n">
        <v>2</v>
      </c>
      <c r="L288" s="2" t="s">
        <v>1854</v>
      </c>
      <c r="M288" s="2" t="s">
        <v>1362</v>
      </c>
      <c r="N288" s="2" t="s">
        <v>1855</v>
      </c>
      <c r="O288" s="2" t="s">
        <v>1364</v>
      </c>
      <c r="P288" s="2" t="s">
        <v>1524</v>
      </c>
      <c r="Q288" s="1" t="n">
        <v>0</v>
      </c>
      <c r="R288" s="2" t="n">
        <v>855043</v>
      </c>
      <c r="S288" s="2" t="n">
        <v>871429</v>
      </c>
      <c r="T288" s="2" t="n">
        <v>4973</v>
      </c>
      <c r="U288" s="2" t="n">
        <v>860016</v>
      </c>
      <c r="V288" s="2" t="n">
        <v>98.13</v>
      </c>
      <c r="W288" s="2" t="s">
        <v>1360</v>
      </c>
    </row>
    <row r="289" customFormat="false" ht="18.7" hidden="false" customHeight="true" outlineLevel="0" collapsed="false">
      <c r="A289" s="1" t="n">
        <v>288</v>
      </c>
      <c r="B289" s="7" t="str">
        <f aca="false">HYPERLINK("https://mncourtfraud.com/file/27-CR-21-13147.pdf","27-CR-21-13147")</f>
        <v>27-CR-21-13147</v>
      </c>
      <c r="C289" s="1" t="n">
        <v>1</v>
      </c>
      <c r="D289" s="2" t="s">
        <v>12</v>
      </c>
      <c r="E289" s="8" t="n">
        <v>45412</v>
      </c>
      <c r="F289" s="2" t="s">
        <v>15</v>
      </c>
      <c r="G289" s="7" t="str">
        <f aca="false">HYPERLINK("https://mncourtfraud.com/file/MCRO_27-CR-21-13147_Order-Evaluation for Competency to Proceed (Rule 20.01)_2024-04-30_20251126183656.pdf","MCRO_27-CR-21-13147_Order-Evaluation for Competency to Proceed (Rule 20.01)_2024-04-30_20251126183656.pdf")</f>
        <v>MCRO_27-CR-21-13147_Order-Evaluation for Competency to Proceed (Rule 20.01)_2024-04-30_20251126183656.pdf</v>
      </c>
      <c r="H289" s="1" t="n">
        <v>4</v>
      </c>
      <c r="I289" s="1" t="s">
        <v>1360</v>
      </c>
      <c r="J289" s="1" t="n">
        <v>1</v>
      </c>
      <c r="K289" s="1" t="n">
        <v>1</v>
      </c>
      <c r="L289" s="2" t="s">
        <v>1856</v>
      </c>
      <c r="M289" s="2" t="s">
        <v>1362</v>
      </c>
      <c r="N289" s="2" t="s">
        <v>1857</v>
      </c>
      <c r="O289" s="2" t="s">
        <v>1364</v>
      </c>
      <c r="P289" s="2" t="s">
        <v>1390</v>
      </c>
      <c r="Q289" s="1" t="n">
        <v>0</v>
      </c>
      <c r="R289" s="2" t="n">
        <v>198660</v>
      </c>
      <c r="S289" s="2" t="n">
        <v>215046</v>
      </c>
      <c r="T289" s="2" t="n">
        <v>4474</v>
      </c>
      <c r="U289" s="2" t="n">
        <v>203134</v>
      </c>
      <c r="V289" s="2" t="n">
        <v>92.54</v>
      </c>
      <c r="W289" s="2" t="s">
        <v>1360</v>
      </c>
    </row>
    <row r="290" customFormat="false" ht="18.7" hidden="false" customHeight="true" outlineLevel="0" collapsed="false">
      <c r="A290" s="1" t="n">
        <v>289</v>
      </c>
      <c r="B290" s="7" t="str">
        <f aca="false">HYPERLINK("https://mncourtfraud.com/file/27-CR-21-13147.pdf","27-CR-21-13147")</f>
        <v>27-CR-21-13147</v>
      </c>
      <c r="C290" s="1" t="n">
        <v>1</v>
      </c>
      <c r="D290" s="2" t="s">
        <v>12</v>
      </c>
      <c r="E290" s="8" t="n">
        <v>44460</v>
      </c>
      <c r="F290" s="2" t="s">
        <v>24</v>
      </c>
      <c r="G290" s="7" t="str">
        <f aca="false">HYPERLINK("https://mncourtfraud.com/file/MCRO_27-CR-21-13147_Order for Conditional Release_2021-09-21_20251126183551.pdf","MCRO_27-CR-21-13147_Order for Conditional Release_2021-09-21_20251126183551.pdf")</f>
        <v>MCRO_27-CR-21-13147_Order for Conditional Release_2021-09-21_20251126183551.pdf</v>
      </c>
      <c r="H290" s="1" t="n">
        <v>4</v>
      </c>
      <c r="I290" s="1" t="s">
        <v>1360</v>
      </c>
      <c r="J290" s="1" t="n">
        <v>1</v>
      </c>
      <c r="K290" s="1" t="n">
        <v>1</v>
      </c>
      <c r="L290" s="2" t="s">
        <v>1858</v>
      </c>
      <c r="M290" s="2" t="s">
        <v>1362</v>
      </c>
      <c r="N290" s="2" t="s">
        <v>1859</v>
      </c>
      <c r="O290" s="2" t="s">
        <v>1364</v>
      </c>
      <c r="P290" s="2" t="s">
        <v>1405</v>
      </c>
      <c r="Q290" s="1" t="n">
        <v>0</v>
      </c>
      <c r="R290" s="2" t="n">
        <v>84991</v>
      </c>
      <c r="S290" s="2" t="n">
        <v>101377</v>
      </c>
      <c r="T290" s="2" t="n">
        <v>4472</v>
      </c>
      <c r="U290" s="2" t="n">
        <v>89463</v>
      </c>
      <c r="V290" s="2" t="n">
        <v>84.52</v>
      </c>
      <c r="W290" s="2" t="s">
        <v>1360</v>
      </c>
    </row>
    <row r="291" customFormat="false" ht="18.7" hidden="false" customHeight="true" outlineLevel="0" collapsed="false">
      <c r="A291" s="1" t="n">
        <v>290</v>
      </c>
      <c r="B291" s="7" t="str">
        <f aca="false">HYPERLINK("https://mncourtfraud.com/file/27-CR-21-13147.pdf","27-CR-21-13147")</f>
        <v>27-CR-21-13147</v>
      </c>
      <c r="C291" s="1" t="n">
        <v>1</v>
      </c>
      <c r="D291" s="2" t="s">
        <v>12</v>
      </c>
      <c r="E291" s="8" t="n">
        <v>44468</v>
      </c>
      <c r="F291" s="2" t="s">
        <v>24</v>
      </c>
      <c r="G291" s="7" t="str">
        <f aca="false">HYPERLINK("https://mncourtfraud.com/file/MCRO_27-CR-21-13147_Order for Conditional Release_2021-09-29_20251126183556.pdf","MCRO_27-CR-21-13147_Order for Conditional Release_2021-09-29_20251126183556.pdf")</f>
        <v>MCRO_27-CR-21-13147_Order for Conditional Release_2021-09-29_20251126183556.pdf</v>
      </c>
      <c r="H291" s="1" t="n">
        <v>4</v>
      </c>
      <c r="I291" s="1" t="s">
        <v>1360</v>
      </c>
      <c r="J291" s="1" t="n">
        <v>1</v>
      </c>
      <c r="K291" s="1" t="n">
        <v>1</v>
      </c>
      <c r="L291" s="2" t="s">
        <v>1860</v>
      </c>
      <c r="M291" s="2" t="s">
        <v>1362</v>
      </c>
      <c r="N291" s="2" t="s">
        <v>1861</v>
      </c>
      <c r="O291" s="2" t="s">
        <v>1364</v>
      </c>
      <c r="P291" s="2" t="s">
        <v>1408</v>
      </c>
      <c r="Q291" s="1" t="n">
        <v>0</v>
      </c>
      <c r="R291" s="2" t="n">
        <v>130451</v>
      </c>
      <c r="S291" s="2" t="n">
        <v>146837</v>
      </c>
      <c r="T291" s="2" t="n">
        <v>4976</v>
      </c>
      <c r="U291" s="2" t="n">
        <v>135427</v>
      </c>
      <c r="V291" s="2" t="n">
        <v>89.21</v>
      </c>
      <c r="W291" s="2" t="s">
        <v>1360</v>
      </c>
    </row>
    <row r="292" customFormat="false" ht="18.7" hidden="false" customHeight="true" outlineLevel="0" collapsed="false">
      <c r="A292" s="1" t="n">
        <v>291</v>
      </c>
      <c r="B292" s="7" t="str">
        <f aca="false">HYPERLINK("https://mncourtfraud.com/file/27-CR-21-13147.pdf","27-CR-21-13147")</f>
        <v>27-CR-21-13147</v>
      </c>
      <c r="C292" s="1" t="n">
        <v>1</v>
      </c>
      <c r="D292" s="2" t="s">
        <v>12</v>
      </c>
      <c r="E292" s="8" t="n">
        <v>45412</v>
      </c>
      <c r="F292" s="2" t="s">
        <v>24</v>
      </c>
      <c r="G292" s="7" t="str">
        <f aca="false">HYPERLINK("https://mncourtfraud.com/file/MCRO_27-CR-21-13147_Order for Conditional Release_2024-04-30_20251126183543.pdf","MCRO_27-CR-21-13147_Order for Conditional Release_2024-04-30_20251126183543.pdf")</f>
        <v>MCRO_27-CR-21-13147_Order for Conditional Release_2024-04-30_20251126183543.pdf</v>
      </c>
      <c r="H292" s="1" t="n">
        <v>4</v>
      </c>
      <c r="I292" s="1" t="s">
        <v>1360</v>
      </c>
      <c r="J292" s="1" t="n">
        <v>1</v>
      </c>
      <c r="K292" s="1" t="n">
        <v>1</v>
      </c>
      <c r="L292" s="2" t="s">
        <v>1862</v>
      </c>
      <c r="M292" s="2" t="s">
        <v>1362</v>
      </c>
      <c r="N292" s="2" t="s">
        <v>1863</v>
      </c>
      <c r="O292" s="2" t="s">
        <v>1364</v>
      </c>
      <c r="P292" s="2" t="s">
        <v>1536</v>
      </c>
      <c r="Q292" s="1" t="n">
        <v>0</v>
      </c>
      <c r="R292" s="2" t="n">
        <v>129684</v>
      </c>
      <c r="S292" s="2" t="n">
        <v>146070</v>
      </c>
      <c r="T292" s="2" t="n">
        <v>4468</v>
      </c>
      <c r="U292" s="2" t="n">
        <v>134152</v>
      </c>
      <c r="V292" s="2" t="n">
        <v>89.12</v>
      </c>
      <c r="W292" s="2" t="s">
        <v>1360</v>
      </c>
    </row>
    <row r="293" customFormat="false" ht="18.7" hidden="false" customHeight="true" outlineLevel="0" collapsed="false">
      <c r="A293" s="1" t="n">
        <v>292</v>
      </c>
      <c r="B293" s="7" t="str">
        <f aca="false">HYPERLINK("https://mncourtfraud.com/file/27-CR-21-13147.pdf","27-CR-21-13147")</f>
        <v>27-CR-21-13147</v>
      </c>
      <c r="C293" s="1" t="n">
        <v>1</v>
      </c>
      <c r="D293" s="2" t="s">
        <v>12</v>
      </c>
      <c r="E293" s="8" t="n">
        <v>44999</v>
      </c>
      <c r="F293" s="2" t="s">
        <v>17</v>
      </c>
      <c r="G293" s="7" t="str">
        <f aca="false">HYPERLINK("https://mncourtfraud.com/file/MCRO_27-CR-21-13147_Returned Mail_2023-03-14_20251126183709.pdf","MCRO_27-CR-21-13147_Returned Mail_2023-03-14_20251126183709.pdf")</f>
        <v>MCRO_27-CR-21-13147_Returned Mail_2023-03-14_20251126183709.pdf</v>
      </c>
      <c r="H293" s="1" t="n">
        <v>4</v>
      </c>
      <c r="I293" s="1" t="s">
        <v>1360</v>
      </c>
      <c r="J293" s="1" t="n">
        <v>1</v>
      </c>
      <c r="K293" s="1" t="n">
        <v>1</v>
      </c>
      <c r="L293" s="2" t="s">
        <v>1864</v>
      </c>
      <c r="M293" s="2" t="s">
        <v>1362</v>
      </c>
      <c r="N293" s="2" t="s">
        <v>1865</v>
      </c>
      <c r="O293" s="2" t="s">
        <v>1364</v>
      </c>
      <c r="P293" s="2" t="s">
        <v>1800</v>
      </c>
      <c r="Q293" s="1" t="n">
        <v>0</v>
      </c>
      <c r="R293" s="2" t="n">
        <v>243488</v>
      </c>
      <c r="S293" s="2" t="n">
        <v>259874</v>
      </c>
      <c r="T293" s="2" t="n">
        <v>8487</v>
      </c>
      <c r="U293" s="2" t="n">
        <v>251975</v>
      </c>
      <c r="V293" s="2" t="n">
        <v>93.89</v>
      </c>
      <c r="W293" s="2" t="s">
        <v>1360</v>
      </c>
    </row>
    <row r="294" customFormat="false" ht="18.7" hidden="false" customHeight="true" outlineLevel="0" collapsed="false">
      <c r="A294" s="1" t="n">
        <v>293</v>
      </c>
      <c r="B294" s="7" t="str">
        <f aca="false">HYPERLINK("https://mncourtfraud.com/file/27-CR-21-13150.pdf","27-CR-21-13150")</f>
        <v>27-CR-21-13150</v>
      </c>
      <c r="C294" s="1" t="n">
        <v>1</v>
      </c>
      <c r="D294" s="2" t="s">
        <v>12</v>
      </c>
      <c r="E294" s="8" t="n">
        <v>44405</v>
      </c>
      <c r="F294" s="2" t="s">
        <v>145</v>
      </c>
      <c r="G294" s="7" t="str">
        <f aca="false">HYPERLINK("https://mncourtfraud.com/file/MCRO_27-CR-21-13150_Demand or Request for Discovery_2021-07-28_20251126183738.pdf","MCRO_27-CR-21-13150_Demand or Request for Discovery_2021-07-28_20251126183738.pdf")</f>
        <v>MCRO_27-CR-21-13150_Demand or Request for Discovery_2021-07-28_20251126183738.pdf</v>
      </c>
      <c r="H294" s="1" t="n">
        <v>3</v>
      </c>
      <c r="I294" s="1" t="s">
        <v>1360</v>
      </c>
      <c r="J294" s="1" t="n">
        <v>1</v>
      </c>
      <c r="K294" s="1" t="n">
        <v>1</v>
      </c>
      <c r="L294" s="2" t="s">
        <v>1866</v>
      </c>
      <c r="M294" s="2" t="s">
        <v>1362</v>
      </c>
      <c r="N294" s="2" t="s">
        <v>1867</v>
      </c>
      <c r="O294" s="2" t="s">
        <v>1364</v>
      </c>
      <c r="P294" s="2" t="s">
        <v>1803</v>
      </c>
      <c r="Q294" s="1" t="n">
        <v>0</v>
      </c>
      <c r="R294" s="2" t="n">
        <v>294109</v>
      </c>
      <c r="S294" s="2" t="n">
        <v>310495</v>
      </c>
      <c r="T294" s="2" t="n">
        <v>5942</v>
      </c>
      <c r="U294" s="2" t="n">
        <v>300051</v>
      </c>
      <c r="V294" s="2" t="n">
        <v>94.82</v>
      </c>
      <c r="W294" s="2" t="s">
        <v>1360</v>
      </c>
    </row>
    <row r="295" customFormat="false" ht="18.7" hidden="false" customHeight="true" outlineLevel="0" collapsed="false">
      <c r="A295" s="1" t="n">
        <v>294</v>
      </c>
      <c r="B295" s="7" t="str">
        <f aca="false">HYPERLINK("https://mncourtfraud.com/file/27-CR-21-13150.pdf","27-CR-21-13150")</f>
        <v>27-CR-21-13150</v>
      </c>
      <c r="C295" s="1" t="n">
        <v>1</v>
      </c>
      <c r="D295" s="2" t="s">
        <v>12</v>
      </c>
      <c r="E295" s="8" t="n">
        <v>45048</v>
      </c>
      <c r="F295" s="2" t="s">
        <v>80</v>
      </c>
      <c r="G295" s="7" t="str">
        <f aca="false">HYPERLINK("https://mncourtfraud.com/file/MCRO_27-CR-21-13150_Finding of Incompetency and Order_2023-05-02_20251126183749.pdf","MCRO_27-CR-21-13150_Finding of Incompetency and Order_2023-05-02_20251126183749.pdf")</f>
        <v>MCRO_27-CR-21-13150_Finding of Incompetency and Order_2023-05-02_20251126183749.pdf</v>
      </c>
      <c r="H295" s="1" t="n">
        <v>9</v>
      </c>
      <c r="I295" s="1" t="s">
        <v>1366</v>
      </c>
      <c r="J295" s="1" t="n">
        <v>1</v>
      </c>
      <c r="K295" s="1" t="n">
        <v>1</v>
      </c>
      <c r="L295" s="2" t="s">
        <v>1491</v>
      </c>
      <c r="M295" s="2" t="s">
        <v>1492</v>
      </c>
      <c r="N295" s="2" t="s">
        <v>1493</v>
      </c>
      <c r="O295" s="2" t="s">
        <v>1494</v>
      </c>
      <c r="P295" s="2" t="s">
        <v>1495</v>
      </c>
      <c r="Q295" s="1" t="n">
        <v>0</v>
      </c>
      <c r="R295" s="2" t="n">
        <v>100288</v>
      </c>
      <c r="S295" s="2" t="n">
        <v>112370</v>
      </c>
      <c r="T295" s="2" t="n">
        <v>48200</v>
      </c>
      <c r="U295" s="2" t="n">
        <v>148488</v>
      </c>
      <c r="V295" s="2" t="n">
        <v>15.21</v>
      </c>
      <c r="W295" s="2" t="s">
        <v>1366</v>
      </c>
    </row>
    <row r="296" customFormat="false" ht="18.7" hidden="false" customHeight="true" outlineLevel="0" collapsed="false">
      <c r="A296" s="1" t="n">
        <v>295</v>
      </c>
      <c r="B296" s="7" t="str">
        <f aca="false">HYPERLINK("https://mncourtfraud.com/file/27-CR-21-13150.pdf","27-CR-21-13150")</f>
        <v>27-CR-21-13150</v>
      </c>
      <c r="C296" s="1" t="n">
        <v>1</v>
      </c>
      <c r="D296" s="2" t="s">
        <v>12</v>
      </c>
      <c r="E296" s="8" t="n">
        <v>45048</v>
      </c>
      <c r="F296" s="2" t="s">
        <v>80</v>
      </c>
      <c r="G296" s="7" t="str">
        <f aca="false">HYPERLINK("https://mncourtfraud.com/file/MCRO_27-CR-21-13150_Finding of Incompetency and Order_2023-05-02_20251126183749.pdf","MCRO_27-CR-21-13150_Finding of Incompetency and Order_2023-05-02_20251126183749.pdf")</f>
        <v>MCRO_27-CR-21-13150_Finding of Incompetency and Order_2023-05-02_20251126183749.pdf</v>
      </c>
      <c r="H296" s="1" t="n">
        <v>9</v>
      </c>
      <c r="I296" s="1" t="s">
        <v>1366</v>
      </c>
      <c r="J296" s="1" t="n">
        <v>2</v>
      </c>
      <c r="K296" s="1" t="n">
        <v>2</v>
      </c>
      <c r="L296" s="2" t="s">
        <v>1367</v>
      </c>
      <c r="M296" s="2" t="s">
        <v>1496</v>
      </c>
      <c r="N296" s="2" t="s">
        <v>1497</v>
      </c>
      <c r="O296" s="2" t="s">
        <v>1494</v>
      </c>
      <c r="P296" s="2" t="s">
        <v>1498</v>
      </c>
      <c r="Q296" s="1" t="n">
        <v>0</v>
      </c>
      <c r="R296" s="2" t="n">
        <v>160968</v>
      </c>
      <c r="S296" s="2" t="n">
        <v>167974</v>
      </c>
      <c r="T296" s="2" t="n">
        <v>59084</v>
      </c>
      <c r="U296" s="2" t="n">
        <v>220052</v>
      </c>
      <c r="V296" s="2" t="n">
        <v>22.53</v>
      </c>
      <c r="W296" s="2" t="s">
        <v>1366</v>
      </c>
    </row>
    <row r="297" customFormat="false" ht="18.7" hidden="false" customHeight="true" outlineLevel="0" collapsed="false">
      <c r="A297" s="1" t="n">
        <v>296</v>
      </c>
      <c r="B297" s="7" t="str">
        <f aca="false">HYPERLINK("https://mncourtfraud.com/file/27-CR-21-13150.pdf","27-CR-21-13150")</f>
        <v>27-CR-21-13150</v>
      </c>
      <c r="C297" s="1" t="n">
        <v>1</v>
      </c>
      <c r="D297" s="2" t="s">
        <v>12</v>
      </c>
      <c r="E297" s="8" t="n">
        <v>45048</v>
      </c>
      <c r="F297" s="2" t="s">
        <v>80</v>
      </c>
      <c r="G297" s="7" t="str">
        <f aca="false">HYPERLINK("https://mncourtfraud.com/file/MCRO_27-CR-21-13150_Finding of Incompetency and Order_2023-05-02_20251126183749.pdf","MCRO_27-CR-21-13150_Finding of Incompetency and Order_2023-05-02_20251126183749.pdf")</f>
        <v>MCRO_27-CR-21-13150_Finding of Incompetency and Order_2023-05-02_20251126183749.pdf</v>
      </c>
      <c r="H297" s="1" t="n">
        <v>9</v>
      </c>
      <c r="I297" s="1" t="s">
        <v>1366</v>
      </c>
      <c r="J297" s="1" t="n">
        <v>3</v>
      </c>
      <c r="K297" s="1" t="n">
        <v>3</v>
      </c>
      <c r="L297" s="2" t="s">
        <v>1868</v>
      </c>
      <c r="M297" s="2" t="s">
        <v>1362</v>
      </c>
      <c r="N297" s="2" t="s">
        <v>1869</v>
      </c>
      <c r="O297" s="2" t="s">
        <v>1364</v>
      </c>
      <c r="P297" s="2" t="s">
        <v>1501</v>
      </c>
      <c r="Q297" s="1" t="n">
        <v>0</v>
      </c>
      <c r="R297" s="2" t="n">
        <v>954854</v>
      </c>
      <c r="S297" s="2" t="n">
        <v>971240</v>
      </c>
      <c r="T297" s="2" t="n">
        <v>5307</v>
      </c>
      <c r="U297" s="2" t="n">
        <v>960161</v>
      </c>
      <c r="V297" s="2" t="n">
        <v>98.32</v>
      </c>
      <c r="W297" s="2" t="s">
        <v>1360</v>
      </c>
    </row>
    <row r="298" customFormat="false" ht="18.7" hidden="false" customHeight="true" outlineLevel="0" collapsed="false">
      <c r="A298" s="1" t="n">
        <v>297</v>
      </c>
      <c r="B298" s="7" t="str">
        <f aca="false">HYPERLINK("https://mncourtfraud.com/file/27-CR-21-13150.pdf","27-CR-21-13150")</f>
        <v>27-CR-21-13150</v>
      </c>
      <c r="C298" s="1" t="n">
        <v>1</v>
      </c>
      <c r="D298" s="2" t="s">
        <v>12</v>
      </c>
      <c r="E298" s="8" t="n">
        <v>44439</v>
      </c>
      <c r="F298" s="2" t="s">
        <v>19</v>
      </c>
      <c r="G298" s="7" t="str">
        <f aca="false">HYPERLINK("https://mncourtfraud.com/file/MCRO_27-CR-21-13150_Findings and Order_2021-08-31_20251126183809.pdf","MCRO_27-CR-21-13150_Findings and Order_2021-08-31_20251126183809.pdf")</f>
        <v>MCRO_27-CR-21-13150_Findings and Order_2021-08-31_20251126183809.pdf</v>
      </c>
      <c r="H298" s="1" t="n">
        <v>5</v>
      </c>
      <c r="I298" s="1" t="s">
        <v>1366</v>
      </c>
      <c r="J298" s="1" t="n">
        <v>1</v>
      </c>
      <c r="K298" s="1" t="n">
        <v>1</v>
      </c>
      <c r="L298" s="2" t="s">
        <v>1367</v>
      </c>
      <c r="M298" s="2" t="s">
        <v>1368</v>
      </c>
      <c r="N298" s="2" t="s">
        <v>1369</v>
      </c>
      <c r="O298" s="2" t="s">
        <v>1364</v>
      </c>
      <c r="P298" s="2" t="s">
        <v>1370</v>
      </c>
      <c r="Q298" s="1" t="n">
        <v>0</v>
      </c>
      <c r="R298" s="2" t="n">
        <v>129996</v>
      </c>
      <c r="S298" s="2" t="n">
        <v>137690</v>
      </c>
      <c r="T298" s="2" t="n">
        <v>19979</v>
      </c>
      <c r="U298" s="2" t="n">
        <v>149975</v>
      </c>
      <c r="V298" s="2" t="n">
        <v>39.94</v>
      </c>
      <c r="W298" s="2" t="s">
        <v>1366</v>
      </c>
    </row>
    <row r="299" customFormat="false" ht="18.7" hidden="false" customHeight="true" outlineLevel="0" collapsed="false">
      <c r="A299" s="1" t="n">
        <v>298</v>
      </c>
      <c r="B299" s="7" t="str">
        <f aca="false">HYPERLINK("https://mncourtfraud.com/file/27-CR-21-13150.pdf","27-CR-21-13150")</f>
        <v>27-CR-21-13150</v>
      </c>
      <c r="C299" s="1" t="n">
        <v>1</v>
      </c>
      <c r="D299" s="2" t="s">
        <v>12</v>
      </c>
      <c r="E299" s="8" t="n">
        <v>44439</v>
      </c>
      <c r="F299" s="2" t="s">
        <v>19</v>
      </c>
      <c r="G299" s="7" t="str">
        <f aca="false">HYPERLINK("https://mncourtfraud.com/file/MCRO_27-CR-21-13150_Findings and Order_2021-08-31_20251126183809.pdf","MCRO_27-CR-21-13150_Findings and Order_2021-08-31_20251126183809.pdf")</f>
        <v>MCRO_27-CR-21-13150_Findings and Order_2021-08-31_20251126183809.pdf</v>
      </c>
      <c r="H299" s="1" t="n">
        <v>5</v>
      </c>
      <c r="I299" s="1" t="s">
        <v>1366</v>
      </c>
      <c r="J299" s="1" t="n">
        <v>2</v>
      </c>
      <c r="K299" s="1" t="n">
        <v>2</v>
      </c>
      <c r="L299" s="2" t="s">
        <v>1870</v>
      </c>
      <c r="M299" s="2" t="s">
        <v>1362</v>
      </c>
      <c r="N299" s="2" t="s">
        <v>1871</v>
      </c>
      <c r="O299" s="2" t="s">
        <v>1364</v>
      </c>
      <c r="P299" s="2" t="s">
        <v>1373</v>
      </c>
      <c r="Q299" s="1" t="n">
        <v>0</v>
      </c>
      <c r="R299" s="2" t="n">
        <v>354061</v>
      </c>
      <c r="S299" s="2" t="n">
        <v>370447</v>
      </c>
      <c r="T299" s="2" t="n">
        <v>5041</v>
      </c>
      <c r="U299" s="2" t="n">
        <v>359102</v>
      </c>
      <c r="V299" s="2" t="n">
        <v>95.64</v>
      </c>
      <c r="W299" s="2" t="s">
        <v>1360</v>
      </c>
    </row>
    <row r="300" customFormat="false" ht="18.7" hidden="false" customHeight="true" outlineLevel="0" collapsed="false">
      <c r="A300" s="1" t="n">
        <v>299</v>
      </c>
      <c r="B300" s="7" t="str">
        <f aca="false">HYPERLINK("https://mncourtfraud.com/file/27-CR-21-13150.pdf","27-CR-21-13150")</f>
        <v>27-CR-21-13150</v>
      </c>
      <c r="C300" s="1" t="n">
        <v>1</v>
      </c>
      <c r="D300" s="2" t="s">
        <v>12</v>
      </c>
      <c r="E300" s="8" t="n">
        <v>44593</v>
      </c>
      <c r="F300" s="2" t="s">
        <v>19</v>
      </c>
      <c r="G300" s="7" t="str">
        <f aca="false">HYPERLINK("https://mncourtfraud.com/file/MCRO_27-CR-21-13150_Findings and Order_2022-02-01_20251126183801.pdf","MCRO_27-CR-21-13150_Findings and Order_2022-02-01_20251126183801.pdf")</f>
        <v>MCRO_27-CR-21-13150_Findings and Order_2022-02-01_20251126183801.pdf</v>
      </c>
      <c r="H300" s="1" t="n">
        <v>4</v>
      </c>
      <c r="I300" s="1" t="s">
        <v>1360</v>
      </c>
      <c r="J300" s="1" t="n">
        <v>1</v>
      </c>
      <c r="K300" s="1" t="n">
        <v>1</v>
      </c>
      <c r="L300" s="2" t="s">
        <v>1367</v>
      </c>
      <c r="M300" s="2" t="s">
        <v>1368</v>
      </c>
      <c r="N300" s="2" t="s">
        <v>1374</v>
      </c>
      <c r="O300" s="2" t="s">
        <v>1364</v>
      </c>
      <c r="P300" s="2" t="s">
        <v>1375</v>
      </c>
      <c r="Q300" s="1" t="n">
        <v>0</v>
      </c>
      <c r="R300" s="2" t="n">
        <v>163153</v>
      </c>
      <c r="S300" s="2" t="n">
        <v>173205</v>
      </c>
      <c r="T300" s="2" t="n">
        <v>9683</v>
      </c>
      <c r="U300" s="2" t="n">
        <v>172836</v>
      </c>
      <c r="V300" s="2" t="n">
        <v>47.77</v>
      </c>
      <c r="W300" s="2" t="s">
        <v>1366</v>
      </c>
    </row>
    <row r="301" customFormat="false" ht="18.7" hidden="false" customHeight="true" outlineLevel="0" collapsed="false">
      <c r="A301" s="1" t="n">
        <v>300</v>
      </c>
      <c r="B301" s="7" t="str">
        <f aca="false">HYPERLINK("https://mncourtfraud.com/file/27-CR-21-13150.pdf","27-CR-21-13150")</f>
        <v>27-CR-21-13150</v>
      </c>
      <c r="C301" s="1" t="n">
        <v>1</v>
      </c>
      <c r="D301" s="2" t="s">
        <v>12</v>
      </c>
      <c r="E301" s="8" t="n">
        <v>44593</v>
      </c>
      <c r="F301" s="2" t="s">
        <v>19</v>
      </c>
      <c r="G301" s="7" t="str">
        <f aca="false">HYPERLINK("https://mncourtfraud.com/file/MCRO_27-CR-21-13150_Findings and Order_2022-02-01_20251126183801.pdf","MCRO_27-CR-21-13150_Findings and Order_2022-02-01_20251126183801.pdf")</f>
        <v>MCRO_27-CR-21-13150_Findings and Order_2022-02-01_20251126183801.pdf</v>
      </c>
      <c r="H301" s="1" t="n">
        <v>4</v>
      </c>
      <c r="I301" s="1" t="s">
        <v>1360</v>
      </c>
      <c r="J301" s="1" t="n">
        <v>2</v>
      </c>
      <c r="K301" s="1" t="n">
        <v>2</v>
      </c>
      <c r="L301" s="2" t="s">
        <v>1872</v>
      </c>
      <c r="M301" s="2" t="s">
        <v>1362</v>
      </c>
      <c r="N301" s="2" t="s">
        <v>1873</v>
      </c>
      <c r="O301" s="2" t="s">
        <v>1364</v>
      </c>
      <c r="P301" s="2" t="s">
        <v>1378</v>
      </c>
      <c r="Q301" s="1" t="n">
        <v>0</v>
      </c>
      <c r="R301" s="2" t="n">
        <v>340309</v>
      </c>
      <c r="S301" s="2" t="n">
        <v>356695</v>
      </c>
      <c r="T301" s="2" t="n">
        <v>5091</v>
      </c>
      <c r="U301" s="2" t="n">
        <v>345400</v>
      </c>
      <c r="V301" s="2" t="n">
        <v>95.47</v>
      </c>
      <c r="W301" s="2" t="s">
        <v>1360</v>
      </c>
    </row>
    <row r="302" customFormat="false" ht="18.7" hidden="false" customHeight="true" outlineLevel="0" collapsed="false">
      <c r="A302" s="1" t="n">
        <v>301</v>
      </c>
      <c r="B302" s="7" t="str">
        <f aca="false">HYPERLINK("https://mncourtfraud.com/file/27-CR-21-13150.pdf","27-CR-21-13150")</f>
        <v>27-CR-21-13150</v>
      </c>
      <c r="C302" s="1" t="n">
        <v>1</v>
      </c>
      <c r="D302" s="2" t="s">
        <v>12</v>
      </c>
      <c r="E302" s="8" t="n">
        <v>45093</v>
      </c>
      <c r="F302" s="2" t="s">
        <v>82</v>
      </c>
      <c r="G302" s="7" t="str">
        <f aca="false">HYPERLINK("https://mncourtfraud.com/file/MCRO_27-CR-21-13150_Notice of Case Reassignment_2023-06-16_20251126183821.pdf","MCRO_27-CR-21-13150_Notice of Case Reassignment_2023-06-16_20251126183821.pdf")</f>
        <v>MCRO_27-CR-21-13150_Notice of Case Reassignment_2023-06-16_20251126183821.pdf</v>
      </c>
      <c r="H302" s="1" t="n">
        <v>3</v>
      </c>
      <c r="I302" s="1" t="s">
        <v>1360</v>
      </c>
      <c r="J302" s="1" t="n">
        <v>1</v>
      </c>
      <c r="K302" s="1" t="n">
        <v>1</v>
      </c>
      <c r="L302" s="2" t="s">
        <v>1874</v>
      </c>
      <c r="M302" s="2" t="s">
        <v>1362</v>
      </c>
      <c r="N302" s="2" t="s">
        <v>1875</v>
      </c>
      <c r="O302" s="2" t="s">
        <v>1364</v>
      </c>
      <c r="P302" s="2" t="s">
        <v>1508</v>
      </c>
      <c r="Q302" s="1" t="n">
        <v>0</v>
      </c>
      <c r="R302" s="2" t="n">
        <v>92689</v>
      </c>
      <c r="S302" s="2" t="n">
        <v>109075</v>
      </c>
      <c r="T302" s="2" t="n">
        <v>4554</v>
      </c>
      <c r="U302" s="2" t="n">
        <v>97243</v>
      </c>
      <c r="V302" s="2" t="n">
        <v>85.58</v>
      </c>
      <c r="W302" s="2" t="s">
        <v>1360</v>
      </c>
    </row>
    <row r="303" customFormat="false" ht="18.7" hidden="false" customHeight="true" outlineLevel="0" collapsed="false">
      <c r="A303" s="1" t="n">
        <v>302</v>
      </c>
      <c r="B303" s="7" t="str">
        <f aca="false">HYPERLINK("https://mncourtfraud.com/file/27-CR-21-13150.pdf","27-CR-21-13150")</f>
        <v>27-CR-21-13150</v>
      </c>
      <c r="C303" s="1" t="n">
        <v>1</v>
      </c>
      <c r="D303" s="2" t="s">
        <v>12</v>
      </c>
      <c r="E303" s="8" t="n">
        <v>44396</v>
      </c>
      <c r="F303" s="2" t="s">
        <v>15</v>
      </c>
      <c r="G303" s="7" t="str">
        <f aca="false">HYPERLINK("https://mncourtfraud.com/file/MCRO_27-CR-21-13150_Order-Evaluation for Competency to Proceed (Rule 20.01)_2021-07-19_20251126183857.pdf","MCRO_27-CR-21-13150_Order-Evaluation for Competency to Proceed (Rule 20.01)_2021-07-19_20251126183857.pdf")</f>
        <v>MCRO_27-CR-21-13150_Order-Evaluation for Competency to Proceed (Rule 20.01)_2021-07-19_20251126183857.pdf</v>
      </c>
      <c r="H303" s="1" t="n">
        <v>4</v>
      </c>
      <c r="I303" s="1" t="s">
        <v>1360</v>
      </c>
      <c r="J303" s="1" t="n">
        <v>1</v>
      </c>
      <c r="K303" s="1" t="n">
        <v>1</v>
      </c>
      <c r="L303" s="2" t="s">
        <v>1876</v>
      </c>
      <c r="M303" s="2" t="s">
        <v>1362</v>
      </c>
      <c r="N303" s="2" t="s">
        <v>1877</v>
      </c>
      <c r="O303" s="2" t="s">
        <v>1364</v>
      </c>
      <c r="P303" s="2" t="s">
        <v>1390</v>
      </c>
      <c r="Q303" s="1" t="n">
        <v>0</v>
      </c>
      <c r="R303" s="2" t="n">
        <v>171019</v>
      </c>
      <c r="S303" s="2" t="n">
        <v>187405</v>
      </c>
      <c r="T303" s="2" t="n">
        <v>8533</v>
      </c>
      <c r="U303" s="2" t="n">
        <v>179552</v>
      </c>
      <c r="V303" s="2" t="n">
        <v>91.64</v>
      </c>
      <c r="W303" s="2" t="s">
        <v>1360</v>
      </c>
    </row>
    <row r="304" customFormat="false" ht="18.7" hidden="false" customHeight="true" outlineLevel="0" collapsed="false">
      <c r="A304" s="1" t="n">
        <v>303</v>
      </c>
      <c r="B304" s="7" t="str">
        <f aca="false">HYPERLINK("https://mncourtfraud.com/file/27-CR-21-13150.pdf","27-CR-21-13150")</f>
        <v>27-CR-21-13150</v>
      </c>
      <c r="C304" s="1" t="n">
        <v>1</v>
      </c>
      <c r="D304" s="2" t="s">
        <v>12</v>
      </c>
      <c r="E304" s="8" t="n">
        <v>44543</v>
      </c>
      <c r="F304" s="2" t="s">
        <v>15</v>
      </c>
      <c r="G304" s="7" t="str">
        <f aca="false">HYPERLINK("https://mncourtfraud.com/file/MCRO_27-CR-21-13150_Order-Evaluation for Competency to Proceed (Rule 20.01)_2021-12-13_20251126183906.pdf","MCRO_27-CR-21-13150_Order-Evaluation for Competency to Proceed (Rule 20.01)_2021-12-13_20251126183906.pdf")</f>
        <v>MCRO_27-CR-21-13150_Order-Evaluation for Competency to Proceed (Rule 20.01)_2021-12-13_20251126183906.pdf</v>
      </c>
      <c r="H304" s="1" t="n">
        <v>3</v>
      </c>
      <c r="I304" s="1" t="s">
        <v>1360</v>
      </c>
      <c r="J304" s="1" t="n">
        <v>1</v>
      </c>
      <c r="K304" s="1" t="n">
        <v>1</v>
      </c>
      <c r="L304" s="2" t="s">
        <v>1878</v>
      </c>
      <c r="M304" s="2" t="s">
        <v>1362</v>
      </c>
      <c r="N304" s="2" t="s">
        <v>1879</v>
      </c>
      <c r="O304" s="2" t="s">
        <v>1364</v>
      </c>
      <c r="P304" s="2" t="s">
        <v>1393</v>
      </c>
      <c r="Q304" s="1" t="n">
        <v>0</v>
      </c>
      <c r="R304" s="2" t="n">
        <v>212321</v>
      </c>
      <c r="S304" s="2" t="n">
        <v>228707</v>
      </c>
      <c r="T304" s="2" t="n">
        <v>5135</v>
      </c>
      <c r="U304" s="2" t="n">
        <v>217456</v>
      </c>
      <c r="V304" s="2" t="n">
        <v>92.99</v>
      </c>
      <c r="W304" s="2" t="s">
        <v>1360</v>
      </c>
    </row>
    <row r="305" customFormat="false" ht="18.7" hidden="false" customHeight="true" outlineLevel="0" collapsed="false">
      <c r="A305" s="1" t="n">
        <v>304</v>
      </c>
      <c r="B305" s="7" t="str">
        <f aca="false">HYPERLINK("https://mncourtfraud.com/file/27-CR-21-13150.pdf","27-CR-21-13150")</f>
        <v>27-CR-21-13150</v>
      </c>
      <c r="C305" s="1" t="n">
        <v>1</v>
      </c>
      <c r="D305" s="2" t="s">
        <v>12</v>
      </c>
      <c r="E305" s="8" t="n">
        <v>44558</v>
      </c>
      <c r="F305" s="2" t="s">
        <v>15</v>
      </c>
      <c r="G305" s="7" t="str">
        <f aca="false">HYPERLINK("https://mncourtfraud.com/file/MCRO_27-CR-21-13150_Order-Evaluation for Competency to Proceed (Rule 20.01)_2021-12-28_20251126183913.pdf","MCRO_27-CR-21-13150_Order-Evaluation for Competency to Proceed (Rule 20.01)_2021-12-28_20251126183913.pdf")</f>
        <v>MCRO_27-CR-21-13150_Order-Evaluation for Competency to Proceed (Rule 20.01)_2021-12-28_20251126183913.pdf</v>
      </c>
      <c r="H305" s="1" t="n">
        <v>4</v>
      </c>
      <c r="I305" s="1" t="s">
        <v>1360</v>
      </c>
      <c r="J305" s="1" t="n">
        <v>1</v>
      </c>
      <c r="K305" s="1" t="n">
        <v>1</v>
      </c>
      <c r="L305" s="2" t="s">
        <v>1880</v>
      </c>
      <c r="M305" s="2" t="s">
        <v>1362</v>
      </c>
      <c r="N305" s="2" t="s">
        <v>1881</v>
      </c>
      <c r="O305" s="2" t="s">
        <v>1364</v>
      </c>
      <c r="P305" s="2" t="s">
        <v>1396</v>
      </c>
      <c r="Q305" s="1" t="n">
        <v>0</v>
      </c>
      <c r="R305" s="2" t="n">
        <v>217794</v>
      </c>
      <c r="S305" s="2" t="n">
        <v>234180</v>
      </c>
      <c r="T305" s="2" t="n">
        <v>8578</v>
      </c>
      <c r="U305" s="2" t="n">
        <v>226372</v>
      </c>
      <c r="V305" s="2" t="n">
        <v>93.25</v>
      </c>
      <c r="W305" s="2" t="s">
        <v>1360</v>
      </c>
    </row>
    <row r="306" customFormat="false" ht="18.7" hidden="false" customHeight="true" outlineLevel="0" collapsed="false">
      <c r="A306" s="1" t="n">
        <v>305</v>
      </c>
      <c r="B306" s="7" t="str">
        <f aca="false">HYPERLINK("https://mncourtfraud.com/file/27-CR-21-13150.pdf","27-CR-21-13150")</f>
        <v>27-CR-21-13150</v>
      </c>
      <c r="C306" s="1" t="n">
        <v>1</v>
      </c>
      <c r="D306" s="2" t="s">
        <v>12</v>
      </c>
      <c r="E306" s="8" t="n">
        <v>44692</v>
      </c>
      <c r="F306" s="2" t="s">
        <v>15</v>
      </c>
      <c r="G306" s="7" t="str">
        <f aca="false">HYPERLINK("https://mncourtfraud.com/file/MCRO_27-CR-21-13150_Order-Evaluation for Competency to Proceed (Rule 20.01)_2022-05-11_20251126183920.pdf","MCRO_27-CR-21-13150_Order-Evaluation for Competency to Proceed (Rule 20.01)_2022-05-11_20251126183920.pdf")</f>
        <v>MCRO_27-CR-21-13150_Order-Evaluation for Competency to Proceed (Rule 20.01)_2022-05-11_20251126183920.pdf</v>
      </c>
      <c r="H306" s="1" t="n">
        <v>3</v>
      </c>
      <c r="I306" s="1" t="s">
        <v>1360</v>
      </c>
      <c r="J306" s="1" t="n">
        <v>1</v>
      </c>
      <c r="K306" s="1" t="n">
        <v>1</v>
      </c>
      <c r="L306" s="2" t="s">
        <v>1882</v>
      </c>
      <c r="M306" s="2" t="s">
        <v>1362</v>
      </c>
      <c r="N306" s="2" t="s">
        <v>1883</v>
      </c>
      <c r="O306" s="2" t="s">
        <v>1364</v>
      </c>
      <c r="P306" s="2" t="s">
        <v>1399</v>
      </c>
      <c r="Q306" s="1" t="n">
        <v>0</v>
      </c>
      <c r="R306" s="2" t="n">
        <v>218705</v>
      </c>
      <c r="S306" s="2" t="n">
        <v>235091</v>
      </c>
      <c r="T306" s="2" t="n">
        <v>4728</v>
      </c>
      <c r="U306" s="2" t="n">
        <v>223433</v>
      </c>
      <c r="V306" s="2" t="n">
        <v>93.17</v>
      </c>
      <c r="W306" s="2" t="s">
        <v>1360</v>
      </c>
    </row>
    <row r="307" customFormat="false" ht="18.7" hidden="false" customHeight="true" outlineLevel="0" collapsed="false">
      <c r="A307" s="1" t="n">
        <v>306</v>
      </c>
      <c r="B307" s="7" t="str">
        <f aca="false">HYPERLINK("https://mncourtfraud.com/file/27-CR-21-13150.pdf","27-CR-21-13150")</f>
        <v>27-CR-21-13150</v>
      </c>
      <c r="C307" s="1" t="n">
        <v>1</v>
      </c>
      <c r="D307" s="2" t="s">
        <v>12</v>
      </c>
      <c r="E307" s="8" t="n">
        <v>44895</v>
      </c>
      <c r="F307" s="2" t="s">
        <v>15</v>
      </c>
      <c r="G307" s="7" t="str">
        <f aca="false">HYPERLINK("https://mncourtfraud.com/file/MCRO_27-CR-21-13150_Order-Evaluation for Competency to Proceed (Rule 20.01)_2022-11-30_20251126183927.pdf","MCRO_27-CR-21-13150_Order-Evaluation for Competency to Proceed (Rule 20.01)_2022-11-30_20251126183927.pdf")</f>
        <v>MCRO_27-CR-21-13150_Order-Evaluation for Competency to Proceed (Rule 20.01)_2022-11-30_20251126183927.pdf</v>
      </c>
      <c r="H307" s="1" t="n">
        <v>4</v>
      </c>
      <c r="I307" s="1" t="s">
        <v>1360</v>
      </c>
      <c r="J307" s="1" t="n">
        <v>1</v>
      </c>
      <c r="K307" s="1" t="n">
        <v>1</v>
      </c>
      <c r="L307" s="2" t="s">
        <v>1884</v>
      </c>
      <c r="M307" s="2" t="s">
        <v>1362</v>
      </c>
      <c r="N307" s="2" t="s">
        <v>1885</v>
      </c>
      <c r="O307" s="2" t="s">
        <v>1364</v>
      </c>
      <c r="P307" s="2" t="s">
        <v>1402</v>
      </c>
      <c r="Q307" s="1" t="n">
        <v>0</v>
      </c>
      <c r="R307" s="2" t="n">
        <v>795532</v>
      </c>
      <c r="S307" s="2" t="n">
        <v>811918</v>
      </c>
      <c r="T307" s="2" t="n">
        <v>5081</v>
      </c>
      <c r="U307" s="2" t="n">
        <v>800613</v>
      </c>
      <c r="V307" s="2" t="n">
        <v>97.99</v>
      </c>
      <c r="W307" s="2" t="s">
        <v>1360</v>
      </c>
    </row>
    <row r="308" customFormat="false" ht="18.7" hidden="false" customHeight="true" outlineLevel="0" collapsed="false">
      <c r="A308" s="1" t="n">
        <v>307</v>
      </c>
      <c r="B308" s="7" t="str">
        <f aca="false">HYPERLINK("https://mncourtfraud.com/file/27-CR-21-13150.pdf","27-CR-21-13150")</f>
        <v>27-CR-21-13150</v>
      </c>
      <c r="C308" s="1" t="n">
        <v>1</v>
      </c>
      <c r="D308" s="2" t="s">
        <v>12</v>
      </c>
      <c r="E308" s="8" t="n">
        <v>45160</v>
      </c>
      <c r="F308" s="2" t="s">
        <v>15</v>
      </c>
      <c r="G308" s="7" t="str">
        <f aca="false">HYPERLINK("https://mncourtfraud.com/file/MCRO_27-CR-21-13150_Order-Evaluation for Competency to Proceed (Rule 20.01)_2023-08-22_20251126183934.pdf","MCRO_27-CR-21-13150_Order-Evaluation for Competency to Proceed (Rule 20.01)_2023-08-22_20251126183934.pdf")</f>
        <v>MCRO_27-CR-21-13150_Order-Evaluation for Competency to Proceed (Rule 20.01)_2023-08-22_20251126183934.pdf</v>
      </c>
      <c r="H308" s="1" t="n">
        <v>6</v>
      </c>
      <c r="I308" s="1" t="s">
        <v>1366</v>
      </c>
      <c r="J308" s="1" t="n">
        <v>1</v>
      </c>
      <c r="K308" s="1" t="n">
        <v>1</v>
      </c>
      <c r="L308" s="2" t="s">
        <v>1367</v>
      </c>
      <c r="M308" s="2" t="s">
        <v>1519</v>
      </c>
      <c r="N308" s="2" t="s">
        <v>1520</v>
      </c>
      <c r="O308" s="2" t="s">
        <v>1494</v>
      </c>
      <c r="P308" s="2" t="s">
        <v>1521</v>
      </c>
      <c r="Q308" s="1" t="n">
        <v>0</v>
      </c>
      <c r="R308" s="2" t="n">
        <v>122115</v>
      </c>
      <c r="S308" s="2" t="n">
        <v>129143</v>
      </c>
      <c r="T308" s="2" t="n">
        <v>87775</v>
      </c>
      <c r="U308" s="2" t="n">
        <v>209890</v>
      </c>
      <c r="V308" s="2" t="n">
        <v>23.95</v>
      </c>
      <c r="W308" s="2" t="s">
        <v>1366</v>
      </c>
    </row>
    <row r="309" customFormat="false" ht="18.7" hidden="false" customHeight="true" outlineLevel="0" collapsed="false">
      <c r="A309" s="1" t="n">
        <v>308</v>
      </c>
      <c r="B309" s="7" t="str">
        <f aca="false">HYPERLINK("https://mncourtfraud.com/file/27-CR-21-13150.pdf","27-CR-21-13150")</f>
        <v>27-CR-21-13150</v>
      </c>
      <c r="C309" s="1" t="n">
        <v>1</v>
      </c>
      <c r="D309" s="2" t="s">
        <v>12</v>
      </c>
      <c r="E309" s="8" t="n">
        <v>45160</v>
      </c>
      <c r="F309" s="2" t="s">
        <v>15</v>
      </c>
      <c r="G309" s="7" t="str">
        <f aca="false">HYPERLINK("https://mncourtfraud.com/file/MCRO_27-CR-21-13150_Order-Evaluation for Competency to Proceed (Rule 20.01)_2023-08-22_20251126183934.pdf","MCRO_27-CR-21-13150_Order-Evaluation for Competency to Proceed (Rule 20.01)_2023-08-22_20251126183934.pdf")</f>
        <v>MCRO_27-CR-21-13150_Order-Evaluation for Competency to Proceed (Rule 20.01)_2023-08-22_20251126183934.pdf</v>
      </c>
      <c r="H309" s="1" t="n">
        <v>6</v>
      </c>
      <c r="I309" s="1" t="s">
        <v>1366</v>
      </c>
      <c r="J309" s="1" t="n">
        <v>2</v>
      </c>
      <c r="K309" s="1" t="n">
        <v>2</v>
      </c>
      <c r="L309" s="2" t="s">
        <v>1886</v>
      </c>
      <c r="M309" s="2" t="s">
        <v>1362</v>
      </c>
      <c r="N309" s="2" t="s">
        <v>1887</v>
      </c>
      <c r="O309" s="2" t="s">
        <v>1364</v>
      </c>
      <c r="P309" s="2" t="s">
        <v>1524</v>
      </c>
      <c r="Q309" s="1" t="n">
        <v>0</v>
      </c>
      <c r="R309" s="2" t="n">
        <v>855045</v>
      </c>
      <c r="S309" s="2" t="n">
        <v>871431</v>
      </c>
      <c r="T309" s="2" t="n">
        <v>4973</v>
      </c>
      <c r="U309" s="2" t="n">
        <v>860018</v>
      </c>
      <c r="V309" s="2" t="n">
        <v>98.13</v>
      </c>
      <c r="W309" s="2" t="s">
        <v>1360</v>
      </c>
    </row>
    <row r="310" customFormat="false" ht="18.7" hidden="false" customHeight="true" outlineLevel="0" collapsed="false">
      <c r="A310" s="1" t="n">
        <v>309</v>
      </c>
      <c r="B310" s="7" t="str">
        <f aca="false">HYPERLINK("https://mncourtfraud.com/file/27-CR-21-13150.pdf","27-CR-21-13150")</f>
        <v>27-CR-21-13150</v>
      </c>
      <c r="C310" s="1" t="n">
        <v>1</v>
      </c>
      <c r="D310" s="2" t="s">
        <v>12</v>
      </c>
      <c r="E310" s="8" t="n">
        <v>45412</v>
      </c>
      <c r="F310" s="2" t="s">
        <v>15</v>
      </c>
      <c r="G310" s="7" t="str">
        <f aca="false">HYPERLINK("https://mncourtfraud.com/file/MCRO_27-CR-21-13150_Order-Evaluation for Competency to Proceed (Rule 20.01)_2024-04-30_20251126183942.pdf","MCRO_27-CR-21-13150_Order-Evaluation for Competency to Proceed (Rule 20.01)_2024-04-30_20251126183942.pdf")</f>
        <v>MCRO_27-CR-21-13150_Order-Evaluation for Competency to Proceed (Rule 20.01)_2024-04-30_20251126183942.pdf</v>
      </c>
      <c r="H310" s="1" t="n">
        <v>4</v>
      </c>
      <c r="I310" s="1" t="s">
        <v>1360</v>
      </c>
      <c r="J310" s="1" t="n">
        <v>1</v>
      </c>
      <c r="K310" s="1" t="n">
        <v>1</v>
      </c>
      <c r="L310" s="2" t="s">
        <v>1888</v>
      </c>
      <c r="M310" s="2" t="s">
        <v>1362</v>
      </c>
      <c r="N310" s="2" t="s">
        <v>1889</v>
      </c>
      <c r="O310" s="2" t="s">
        <v>1364</v>
      </c>
      <c r="P310" s="2" t="s">
        <v>1390</v>
      </c>
      <c r="Q310" s="1" t="n">
        <v>0</v>
      </c>
      <c r="R310" s="2" t="n">
        <v>198657</v>
      </c>
      <c r="S310" s="2" t="n">
        <v>215043</v>
      </c>
      <c r="T310" s="2" t="n">
        <v>4474</v>
      </c>
      <c r="U310" s="2" t="n">
        <v>203131</v>
      </c>
      <c r="V310" s="2" t="n">
        <v>92.54</v>
      </c>
      <c r="W310" s="2" t="s">
        <v>1360</v>
      </c>
    </row>
    <row r="311" customFormat="false" ht="18.7" hidden="false" customHeight="true" outlineLevel="0" collapsed="false">
      <c r="A311" s="1" t="n">
        <v>310</v>
      </c>
      <c r="B311" s="7" t="str">
        <f aca="false">HYPERLINK("https://mncourtfraud.com/file/27-CR-21-13150.pdf","27-CR-21-13150")</f>
        <v>27-CR-21-13150</v>
      </c>
      <c r="C311" s="1" t="n">
        <v>1</v>
      </c>
      <c r="D311" s="2" t="s">
        <v>12</v>
      </c>
      <c r="E311" s="8" t="n">
        <v>44460</v>
      </c>
      <c r="F311" s="2" t="s">
        <v>24</v>
      </c>
      <c r="G311" s="7" t="str">
        <f aca="false">HYPERLINK("https://mncourtfraud.com/file/MCRO_27-CR-21-13150_Order for Conditional Release_2021-09-21_20251126183841.pdf","MCRO_27-CR-21-13150_Order for Conditional Release_2021-09-21_20251126183841.pdf")</f>
        <v>MCRO_27-CR-21-13150_Order for Conditional Release_2021-09-21_20251126183841.pdf</v>
      </c>
      <c r="H311" s="1" t="n">
        <v>4</v>
      </c>
      <c r="I311" s="1" t="s">
        <v>1360</v>
      </c>
      <c r="J311" s="1" t="n">
        <v>1</v>
      </c>
      <c r="K311" s="1" t="n">
        <v>1</v>
      </c>
      <c r="L311" s="2" t="s">
        <v>1890</v>
      </c>
      <c r="M311" s="2" t="s">
        <v>1362</v>
      </c>
      <c r="N311" s="2" t="s">
        <v>1891</v>
      </c>
      <c r="O311" s="2" t="s">
        <v>1364</v>
      </c>
      <c r="P311" s="2" t="s">
        <v>1405</v>
      </c>
      <c r="Q311" s="1" t="n">
        <v>0</v>
      </c>
      <c r="R311" s="2" t="n">
        <v>84990</v>
      </c>
      <c r="S311" s="2" t="n">
        <v>101376</v>
      </c>
      <c r="T311" s="2" t="n">
        <v>4472</v>
      </c>
      <c r="U311" s="2" t="n">
        <v>89462</v>
      </c>
      <c r="V311" s="2" t="n">
        <v>84.52</v>
      </c>
      <c r="W311" s="2" t="s">
        <v>1360</v>
      </c>
    </row>
    <row r="312" customFormat="false" ht="18.7" hidden="false" customHeight="true" outlineLevel="0" collapsed="false">
      <c r="A312" s="1" t="n">
        <v>311</v>
      </c>
      <c r="B312" s="7" t="str">
        <f aca="false">HYPERLINK("https://mncourtfraud.com/file/27-CR-21-13150.pdf","27-CR-21-13150")</f>
        <v>27-CR-21-13150</v>
      </c>
      <c r="C312" s="1" t="n">
        <v>1</v>
      </c>
      <c r="D312" s="2" t="s">
        <v>12</v>
      </c>
      <c r="E312" s="8" t="n">
        <v>44468</v>
      </c>
      <c r="F312" s="2" t="s">
        <v>24</v>
      </c>
      <c r="G312" s="7" t="str">
        <f aca="false">HYPERLINK("https://mncourtfraud.com/file/MCRO_27-CR-21-13150_Order for Conditional Release_2021-09-29_20251126183846.pdf","MCRO_27-CR-21-13150_Order for Conditional Release_2021-09-29_20251126183846.pdf")</f>
        <v>MCRO_27-CR-21-13150_Order for Conditional Release_2021-09-29_20251126183846.pdf</v>
      </c>
      <c r="H312" s="1" t="n">
        <v>4</v>
      </c>
      <c r="I312" s="1" t="s">
        <v>1360</v>
      </c>
      <c r="J312" s="1" t="n">
        <v>1</v>
      </c>
      <c r="K312" s="1" t="n">
        <v>1</v>
      </c>
      <c r="L312" s="2" t="s">
        <v>1892</v>
      </c>
      <c r="M312" s="2" t="s">
        <v>1362</v>
      </c>
      <c r="N312" s="2" t="s">
        <v>1893</v>
      </c>
      <c r="O312" s="2" t="s">
        <v>1364</v>
      </c>
      <c r="P312" s="2" t="s">
        <v>1408</v>
      </c>
      <c r="Q312" s="1" t="n">
        <v>0</v>
      </c>
      <c r="R312" s="2" t="n">
        <v>130451</v>
      </c>
      <c r="S312" s="2" t="n">
        <v>146837</v>
      </c>
      <c r="T312" s="2" t="n">
        <v>4975</v>
      </c>
      <c r="U312" s="2" t="n">
        <v>135426</v>
      </c>
      <c r="V312" s="2" t="n">
        <v>89.21</v>
      </c>
      <c r="W312" s="2" t="s">
        <v>1360</v>
      </c>
    </row>
    <row r="313" customFormat="false" ht="18.7" hidden="false" customHeight="true" outlineLevel="0" collapsed="false">
      <c r="A313" s="1" t="n">
        <v>312</v>
      </c>
      <c r="B313" s="7" t="str">
        <f aca="false">HYPERLINK("https://mncourtfraud.com/file/27-CR-21-13150.pdf","27-CR-21-13150")</f>
        <v>27-CR-21-13150</v>
      </c>
      <c r="C313" s="1" t="n">
        <v>1</v>
      </c>
      <c r="D313" s="2" t="s">
        <v>12</v>
      </c>
      <c r="E313" s="8" t="n">
        <v>45412</v>
      </c>
      <c r="F313" s="2" t="s">
        <v>24</v>
      </c>
      <c r="G313" s="7" t="str">
        <f aca="false">HYPERLINK("https://mncourtfraud.com/file/MCRO_27-CR-21-13150_Order for Conditional Release_2024-04-30_20251126183833.pdf","MCRO_27-CR-21-13150_Order for Conditional Release_2024-04-30_20251126183833.pdf")</f>
        <v>MCRO_27-CR-21-13150_Order for Conditional Release_2024-04-30_20251126183833.pdf</v>
      </c>
      <c r="H313" s="1" t="n">
        <v>4</v>
      </c>
      <c r="I313" s="1" t="s">
        <v>1360</v>
      </c>
      <c r="J313" s="1" t="n">
        <v>1</v>
      </c>
      <c r="K313" s="1" t="n">
        <v>1</v>
      </c>
      <c r="L313" s="2" t="s">
        <v>1894</v>
      </c>
      <c r="M313" s="2" t="s">
        <v>1362</v>
      </c>
      <c r="N313" s="2" t="s">
        <v>1895</v>
      </c>
      <c r="O313" s="2" t="s">
        <v>1364</v>
      </c>
      <c r="P313" s="2" t="s">
        <v>1536</v>
      </c>
      <c r="Q313" s="1" t="n">
        <v>0</v>
      </c>
      <c r="R313" s="2" t="n">
        <v>129679</v>
      </c>
      <c r="S313" s="2" t="n">
        <v>146065</v>
      </c>
      <c r="T313" s="2" t="n">
        <v>4468</v>
      </c>
      <c r="U313" s="2" t="n">
        <v>134147</v>
      </c>
      <c r="V313" s="2" t="n">
        <v>89.11</v>
      </c>
      <c r="W313" s="2" t="s">
        <v>1360</v>
      </c>
    </row>
    <row r="314" customFormat="false" ht="18.7" hidden="false" customHeight="true" outlineLevel="0" collapsed="false">
      <c r="A314" s="1" t="n">
        <v>313</v>
      </c>
      <c r="B314" s="7" t="str">
        <f aca="false">HYPERLINK("https://mncourtfraud.com/file/27-CR-21-13526.pdf","27-CR-21-13526")</f>
        <v>27-CR-21-13526</v>
      </c>
      <c r="C314" s="1" t="n">
        <v>5</v>
      </c>
      <c r="D314" s="2" t="s">
        <v>267</v>
      </c>
      <c r="E314" s="8" t="n">
        <v>44873</v>
      </c>
      <c r="F314" s="2" t="s">
        <v>15</v>
      </c>
      <c r="G314" s="7" t="str">
        <f aca="false">HYPERLINK("https://mncourtfraud.com/file/MCRO_27-CR-21-13526_Order-Evaluation for Competency to Proceed (Rule 20.01)_2022-11-08_20251126164716.pdf","MCRO_27-CR-21-13526_Order-Evaluation for Competency to Proceed (Rule 20.01)_2022-11-08_20251126164716.pdf")</f>
        <v>MCRO_27-CR-21-13526_Order-Evaluation for Competency to Proceed (Rule 20.01)_2022-11-08_20251126164716.pdf</v>
      </c>
      <c r="H314" s="1" t="n">
        <v>4</v>
      </c>
      <c r="I314" s="1" t="s">
        <v>1360</v>
      </c>
      <c r="J314" s="1" t="n">
        <v>1</v>
      </c>
      <c r="K314" s="1" t="n">
        <v>1</v>
      </c>
      <c r="L314" s="2" t="s">
        <v>1896</v>
      </c>
      <c r="M314" s="2" t="s">
        <v>1362</v>
      </c>
      <c r="N314" s="2" t="s">
        <v>1897</v>
      </c>
      <c r="O314" s="2" t="s">
        <v>1364</v>
      </c>
      <c r="P314" s="2" t="s">
        <v>1390</v>
      </c>
      <c r="Q314" s="1" t="n">
        <v>0</v>
      </c>
      <c r="R314" s="2" t="n">
        <v>825185</v>
      </c>
      <c r="S314" s="2" t="n">
        <v>841571</v>
      </c>
      <c r="T314" s="2" t="n">
        <v>4525</v>
      </c>
      <c r="U314" s="2" t="n">
        <v>829710</v>
      </c>
      <c r="V314" s="2" t="n">
        <v>98.06</v>
      </c>
      <c r="W314" s="2" t="s">
        <v>1360</v>
      </c>
    </row>
    <row r="315" customFormat="false" ht="18.7" hidden="false" customHeight="true" outlineLevel="0" collapsed="false">
      <c r="A315" s="1" t="n">
        <v>314</v>
      </c>
      <c r="B315" s="7" t="str">
        <f aca="false">HYPERLINK("https://mncourtfraud.com/file/27-CR-21-13526.pdf","27-CR-21-13526")</f>
        <v>27-CR-21-13526</v>
      </c>
      <c r="C315" s="1" t="n">
        <v>5</v>
      </c>
      <c r="D315" s="2" t="s">
        <v>267</v>
      </c>
      <c r="E315" s="8" t="n">
        <v>45023</v>
      </c>
      <c r="F315" s="2" t="s">
        <v>15</v>
      </c>
      <c r="G315" s="7" t="str">
        <f aca="false">HYPERLINK("https://mncourtfraud.com/file/MCRO_27-CR-21-13526_Order-Evaluation for Competency to Proceed (Rule 20.01)_2023-04-07_20251126164730.pdf","MCRO_27-CR-21-13526_Order-Evaluation for Competency to Proceed (Rule 20.01)_2023-04-07_20251126164730.pdf")</f>
        <v>MCRO_27-CR-21-13526_Order-Evaluation for Competency to Proceed (Rule 20.01)_2023-04-07_20251126164730.pdf</v>
      </c>
      <c r="H315" s="1" t="n">
        <v>4</v>
      </c>
      <c r="I315" s="1" t="s">
        <v>1360</v>
      </c>
      <c r="J315" s="1" t="n">
        <v>1</v>
      </c>
      <c r="K315" s="1" t="n">
        <v>1</v>
      </c>
      <c r="L315" s="2" t="s">
        <v>1898</v>
      </c>
      <c r="M315" s="2" t="s">
        <v>1362</v>
      </c>
      <c r="N315" s="2" t="s">
        <v>1899</v>
      </c>
      <c r="O315" s="2" t="s">
        <v>1364</v>
      </c>
      <c r="P315" s="2" t="s">
        <v>1384</v>
      </c>
      <c r="Q315" s="1" t="n">
        <v>0</v>
      </c>
      <c r="R315" s="2" t="n">
        <v>1103514</v>
      </c>
      <c r="S315" s="2" t="n">
        <v>1119900</v>
      </c>
      <c r="T315" s="2" t="n">
        <v>8533</v>
      </c>
      <c r="U315" s="2" t="n">
        <v>1112047</v>
      </c>
      <c r="V315" s="2" t="n">
        <v>98.55</v>
      </c>
      <c r="W315" s="2" t="s">
        <v>1360</v>
      </c>
    </row>
    <row r="316" customFormat="false" ht="18.7" hidden="false" customHeight="true" outlineLevel="0" collapsed="false">
      <c r="A316" s="1" t="n">
        <v>315</v>
      </c>
      <c r="B316" s="7" t="str">
        <f aca="false">HYPERLINK("https://mncourtfraud.com/file/27-CR-21-13526.pdf","27-CR-21-13526")</f>
        <v>27-CR-21-13526</v>
      </c>
      <c r="C316" s="1" t="n">
        <v>5</v>
      </c>
      <c r="D316" s="2" t="s">
        <v>267</v>
      </c>
      <c r="E316" s="8" t="n">
        <v>45194</v>
      </c>
      <c r="F316" s="2" t="s">
        <v>15</v>
      </c>
      <c r="G316" s="7" t="str">
        <f aca="false">HYPERLINK("https://mncourtfraud.com/file/MCRO_27-CR-21-13526_Order-Evaluation for Competency to Proceed (Rule 20.01)_2023-09-25_20251126164657.pdf","MCRO_27-CR-21-13526_Order-Evaluation for Competency to Proceed (Rule 20.01)_2023-09-25_20251126164657.pdf")</f>
        <v>MCRO_27-CR-21-13526_Order-Evaluation for Competency to Proceed (Rule 20.01)_2023-09-25_20251126164657.pdf</v>
      </c>
      <c r="H316" s="1" t="n">
        <v>4</v>
      </c>
      <c r="I316" s="1" t="s">
        <v>1360</v>
      </c>
      <c r="J316" s="1" t="n">
        <v>1</v>
      </c>
      <c r="K316" s="1" t="n">
        <v>1</v>
      </c>
      <c r="L316" s="2" t="s">
        <v>1900</v>
      </c>
      <c r="M316" s="2" t="s">
        <v>1362</v>
      </c>
      <c r="N316" s="2" t="s">
        <v>1901</v>
      </c>
      <c r="O316" s="2" t="s">
        <v>1364</v>
      </c>
      <c r="P316" s="2" t="s">
        <v>1536</v>
      </c>
      <c r="Q316" s="1" t="n">
        <v>0</v>
      </c>
      <c r="R316" s="2" t="n">
        <v>145787</v>
      </c>
      <c r="S316" s="2" t="n">
        <v>162173</v>
      </c>
      <c r="T316" s="2" t="n">
        <v>4468</v>
      </c>
      <c r="U316" s="2" t="n">
        <v>150255</v>
      </c>
      <c r="V316" s="2" t="n">
        <v>90.17</v>
      </c>
      <c r="W316" s="2" t="s">
        <v>1360</v>
      </c>
    </row>
    <row r="317" customFormat="false" ht="18.7" hidden="false" customHeight="true" outlineLevel="0" collapsed="false">
      <c r="A317" s="1" t="n">
        <v>316</v>
      </c>
      <c r="B317" s="7" t="str">
        <f aca="false">HYPERLINK("https://mncourtfraud.com/file/27-CR-21-13526.pdf","27-CR-21-13526")</f>
        <v>27-CR-21-13526</v>
      </c>
      <c r="C317" s="1" t="n">
        <v>5</v>
      </c>
      <c r="D317" s="2" t="s">
        <v>267</v>
      </c>
      <c r="E317" s="8" t="n">
        <v>44733</v>
      </c>
      <c r="F317" s="2" t="s">
        <v>17</v>
      </c>
      <c r="G317" s="7" t="str">
        <f aca="false">HYPERLINK("https://mncourtfraud.com/file/MCRO_27-CR-21-13526_Returned Mail_2022-06-21_20251126164634.pdf","MCRO_27-CR-21-13526_Returned Mail_2022-06-21_20251126164634.pdf")</f>
        <v>MCRO_27-CR-21-13526_Returned Mail_2022-06-21_20251126164634.pdf</v>
      </c>
      <c r="H317" s="1" t="n">
        <v>4</v>
      </c>
      <c r="I317" s="1" t="s">
        <v>1360</v>
      </c>
      <c r="J317" s="1" t="n">
        <v>1</v>
      </c>
      <c r="K317" s="1" t="n">
        <v>1</v>
      </c>
      <c r="L317" s="2" t="s">
        <v>1902</v>
      </c>
      <c r="M317" s="2" t="s">
        <v>1362</v>
      </c>
      <c r="N317" s="2" t="s">
        <v>1903</v>
      </c>
      <c r="O317" s="2" t="s">
        <v>1364</v>
      </c>
      <c r="P317" s="2" t="s">
        <v>1904</v>
      </c>
      <c r="Q317" s="1" t="n">
        <v>0</v>
      </c>
      <c r="R317" s="2" t="n">
        <v>233560</v>
      </c>
      <c r="S317" s="2" t="n">
        <v>249946</v>
      </c>
      <c r="T317" s="2" t="n">
        <v>4519</v>
      </c>
      <c r="U317" s="2" t="n">
        <v>238079</v>
      </c>
      <c r="V317" s="2" t="n">
        <v>93.56</v>
      </c>
      <c r="W317" s="2" t="s">
        <v>1360</v>
      </c>
    </row>
    <row r="318" customFormat="false" ht="18.7" hidden="false" customHeight="true" outlineLevel="0" collapsed="false">
      <c r="A318" s="1" t="n">
        <v>317</v>
      </c>
      <c r="B318" s="7" t="str">
        <f aca="false">HYPERLINK("https://mncourtfraud.com/file/27-CR-21-13526.pdf","27-CR-21-13526")</f>
        <v>27-CR-21-13526</v>
      </c>
      <c r="C318" s="1" t="n">
        <v>5</v>
      </c>
      <c r="D318" s="2" t="s">
        <v>267</v>
      </c>
      <c r="E318" s="8" t="n">
        <v>44837</v>
      </c>
      <c r="F318" s="2" t="s">
        <v>17</v>
      </c>
      <c r="G318" s="7" t="str">
        <f aca="false">HYPERLINK("https://mncourtfraud.com/file/MCRO_27-CR-21-13526_Returned Mail_2022-10-03_20251126164501.pdf","MCRO_27-CR-21-13526_Returned Mail_2022-10-03_20251126164501.pdf")</f>
        <v>MCRO_27-CR-21-13526_Returned Mail_2022-10-03_20251126164501.pdf</v>
      </c>
      <c r="H318" s="1" t="n">
        <v>4</v>
      </c>
      <c r="I318" s="1" t="s">
        <v>1360</v>
      </c>
      <c r="J318" s="1" t="n">
        <v>1</v>
      </c>
      <c r="K318" s="1" t="n">
        <v>1</v>
      </c>
      <c r="L318" s="2" t="s">
        <v>1905</v>
      </c>
      <c r="M318" s="2" t="s">
        <v>1362</v>
      </c>
      <c r="N318" s="2" t="s">
        <v>1906</v>
      </c>
      <c r="O318" s="2" t="s">
        <v>1364</v>
      </c>
      <c r="P318" s="2" t="s">
        <v>1907</v>
      </c>
      <c r="Q318" s="1" t="n">
        <v>0</v>
      </c>
      <c r="R318" s="2" t="n">
        <v>360312</v>
      </c>
      <c r="S318" s="2" t="n">
        <v>376698</v>
      </c>
      <c r="T318" s="2" t="n">
        <v>4520</v>
      </c>
      <c r="U318" s="2" t="n">
        <v>364832</v>
      </c>
      <c r="V318" s="2" t="n">
        <v>95.7</v>
      </c>
      <c r="W318" s="2" t="s">
        <v>1360</v>
      </c>
    </row>
    <row r="319" customFormat="false" ht="18.7" hidden="false" customHeight="true" outlineLevel="0" collapsed="false">
      <c r="A319" s="1" t="n">
        <v>318</v>
      </c>
      <c r="B319" s="7" t="str">
        <f aca="false">HYPERLINK("https://mncourtfraud.com/file/27-CR-21-14266.pdf","27-CR-21-14266")</f>
        <v>27-CR-21-14266</v>
      </c>
      <c r="C319" s="1" t="n">
        <v>5</v>
      </c>
      <c r="D319" s="2" t="s">
        <v>267</v>
      </c>
      <c r="E319" s="8" t="n">
        <v>44873</v>
      </c>
      <c r="F319" s="2" t="s">
        <v>15</v>
      </c>
      <c r="G319" s="7" t="str">
        <f aca="false">HYPERLINK("https://mncourtfraud.com/file/MCRO_27-CR-21-14266_Order-Evaluation for Competency to Proceed (Rule 20.01)_2022-11-08_20251126164836.pdf","MCRO_27-CR-21-14266_Order-Evaluation for Competency to Proceed (Rule 20.01)_2022-11-08_20251126164836.pdf")</f>
        <v>MCRO_27-CR-21-14266_Order-Evaluation for Competency to Proceed (Rule 20.01)_2022-11-08_20251126164836.pdf</v>
      </c>
      <c r="H319" s="1" t="n">
        <v>4</v>
      </c>
      <c r="I319" s="1" t="s">
        <v>1360</v>
      </c>
      <c r="J319" s="1" t="n">
        <v>1</v>
      </c>
      <c r="K319" s="1" t="n">
        <v>1</v>
      </c>
      <c r="L319" s="2" t="s">
        <v>1908</v>
      </c>
      <c r="M319" s="2" t="s">
        <v>1362</v>
      </c>
      <c r="N319" s="2" t="s">
        <v>1909</v>
      </c>
      <c r="O319" s="2" t="s">
        <v>1364</v>
      </c>
      <c r="P319" s="2" t="s">
        <v>1390</v>
      </c>
      <c r="Q319" s="1" t="n">
        <v>0</v>
      </c>
      <c r="R319" s="2" t="n">
        <v>825183</v>
      </c>
      <c r="S319" s="2" t="n">
        <v>841569</v>
      </c>
      <c r="T319" s="2" t="n">
        <v>4525</v>
      </c>
      <c r="U319" s="2" t="n">
        <v>829708</v>
      </c>
      <c r="V319" s="2" t="n">
        <v>98.06</v>
      </c>
      <c r="W319" s="2" t="s">
        <v>1360</v>
      </c>
    </row>
    <row r="320" customFormat="false" ht="18.7" hidden="false" customHeight="true" outlineLevel="0" collapsed="false">
      <c r="A320" s="1" t="n">
        <v>319</v>
      </c>
      <c r="B320" s="7" t="str">
        <f aca="false">HYPERLINK("https://mncourtfraud.com/file/27-CR-21-14266.pdf","27-CR-21-14266")</f>
        <v>27-CR-21-14266</v>
      </c>
      <c r="C320" s="1" t="n">
        <v>5</v>
      </c>
      <c r="D320" s="2" t="s">
        <v>267</v>
      </c>
      <c r="E320" s="8" t="n">
        <v>45023</v>
      </c>
      <c r="F320" s="2" t="s">
        <v>15</v>
      </c>
      <c r="G320" s="7" t="str">
        <f aca="false">HYPERLINK("https://mncourtfraud.com/file/MCRO_27-CR-21-14266_Order-Evaluation for Competency to Proceed (Rule 20.01)_2023-04-07_20251126164851.pdf","MCRO_27-CR-21-14266_Order-Evaluation for Competency to Proceed (Rule 20.01)_2023-04-07_20251126164851.pdf")</f>
        <v>MCRO_27-CR-21-14266_Order-Evaluation for Competency to Proceed (Rule 20.01)_2023-04-07_20251126164851.pdf</v>
      </c>
      <c r="H320" s="1" t="n">
        <v>4</v>
      </c>
      <c r="I320" s="1" t="s">
        <v>1360</v>
      </c>
      <c r="J320" s="1" t="n">
        <v>1</v>
      </c>
      <c r="K320" s="1" t="n">
        <v>1</v>
      </c>
      <c r="L320" s="2" t="s">
        <v>1910</v>
      </c>
      <c r="M320" s="2" t="s">
        <v>1362</v>
      </c>
      <c r="N320" s="2" t="s">
        <v>1911</v>
      </c>
      <c r="O320" s="2" t="s">
        <v>1364</v>
      </c>
      <c r="P320" s="2" t="s">
        <v>1384</v>
      </c>
      <c r="Q320" s="1" t="n">
        <v>0</v>
      </c>
      <c r="R320" s="2" t="n">
        <v>1107147</v>
      </c>
      <c r="S320" s="2" t="n">
        <v>1123533</v>
      </c>
      <c r="T320" s="2" t="n">
        <v>8533</v>
      </c>
      <c r="U320" s="2" t="n">
        <v>1115680</v>
      </c>
      <c r="V320" s="2" t="n">
        <v>98.55</v>
      </c>
      <c r="W320" s="2" t="s">
        <v>1360</v>
      </c>
    </row>
    <row r="321" customFormat="false" ht="18.7" hidden="false" customHeight="true" outlineLevel="0" collapsed="false">
      <c r="A321" s="1" t="n">
        <v>320</v>
      </c>
      <c r="B321" s="7" t="str">
        <f aca="false">HYPERLINK("https://mncourtfraud.com/file/27-CR-21-14266.pdf","27-CR-21-14266")</f>
        <v>27-CR-21-14266</v>
      </c>
      <c r="C321" s="1" t="n">
        <v>5</v>
      </c>
      <c r="D321" s="2" t="s">
        <v>267</v>
      </c>
      <c r="E321" s="8" t="n">
        <v>45194</v>
      </c>
      <c r="F321" s="2" t="s">
        <v>15</v>
      </c>
      <c r="G321" s="7" t="str">
        <f aca="false">HYPERLINK("https://mncourtfraud.com/file/MCRO_27-CR-21-14266_Order-Evaluation for Competency to Proceed (Rule 20.01)_2023-09-25_20251126164823.pdf","MCRO_27-CR-21-14266_Order-Evaluation for Competency to Proceed (Rule 20.01)_2023-09-25_20251126164823.pdf")</f>
        <v>MCRO_27-CR-21-14266_Order-Evaluation for Competency to Proceed (Rule 20.01)_2023-09-25_20251126164823.pdf</v>
      </c>
      <c r="H321" s="1" t="n">
        <v>4</v>
      </c>
      <c r="I321" s="1" t="s">
        <v>1360</v>
      </c>
      <c r="J321" s="1" t="n">
        <v>1</v>
      </c>
      <c r="K321" s="1" t="n">
        <v>1</v>
      </c>
      <c r="L321" s="2" t="s">
        <v>1912</v>
      </c>
      <c r="M321" s="2" t="s">
        <v>1362</v>
      </c>
      <c r="N321" s="2" t="s">
        <v>1913</v>
      </c>
      <c r="O321" s="2" t="s">
        <v>1364</v>
      </c>
      <c r="P321" s="2" t="s">
        <v>1536</v>
      </c>
      <c r="Q321" s="1" t="n">
        <v>0</v>
      </c>
      <c r="R321" s="2" t="n">
        <v>145802</v>
      </c>
      <c r="S321" s="2" t="n">
        <v>162188</v>
      </c>
      <c r="T321" s="2" t="n">
        <v>4468</v>
      </c>
      <c r="U321" s="2" t="n">
        <v>150270</v>
      </c>
      <c r="V321" s="2" t="n">
        <v>90.17</v>
      </c>
      <c r="W321" s="2" t="s">
        <v>1360</v>
      </c>
    </row>
    <row r="322" customFormat="false" ht="18.7" hidden="false" customHeight="true" outlineLevel="0" collapsed="false">
      <c r="A322" s="1" t="n">
        <v>321</v>
      </c>
      <c r="B322" s="7" t="str">
        <f aca="false">HYPERLINK("https://mncourtfraud.com/file/27-CR-21-14266.pdf","27-CR-21-14266")</f>
        <v>27-CR-21-14266</v>
      </c>
      <c r="C322" s="1" t="n">
        <v>5</v>
      </c>
      <c r="D322" s="2" t="s">
        <v>267</v>
      </c>
      <c r="E322" s="8" t="n">
        <v>44733</v>
      </c>
      <c r="F322" s="2" t="s">
        <v>17</v>
      </c>
      <c r="G322" s="7" t="str">
        <f aca="false">HYPERLINK("https://mncourtfraud.com/file/MCRO_27-CR-21-14266_Returned Mail_2022-06-21_20251126164918.pdf","MCRO_27-CR-21-14266_Returned Mail_2022-06-21_20251126164918.pdf")</f>
        <v>MCRO_27-CR-21-14266_Returned Mail_2022-06-21_20251126164918.pdf</v>
      </c>
      <c r="H322" s="1" t="n">
        <v>4</v>
      </c>
      <c r="I322" s="1" t="s">
        <v>1360</v>
      </c>
      <c r="J322" s="1" t="n">
        <v>1</v>
      </c>
      <c r="K322" s="1" t="n">
        <v>1</v>
      </c>
      <c r="L322" s="2" t="s">
        <v>1914</v>
      </c>
      <c r="M322" s="2" t="s">
        <v>1362</v>
      </c>
      <c r="N322" s="2" t="s">
        <v>1915</v>
      </c>
      <c r="O322" s="2" t="s">
        <v>1364</v>
      </c>
      <c r="P322" s="2" t="s">
        <v>1904</v>
      </c>
      <c r="Q322" s="1" t="n">
        <v>0</v>
      </c>
      <c r="R322" s="2" t="n">
        <v>233559</v>
      </c>
      <c r="S322" s="2" t="n">
        <v>249945</v>
      </c>
      <c r="T322" s="2" t="n">
        <v>4519</v>
      </c>
      <c r="U322" s="2" t="n">
        <v>238078</v>
      </c>
      <c r="V322" s="2" t="n">
        <v>93.56</v>
      </c>
      <c r="W322" s="2" t="s">
        <v>1360</v>
      </c>
    </row>
    <row r="323" customFormat="false" ht="18.7" hidden="false" customHeight="true" outlineLevel="0" collapsed="false">
      <c r="A323" s="1" t="n">
        <v>322</v>
      </c>
      <c r="B323" s="7" t="str">
        <f aca="false">HYPERLINK("https://mncourtfraud.com/file/27-CR-21-14266.pdf","27-CR-21-14266")</f>
        <v>27-CR-21-14266</v>
      </c>
      <c r="C323" s="1" t="n">
        <v>5</v>
      </c>
      <c r="D323" s="2" t="s">
        <v>267</v>
      </c>
      <c r="E323" s="8" t="n">
        <v>44837</v>
      </c>
      <c r="F323" s="2" t="s">
        <v>17</v>
      </c>
      <c r="G323" s="7" t="str">
        <f aca="false">HYPERLINK("https://mncourtfraud.com/file/MCRO_27-CR-21-14266_Returned Mail_2022-10-03_20251126164905.pdf","MCRO_27-CR-21-14266_Returned Mail_2022-10-03_20251126164905.pdf")</f>
        <v>MCRO_27-CR-21-14266_Returned Mail_2022-10-03_20251126164905.pdf</v>
      </c>
      <c r="H323" s="1" t="n">
        <v>4</v>
      </c>
      <c r="I323" s="1" t="s">
        <v>1360</v>
      </c>
      <c r="J323" s="1" t="n">
        <v>1</v>
      </c>
      <c r="K323" s="1" t="n">
        <v>1</v>
      </c>
      <c r="L323" s="2" t="s">
        <v>1916</v>
      </c>
      <c r="M323" s="2" t="s">
        <v>1362</v>
      </c>
      <c r="N323" s="2" t="s">
        <v>1917</v>
      </c>
      <c r="O323" s="2" t="s">
        <v>1364</v>
      </c>
      <c r="P323" s="2" t="s">
        <v>1907</v>
      </c>
      <c r="Q323" s="1" t="n">
        <v>0</v>
      </c>
      <c r="R323" s="2" t="n">
        <v>360313</v>
      </c>
      <c r="S323" s="2" t="n">
        <v>376699</v>
      </c>
      <c r="T323" s="2" t="n">
        <v>4520</v>
      </c>
      <c r="U323" s="2" t="n">
        <v>364833</v>
      </c>
      <c r="V323" s="2" t="n">
        <v>95.7</v>
      </c>
      <c r="W323" s="2" t="s">
        <v>1360</v>
      </c>
    </row>
    <row r="324" customFormat="false" ht="18.7" hidden="false" customHeight="true" outlineLevel="0" collapsed="false">
      <c r="A324" s="1" t="n">
        <v>323</v>
      </c>
      <c r="B324" s="7" t="str">
        <f aca="false">HYPERLINK("https://mncourtfraud.com/file/27-CR-21-17656.pdf","27-CR-21-17656")</f>
        <v>27-CR-21-17656</v>
      </c>
      <c r="C324" s="1" t="n">
        <v>5</v>
      </c>
      <c r="D324" s="2" t="s">
        <v>267</v>
      </c>
      <c r="E324" s="8" t="n">
        <v>44873</v>
      </c>
      <c r="F324" s="2" t="s">
        <v>15</v>
      </c>
      <c r="G324" s="7" t="str">
        <f aca="false">HYPERLINK("https://mncourtfraud.com/file/MCRO_27-CR-21-17656_Order-Evaluation for Competency to Proceed (Rule 20.01)_2022-11-08_20251126165032.pdf","MCRO_27-CR-21-17656_Order-Evaluation for Competency to Proceed (Rule 20.01)_2022-11-08_20251126165032.pdf")</f>
        <v>MCRO_27-CR-21-17656_Order-Evaluation for Competency to Proceed (Rule 20.01)_2022-11-08_20251126165032.pdf</v>
      </c>
      <c r="H324" s="1" t="n">
        <v>4</v>
      </c>
      <c r="I324" s="1" t="s">
        <v>1360</v>
      </c>
      <c r="J324" s="1" t="n">
        <v>1</v>
      </c>
      <c r="K324" s="1" t="n">
        <v>1</v>
      </c>
      <c r="L324" s="2" t="s">
        <v>1918</v>
      </c>
      <c r="M324" s="2" t="s">
        <v>1362</v>
      </c>
      <c r="N324" s="2" t="s">
        <v>1919</v>
      </c>
      <c r="O324" s="2" t="s">
        <v>1364</v>
      </c>
      <c r="P324" s="2" t="s">
        <v>1390</v>
      </c>
      <c r="Q324" s="1" t="n">
        <v>0</v>
      </c>
      <c r="R324" s="2" t="n">
        <v>825184</v>
      </c>
      <c r="S324" s="2" t="n">
        <v>841570</v>
      </c>
      <c r="T324" s="2" t="n">
        <v>4525</v>
      </c>
      <c r="U324" s="2" t="n">
        <v>829709</v>
      </c>
      <c r="V324" s="2" t="n">
        <v>98.06</v>
      </c>
      <c r="W324" s="2" t="s">
        <v>1360</v>
      </c>
    </row>
    <row r="325" customFormat="false" ht="18.7" hidden="false" customHeight="true" outlineLevel="0" collapsed="false">
      <c r="A325" s="1" t="n">
        <v>324</v>
      </c>
      <c r="B325" s="7" t="str">
        <f aca="false">HYPERLINK("https://mncourtfraud.com/file/27-CR-21-17656.pdf","27-CR-21-17656")</f>
        <v>27-CR-21-17656</v>
      </c>
      <c r="C325" s="1" t="n">
        <v>5</v>
      </c>
      <c r="D325" s="2" t="s">
        <v>267</v>
      </c>
      <c r="E325" s="8" t="n">
        <v>45023</v>
      </c>
      <c r="F325" s="2" t="s">
        <v>15</v>
      </c>
      <c r="G325" s="7" t="str">
        <f aca="false">HYPERLINK("https://mncourtfraud.com/file/MCRO_27-CR-21-17656_Order-Evaluation for Competency to Proceed (Rule 20.01)_2023-04-07_20251126165044.pdf","MCRO_27-CR-21-17656_Order-Evaluation for Competency to Proceed (Rule 20.01)_2023-04-07_20251126165044.pdf")</f>
        <v>MCRO_27-CR-21-17656_Order-Evaluation for Competency to Proceed (Rule 20.01)_2023-04-07_20251126165044.pdf</v>
      </c>
      <c r="H325" s="1" t="n">
        <v>4</v>
      </c>
      <c r="I325" s="1" t="s">
        <v>1360</v>
      </c>
      <c r="J325" s="1" t="n">
        <v>1</v>
      </c>
      <c r="K325" s="1" t="n">
        <v>1</v>
      </c>
      <c r="L325" s="2" t="s">
        <v>1920</v>
      </c>
      <c r="M325" s="2" t="s">
        <v>1362</v>
      </c>
      <c r="N325" s="2" t="s">
        <v>1921</v>
      </c>
      <c r="O325" s="2" t="s">
        <v>1364</v>
      </c>
      <c r="P325" s="2" t="s">
        <v>1384</v>
      </c>
      <c r="Q325" s="1" t="n">
        <v>0</v>
      </c>
      <c r="R325" s="2" t="n">
        <v>1099499</v>
      </c>
      <c r="S325" s="2" t="n">
        <v>1115885</v>
      </c>
      <c r="T325" s="2" t="n">
        <v>8533</v>
      </c>
      <c r="U325" s="2" t="n">
        <v>1108032</v>
      </c>
      <c r="V325" s="2" t="n">
        <v>98.54</v>
      </c>
      <c r="W325" s="2" t="s">
        <v>1360</v>
      </c>
    </row>
    <row r="326" customFormat="false" ht="18.7" hidden="false" customHeight="true" outlineLevel="0" collapsed="false">
      <c r="A326" s="1" t="n">
        <v>325</v>
      </c>
      <c r="B326" s="7" t="str">
        <f aca="false">HYPERLINK("https://mncourtfraud.com/file/27-CR-21-17656.pdf","27-CR-21-17656")</f>
        <v>27-CR-21-17656</v>
      </c>
      <c r="C326" s="1" t="n">
        <v>5</v>
      </c>
      <c r="D326" s="2" t="s">
        <v>267</v>
      </c>
      <c r="E326" s="8" t="n">
        <v>45194</v>
      </c>
      <c r="F326" s="2" t="s">
        <v>15</v>
      </c>
      <c r="G326" s="7" t="str">
        <f aca="false">HYPERLINK("https://mncourtfraud.com/file/MCRO_27-CR-21-17656_Order-Evaluation for Competency to Proceed (Rule 20.01)_2023-09-25_20251126165021.pdf","MCRO_27-CR-21-17656_Order-Evaluation for Competency to Proceed (Rule 20.01)_2023-09-25_20251126165021.pdf")</f>
        <v>MCRO_27-CR-21-17656_Order-Evaluation for Competency to Proceed (Rule 20.01)_2023-09-25_20251126165021.pdf</v>
      </c>
      <c r="H326" s="1" t="n">
        <v>4</v>
      </c>
      <c r="I326" s="1" t="s">
        <v>1360</v>
      </c>
      <c r="J326" s="1" t="n">
        <v>1</v>
      </c>
      <c r="K326" s="1" t="n">
        <v>1</v>
      </c>
      <c r="L326" s="2" t="s">
        <v>1922</v>
      </c>
      <c r="M326" s="2" t="s">
        <v>1362</v>
      </c>
      <c r="N326" s="2" t="s">
        <v>1923</v>
      </c>
      <c r="O326" s="2" t="s">
        <v>1364</v>
      </c>
      <c r="P326" s="2" t="s">
        <v>1536</v>
      </c>
      <c r="Q326" s="1" t="n">
        <v>0</v>
      </c>
      <c r="R326" s="2" t="n">
        <v>145788</v>
      </c>
      <c r="S326" s="2" t="n">
        <v>162174</v>
      </c>
      <c r="T326" s="2" t="n">
        <v>4468</v>
      </c>
      <c r="U326" s="2" t="n">
        <v>150256</v>
      </c>
      <c r="V326" s="2" t="n">
        <v>90.17</v>
      </c>
      <c r="W326" s="2" t="s">
        <v>1360</v>
      </c>
    </row>
    <row r="327" customFormat="false" ht="18.7" hidden="false" customHeight="true" outlineLevel="0" collapsed="false">
      <c r="A327" s="1" t="n">
        <v>326</v>
      </c>
      <c r="B327" s="7" t="str">
        <f aca="false">HYPERLINK("https://mncourtfraud.com/file/27-CR-21-17656.pdf","27-CR-21-17656")</f>
        <v>27-CR-21-17656</v>
      </c>
      <c r="C327" s="1" t="n">
        <v>5</v>
      </c>
      <c r="D327" s="2" t="s">
        <v>267</v>
      </c>
      <c r="E327" s="8" t="n">
        <v>44733</v>
      </c>
      <c r="F327" s="2" t="s">
        <v>17</v>
      </c>
      <c r="G327" s="7" t="str">
        <f aca="false">HYPERLINK("https://mncourtfraud.com/file/MCRO_27-CR-21-17656_Returned Mail_2022-06-21_20251126165007.pdf","MCRO_27-CR-21-17656_Returned Mail_2022-06-21_20251126165007.pdf")</f>
        <v>MCRO_27-CR-21-17656_Returned Mail_2022-06-21_20251126165007.pdf</v>
      </c>
      <c r="H327" s="1" t="n">
        <v>4</v>
      </c>
      <c r="I327" s="1" t="s">
        <v>1360</v>
      </c>
      <c r="J327" s="1" t="n">
        <v>1</v>
      </c>
      <c r="K327" s="1" t="n">
        <v>1</v>
      </c>
      <c r="L327" s="2" t="s">
        <v>1924</v>
      </c>
      <c r="M327" s="2" t="s">
        <v>1362</v>
      </c>
      <c r="N327" s="2" t="s">
        <v>1925</v>
      </c>
      <c r="O327" s="2" t="s">
        <v>1364</v>
      </c>
      <c r="P327" s="2" t="s">
        <v>1904</v>
      </c>
      <c r="Q327" s="1" t="n">
        <v>0</v>
      </c>
      <c r="R327" s="2" t="n">
        <v>233560</v>
      </c>
      <c r="S327" s="2" t="n">
        <v>249946</v>
      </c>
      <c r="T327" s="2" t="n">
        <v>4519</v>
      </c>
      <c r="U327" s="2" t="n">
        <v>238079</v>
      </c>
      <c r="V327" s="2" t="n">
        <v>93.56</v>
      </c>
      <c r="W327" s="2" t="s">
        <v>1360</v>
      </c>
    </row>
    <row r="328" customFormat="false" ht="18.7" hidden="false" customHeight="true" outlineLevel="0" collapsed="false">
      <c r="A328" s="1" t="n">
        <v>327</v>
      </c>
      <c r="B328" s="7" t="str">
        <f aca="false">HYPERLINK("https://mncourtfraud.com/file/27-CR-21-17656.pdf","27-CR-21-17656")</f>
        <v>27-CR-21-17656</v>
      </c>
      <c r="C328" s="1" t="n">
        <v>5</v>
      </c>
      <c r="D328" s="2" t="s">
        <v>267</v>
      </c>
      <c r="E328" s="8" t="n">
        <v>44837</v>
      </c>
      <c r="F328" s="2" t="s">
        <v>17</v>
      </c>
      <c r="G328" s="7" t="str">
        <f aca="false">HYPERLINK("https://mncourtfraud.com/file/MCRO_27-CR-21-17656_Returned Mail_2022-10-03_20251126164949.pdf","MCRO_27-CR-21-17656_Returned Mail_2022-10-03_20251126164949.pdf")</f>
        <v>MCRO_27-CR-21-17656_Returned Mail_2022-10-03_20251126164949.pdf</v>
      </c>
      <c r="H328" s="1" t="n">
        <v>4</v>
      </c>
      <c r="I328" s="1" t="s">
        <v>1360</v>
      </c>
      <c r="J328" s="1" t="n">
        <v>1</v>
      </c>
      <c r="K328" s="1" t="n">
        <v>1</v>
      </c>
      <c r="L328" s="2" t="s">
        <v>1926</v>
      </c>
      <c r="M328" s="2" t="s">
        <v>1362</v>
      </c>
      <c r="N328" s="2" t="s">
        <v>1927</v>
      </c>
      <c r="O328" s="2" t="s">
        <v>1364</v>
      </c>
      <c r="P328" s="2" t="s">
        <v>1907</v>
      </c>
      <c r="Q328" s="1" t="n">
        <v>0</v>
      </c>
      <c r="R328" s="2" t="n">
        <v>360313</v>
      </c>
      <c r="S328" s="2" t="n">
        <v>376699</v>
      </c>
      <c r="T328" s="2" t="n">
        <v>4520</v>
      </c>
      <c r="U328" s="2" t="n">
        <v>364833</v>
      </c>
      <c r="V328" s="2" t="n">
        <v>95.7</v>
      </c>
      <c r="W328" s="2" t="s">
        <v>1360</v>
      </c>
    </row>
    <row r="329" customFormat="false" ht="18.7" hidden="false" customHeight="true" outlineLevel="0" collapsed="false">
      <c r="A329" s="1" t="n">
        <v>328</v>
      </c>
      <c r="B329" s="7" t="str">
        <f aca="false">HYPERLINK("https://mncourtfraud.com/file/27-CR-21-21707.pdf","27-CR-21-21707")</f>
        <v>27-CR-21-21707</v>
      </c>
      <c r="C329" s="1" t="n">
        <v>5</v>
      </c>
      <c r="D329" s="2" t="s">
        <v>267</v>
      </c>
      <c r="E329" s="8" t="n">
        <v>44873</v>
      </c>
      <c r="F329" s="2" t="s">
        <v>15</v>
      </c>
      <c r="G329" s="7" t="str">
        <f aca="false">HYPERLINK("https://mncourtfraud.com/file/MCRO_27-CR-21-21707_Order-Evaluation for Competency to Proceed (Rule 20.01)_2022-11-08_20251126165112.pdf","MCRO_27-CR-21-21707_Order-Evaluation for Competency to Proceed (Rule 20.01)_2022-11-08_20251126165112.pdf")</f>
        <v>MCRO_27-CR-21-21707_Order-Evaluation for Competency to Proceed (Rule 20.01)_2022-11-08_20251126165112.pdf</v>
      </c>
      <c r="H329" s="1" t="n">
        <v>4</v>
      </c>
      <c r="I329" s="1" t="s">
        <v>1360</v>
      </c>
      <c r="J329" s="1" t="n">
        <v>1</v>
      </c>
      <c r="K329" s="1" t="n">
        <v>1</v>
      </c>
      <c r="L329" s="2" t="s">
        <v>1928</v>
      </c>
      <c r="M329" s="2" t="s">
        <v>1362</v>
      </c>
      <c r="N329" s="2" t="s">
        <v>1929</v>
      </c>
      <c r="O329" s="2" t="s">
        <v>1364</v>
      </c>
      <c r="P329" s="2" t="s">
        <v>1390</v>
      </c>
      <c r="Q329" s="1" t="n">
        <v>0</v>
      </c>
      <c r="R329" s="2" t="n">
        <v>825186</v>
      </c>
      <c r="S329" s="2" t="n">
        <v>841572</v>
      </c>
      <c r="T329" s="2" t="n">
        <v>4525</v>
      </c>
      <c r="U329" s="2" t="n">
        <v>829711</v>
      </c>
      <c r="V329" s="2" t="n">
        <v>98.06</v>
      </c>
      <c r="W329" s="2" t="s">
        <v>1360</v>
      </c>
    </row>
    <row r="330" customFormat="false" ht="18.7" hidden="false" customHeight="true" outlineLevel="0" collapsed="false">
      <c r="A330" s="1" t="n">
        <v>329</v>
      </c>
      <c r="B330" s="7" t="str">
        <f aca="false">HYPERLINK("https://mncourtfraud.com/file/27-CR-21-21707.pdf","27-CR-21-21707")</f>
        <v>27-CR-21-21707</v>
      </c>
      <c r="C330" s="1" t="n">
        <v>5</v>
      </c>
      <c r="D330" s="2" t="s">
        <v>267</v>
      </c>
      <c r="E330" s="8" t="n">
        <v>45023</v>
      </c>
      <c r="F330" s="2" t="s">
        <v>15</v>
      </c>
      <c r="G330" s="7" t="str">
        <f aca="false">HYPERLINK("https://mncourtfraud.com/file/MCRO_27-CR-21-21707_Order-Evaluation for Competency to Proceed (Rule 20.01)_2023-04-07_20251126165123.pdf","MCRO_27-CR-21-21707_Order-Evaluation for Competency to Proceed (Rule 20.01)_2023-04-07_20251126165123.pdf")</f>
        <v>MCRO_27-CR-21-21707_Order-Evaluation for Competency to Proceed (Rule 20.01)_2023-04-07_20251126165123.pdf</v>
      </c>
      <c r="H330" s="1" t="n">
        <v>4</v>
      </c>
      <c r="I330" s="1" t="s">
        <v>1360</v>
      </c>
      <c r="J330" s="1" t="n">
        <v>1</v>
      </c>
      <c r="K330" s="1" t="n">
        <v>1</v>
      </c>
      <c r="L330" s="2" t="s">
        <v>1930</v>
      </c>
      <c r="M330" s="2" t="s">
        <v>1362</v>
      </c>
      <c r="N330" s="2" t="s">
        <v>1931</v>
      </c>
      <c r="O330" s="2" t="s">
        <v>1364</v>
      </c>
      <c r="P330" s="2" t="s">
        <v>1384</v>
      </c>
      <c r="Q330" s="1" t="n">
        <v>0</v>
      </c>
      <c r="R330" s="2" t="n">
        <v>1098803</v>
      </c>
      <c r="S330" s="2" t="n">
        <v>1115189</v>
      </c>
      <c r="T330" s="2" t="n">
        <v>8533</v>
      </c>
      <c r="U330" s="2" t="n">
        <v>1107336</v>
      </c>
      <c r="V330" s="2" t="n">
        <v>98.54</v>
      </c>
      <c r="W330" s="2" t="s">
        <v>1360</v>
      </c>
    </row>
    <row r="331" customFormat="false" ht="18.7" hidden="false" customHeight="true" outlineLevel="0" collapsed="false">
      <c r="A331" s="1" t="n">
        <v>330</v>
      </c>
      <c r="B331" s="7" t="str">
        <f aca="false">HYPERLINK("https://mncourtfraud.com/file/27-CR-21-21707.pdf","27-CR-21-21707")</f>
        <v>27-CR-21-21707</v>
      </c>
      <c r="C331" s="1" t="n">
        <v>5</v>
      </c>
      <c r="D331" s="2" t="s">
        <v>267</v>
      </c>
      <c r="E331" s="8" t="n">
        <v>45194</v>
      </c>
      <c r="F331" s="2" t="s">
        <v>15</v>
      </c>
      <c r="G331" s="7" t="str">
        <f aca="false">HYPERLINK("https://mncourtfraud.com/file/MCRO_27-CR-21-21707_Order-Evaluation for Competency to Proceed (Rule 20.01)_2023-09-25_20251126165133.pdf","MCRO_27-CR-21-21707_Order-Evaluation for Competency to Proceed (Rule 20.01)_2023-09-25_20251126165133.pdf")</f>
        <v>MCRO_27-CR-21-21707_Order-Evaluation for Competency to Proceed (Rule 20.01)_2023-09-25_20251126165133.pdf</v>
      </c>
      <c r="H331" s="1" t="n">
        <v>4</v>
      </c>
      <c r="I331" s="1" t="s">
        <v>1360</v>
      </c>
      <c r="J331" s="1" t="n">
        <v>1</v>
      </c>
      <c r="K331" s="1" t="n">
        <v>1</v>
      </c>
      <c r="L331" s="2" t="s">
        <v>1932</v>
      </c>
      <c r="M331" s="2" t="s">
        <v>1362</v>
      </c>
      <c r="N331" s="2" t="s">
        <v>1933</v>
      </c>
      <c r="O331" s="2" t="s">
        <v>1364</v>
      </c>
      <c r="P331" s="2" t="s">
        <v>1536</v>
      </c>
      <c r="Q331" s="1" t="n">
        <v>0</v>
      </c>
      <c r="R331" s="2" t="n">
        <v>145787</v>
      </c>
      <c r="S331" s="2" t="n">
        <v>162173</v>
      </c>
      <c r="T331" s="2" t="n">
        <v>4468</v>
      </c>
      <c r="U331" s="2" t="n">
        <v>150255</v>
      </c>
      <c r="V331" s="2" t="n">
        <v>90.17</v>
      </c>
      <c r="W331" s="2" t="s">
        <v>1360</v>
      </c>
    </row>
    <row r="332" customFormat="false" ht="18.7" hidden="false" customHeight="true" outlineLevel="0" collapsed="false">
      <c r="A332" s="1" t="n">
        <v>331</v>
      </c>
      <c r="B332" s="7" t="str">
        <f aca="false">HYPERLINK("https://mncourtfraud.com/file/27-CR-21-21707.pdf","27-CR-21-21707")</f>
        <v>27-CR-21-21707</v>
      </c>
      <c r="C332" s="1" t="n">
        <v>5</v>
      </c>
      <c r="D332" s="2" t="s">
        <v>267</v>
      </c>
      <c r="E332" s="8" t="n">
        <v>44733</v>
      </c>
      <c r="F332" s="2" t="s">
        <v>17</v>
      </c>
      <c r="G332" s="7" t="str">
        <f aca="false">HYPERLINK("https://mncourtfraud.com/file/MCRO_27-CR-21-21707_Returned Mail_2022-06-21_20251126165201.pdf","MCRO_27-CR-21-21707_Returned Mail_2022-06-21_20251126165201.pdf")</f>
        <v>MCRO_27-CR-21-21707_Returned Mail_2022-06-21_20251126165201.pdf</v>
      </c>
      <c r="H332" s="1" t="n">
        <v>4</v>
      </c>
      <c r="I332" s="1" t="s">
        <v>1360</v>
      </c>
      <c r="J332" s="1" t="n">
        <v>1</v>
      </c>
      <c r="K332" s="1" t="n">
        <v>1</v>
      </c>
      <c r="L332" s="2" t="s">
        <v>1934</v>
      </c>
      <c r="M332" s="2" t="s">
        <v>1362</v>
      </c>
      <c r="N332" s="2" t="s">
        <v>1935</v>
      </c>
      <c r="O332" s="2" t="s">
        <v>1364</v>
      </c>
      <c r="P332" s="2" t="s">
        <v>1904</v>
      </c>
      <c r="Q332" s="1" t="n">
        <v>0</v>
      </c>
      <c r="R332" s="2" t="n">
        <v>233559</v>
      </c>
      <c r="S332" s="2" t="n">
        <v>249945</v>
      </c>
      <c r="T332" s="2" t="n">
        <v>4519</v>
      </c>
      <c r="U332" s="2" t="n">
        <v>238078</v>
      </c>
      <c r="V332" s="2" t="n">
        <v>93.56</v>
      </c>
      <c r="W332" s="2" t="s">
        <v>1360</v>
      </c>
    </row>
    <row r="333" customFormat="false" ht="18.7" hidden="false" customHeight="true" outlineLevel="0" collapsed="false">
      <c r="A333" s="1" t="n">
        <v>332</v>
      </c>
      <c r="B333" s="7" t="str">
        <f aca="false">HYPERLINK("https://mncourtfraud.com/file/27-CR-21-21707.pdf","27-CR-21-21707")</f>
        <v>27-CR-21-21707</v>
      </c>
      <c r="C333" s="1" t="n">
        <v>5</v>
      </c>
      <c r="D333" s="2" t="s">
        <v>267</v>
      </c>
      <c r="E333" s="8" t="n">
        <v>44837</v>
      </c>
      <c r="F333" s="2" t="s">
        <v>17</v>
      </c>
      <c r="G333" s="7" t="str">
        <f aca="false">HYPERLINK("https://mncourtfraud.com/file/MCRO_27-CR-21-21707_Returned Mail_2022-10-03_20251126165146.pdf","MCRO_27-CR-21-21707_Returned Mail_2022-10-03_20251126165146.pdf")</f>
        <v>MCRO_27-CR-21-21707_Returned Mail_2022-10-03_20251126165146.pdf</v>
      </c>
      <c r="H333" s="1" t="n">
        <v>4</v>
      </c>
      <c r="I333" s="1" t="s">
        <v>1360</v>
      </c>
      <c r="J333" s="1" t="n">
        <v>1</v>
      </c>
      <c r="K333" s="1" t="n">
        <v>1</v>
      </c>
      <c r="L333" s="2" t="s">
        <v>1936</v>
      </c>
      <c r="M333" s="2" t="s">
        <v>1362</v>
      </c>
      <c r="N333" s="2" t="s">
        <v>1937</v>
      </c>
      <c r="O333" s="2" t="s">
        <v>1364</v>
      </c>
      <c r="P333" s="2" t="s">
        <v>1907</v>
      </c>
      <c r="Q333" s="1" t="n">
        <v>0</v>
      </c>
      <c r="R333" s="2" t="n">
        <v>360313</v>
      </c>
      <c r="S333" s="2" t="n">
        <v>376699</v>
      </c>
      <c r="T333" s="2" t="n">
        <v>4520</v>
      </c>
      <c r="U333" s="2" t="n">
        <v>364833</v>
      </c>
      <c r="V333" s="2" t="n">
        <v>95.7</v>
      </c>
      <c r="W333" s="2" t="s">
        <v>1360</v>
      </c>
    </row>
    <row r="334" customFormat="false" ht="18.7" hidden="false" customHeight="true" outlineLevel="0" collapsed="false">
      <c r="A334" s="1" t="n">
        <v>333</v>
      </c>
      <c r="B334" s="7" t="str">
        <f aca="false">HYPERLINK("https://mncourtfraud.com/file/27-CR-21-21833.pdf","27-CR-21-21833")</f>
        <v>27-CR-21-21833</v>
      </c>
      <c r="C334" s="1" t="n">
        <v>5</v>
      </c>
      <c r="D334" s="2" t="s">
        <v>267</v>
      </c>
      <c r="E334" s="8" t="n">
        <v>44873</v>
      </c>
      <c r="F334" s="2" t="s">
        <v>15</v>
      </c>
      <c r="G334" s="7" t="str">
        <f aca="false">HYPERLINK("https://mncourtfraud.com/file/MCRO_27-CR-21-21833_Order-Evaluation for Competency to Proceed (Rule 20.01)_2022-11-08_20251126165318.pdf","MCRO_27-CR-21-21833_Order-Evaluation for Competency to Proceed (Rule 20.01)_2022-11-08_20251126165318.pdf")</f>
        <v>MCRO_27-CR-21-21833_Order-Evaluation for Competency to Proceed (Rule 20.01)_2022-11-08_20251126165318.pdf</v>
      </c>
      <c r="H334" s="1" t="n">
        <v>4</v>
      </c>
      <c r="I334" s="1" t="s">
        <v>1360</v>
      </c>
      <c r="J334" s="1" t="n">
        <v>1</v>
      </c>
      <c r="K334" s="1" t="n">
        <v>1</v>
      </c>
      <c r="L334" s="2" t="s">
        <v>1938</v>
      </c>
      <c r="M334" s="2" t="s">
        <v>1362</v>
      </c>
      <c r="N334" s="2" t="s">
        <v>1939</v>
      </c>
      <c r="O334" s="2" t="s">
        <v>1364</v>
      </c>
      <c r="P334" s="2" t="s">
        <v>1390</v>
      </c>
      <c r="Q334" s="1" t="n">
        <v>0</v>
      </c>
      <c r="R334" s="2" t="n">
        <v>825183</v>
      </c>
      <c r="S334" s="2" t="n">
        <v>841569</v>
      </c>
      <c r="T334" s="2" t="n">
        <v>4525</v>
      </c>
      <c r="U334" s="2" t="n">
        <v>829708</v>
      </c>
      <c r="V334" s="2" t="n">
        <v>98.06</v>
      </c>
      <c r="W334" s="2" t="s">
        <v>1360</v>
      </c>
    </row>
    <row r="335" customFormat="false" ht="18.7" hidden="false" customHeight="true" outlineLevel="0" collapsed="false">
      <c r="A335" s="1" t="n">
        <v>334</v>
      </c>
      <c r="B335" s="7" t="str">
        <f aca="false">HYPERLINK("https://mncourtfraud.com/file/27-CR-21-21833.pdf","27-CR-21-21833")</f>
        <v>27-CR-21-21833</v>
      </c>
      <c r="C335" s="1" t="n">
        <v>5</v>
      </c>
      <c r="D335" s="2" t="s">
        <v>267</v>
      </c>
      <c r="E335" s="8" t="n">
        <v>45023</v>
      </c>
      <c r="F335" s="2" t="s">
        <v>15</v>
      </c>
      <c r="G335" s="7" t="str">
        <f aca="false">HYPERLINK("https://mncourtfraud.com/file/MCRO_27-CR-21-21833_Order-Evaluation for Competency to Proceed (Rule 20.01)_2023-04-07_20251126165327.pdf","MCRO_27-CR-21-21833_Order-Evaluation for Competency to Proceed (Rule 20.01)_2023-04-07_20251126165327.pdf")</f>
        <v>MCRO_27-CR-21-21833_Order-Evaluation for Competency to Proceed (Rule 20.01)_2023-04-07_20251126165327.pdf</v>
      </c>
      <c r="H335" s="1" t="n">
        <v>4</v>
      </c>
      <c r="I335" s="1" t="s">
        <v>1360</v>
      </c>
      <c r="J335" s="1" t="n">
        <v>1</v>
      </c>
      <c r="K335" s="1" t="n">
        <v>1</v>
      </c>
      <c r="L335" s="2" t="s">
        <v>1940</v>
      </c>
      <c r="M335" s="2" t="s">
        <v>1362</v>
      </c>
      <c r="N335" s="2" t="s">
        <v>1941</v>
      </c>
      <c r="O335" s="2" t="s">
        <v>1364</v>
      </c>
      <c r="P335" s="2" t="s">
        <v>1384</v>
      </c>
      <c r="Q335" s="1" t="n">
        <v>0</v>
      </c>
      <c r="R335" s="2" t="n">
        <v>1099907</v>
      </c>
      <c r="S335" s="2" t="n">
        <v>1116293</v>
      </c>
      <c r="T335" s="2" t="n">
        <v>8533</v>
      </c>
      <c r="U335" s="2" t="n">
        <v>1108440</v>
      </c>
      <c r="V335" s="2" t="n">
        <v>98.54</v>
      </c>
      <c r="W335" s="2" t="s">
        <v>1360</v>
      </c>
    </row>
    <row r="336" customFormat="false" ht="18.7" hidden="false" customHeight="true" outlineLevel="0" collapsed="false">
      <c r="A336" s="1" t="n">
        <v>335</v>
      </c>
      <c r="B336" s="7" t="str">
        <f aca="false">HYPERLINK("https://mncourtfraud.com/file/27-CR-21-21833.pdf","27-CR-21-21833")</f>
        <v>27-CR-21-21833</v>
      </c>
      <c r="C336" s="1" t="n">
        <v>5</v>
      </c>
      <c r="D336" s="2" t="s">
        <v>267</v>
      </c>
      <c r="E336" s="8" t="n">
        <v>45194</v>
      </c>
      <c r="F336" s="2" t="s">
        <v>15</v>
      </c>
      <c r="G336" s="7" t="str">
        <f aca="false">HYPERLINK("https://mncourtfraud.com/file/MCRO_27-CR-21-21833_Order-Evaluation for Competency to Proceed (Rule 20.01)_2023-09-25_20251126165306.pdf","MCRO_27-CR-21-21833_Order-Evaluation for Competency to Proceed (Rule 20.01)_2023-09-25_20251126165306.pdf")</f>
        <v>MCRO_27-CR-21-21833_Order-Evaluation for Competency to Proceed (Rule 20.01)_2023-09-25_20251126165306.pdf</v>
      </c>
      <c r="H336" s="1" t="n">
        <v>4</v>
      </c>
      <c r="I336" s="1" t="s">
        <v>1360</v>
      </c>
      <c r="J336" s="1" t="n">
        <v>1</v>
      </c>
      <c r="K336" s="1" t="n">
        <v>1</v>
      </c>
      <c r="L336" s="2" t="s">
        <v>1942</v>
      </c>
      <c r="M336" s="2" t="s">
        <v>1362</v>
      </c>
      <c r="N336" s="2" t="s">
        <v>1943</v>
      </c>
      <c r="O336" s="2" t="s">
        <v>1364</v>
      </c>
      <c r="P336" s="2" t="s">
        <v>1536</v>
      </c>
      <c r="Q336" s="1" t="n">
        <v>0</v>
      </c>
      <c r="R336" s="2" t="n">
        <v>145787</v>
      </c>
      <c r="S336" s="2" t="n">
        <v>162173</v>
      </c>
      <c r="T336" s="2" t="n">
        <v>4468</v>
      </c>
      <c r="U336" s="2" t="n">
        <v>150255</v>
      </c>
      <c r="V336" s="2" t="n">
        <v>90.17</v>
      </c>
      <c r="W336" s="2" t="s">
        <v>1360</v>
      </c>
    </row>
    <row r="337" customFormat="false" ht="18.7" hidden="false" customHeight="true" outlineLevel="0" collapsed="false">
      <c r="A337" s="1" t="n">
        <v>336</v>
      </c>
      <c r="B337" s="7" t="str">
        <f aca="false">HYPERLINK("https://mncourtfraud.com/file/27-CR-21-21833.pdf","27-CR-21-21833")</f>
        <v>27-CR-21-21833</v>
      </c>
      <c r="C337" s="1" t="n">
        <v>5</v>
      </c>
      <c r="D337" s="2" t="s">
        <v>267</v>
      </c>
      <c r="E337" s="8" t="n">
        <v>44733</v>
      </c>
      <c r="F337" s="2" t="s">
        <v>17</v>
      </c>
      <c r="G337" s="7" t="str">
        <f aca="false">HYPERLINK("https://mncourtfraud.com/file/MCRO_27-CR-21-21833_Returned Mail_2022-06-21_20251126165240.pdf","MCRO_27-CR-21-21833_Returned Mail_2022-06-21_20251126165240.pdf")</f>
        <v>MCRO_27-CR-21-21833_Returned Mail_2022-06-21_20251126165240.pdf</v>
      </c>
      <c r="H337" s="1" t="n">
        <v>4</v>
      </c>
      <c r="I337" s="1" t="s">
        <v>1360</v>
      </c>
      <c r="J337" s="1" t="n">
        <v>1</v>
      </c>
      <c r="K337" s="1" t="n">
        <v>1</v>
      </c>
      <c r="L337" s="2" t="s">
        <v>1944</v>
      </c>
      <c r="M337" s="2" t="s">
        <v>1362</v>
      </c>
      <c r="N337" s="2" t="s">
        <v>1945</v>
      </c>
      <c r="O337" s="2" t="s">
        <v>1364</v>
      </c>
      <c r="P337" s="2" t="s">
        <v>1904</v>
      </c>
      <c r="Q337" s="1" t="n">
        <v>0</v>
      </c>
      <c r="R337" s="2" t="n">
        <v>233560</v>
      </c>
      <c r="S337" s="2" t="n">
        <v>249946</v>
      </c>
      <c r="T337" s="2" t="n">
        <v>4519</v>
      </c>
      <c r="U337" s="2" t="n">
        <v>238079</v>
      </c>
      <c r="V337" s="2" t="n">
        <v>93.56</v>
      </c>
      <c r="W337" s="2" t="s">
        <v>1360</v>
      </c>
    </row>
    <row r="338" customFormat="false" ht="18.7" hidden="false" customHeight="true" outlineLevel="0" collapsed="false">
      <c r="A338" s="1" t="n">
        <v>337</v>
      </c>
      <c r="B338" s="7" t="str">
        <f aca="false">HYPERLINK("https://mncourtfraud.com/file/27-CR-21-21833.pdf","27-CR-21-21833")</f>
        <v>27-CR-21-21833</v>
      </c>
      <c r="C338" s="1" t="n">
        <v>5</v>
      </c>
      <c r="D338" s="2" t="s">
        <v>267</v>
      </c>
      <c r="E338" s="8" t="n">
        <v>44837</v>
      </c>
      <c r="F338" s="2" t="s">
        <v>17</v>
      </c>
      <c r="G338" s="7" t="str">
        <f aca="false">HYPERLINK("https://mncourtfraud.com/file/MCRO_27-CR-21-21833_Returned Mail_2022-10-03_20251126165252.pdf","MCRO_27-CR-21-21833_Returned Mail_2022-10-03_20251126165252.pdf")</f>
        <v>MCRO_27-CR-21-21833_Returned Mail_2022-10-03_20251126165252.pdf</v>
      </c>
      <c r="H338" s="1" t="n">
        <v>4</v>
      </c>
      <c r="I338" s="1" t="s">
        <v>1360</v>
      </c>
      <c r="J338" s="1" t="n">
        <v>1</v>
      </c>
      <c r="K338" s="1" t="n">
        <v>1</v>
      </c>
      <c r="L338" s="2" t="s">
        <v>1946</v>
      </c>
      <c r="M338" s="2" t="s">
        <v>1362</v>
      </c>
      <c r="N338" s="2" t="s">
        <v>1947</v>
      </c>
      <c r="O338" s="2" t="s">
        <v>1364</v>
      </c>
      <c r="P338" s="2" t="s">
        <v>1907</v>
      </c>
      <c r="Q338" s="1" t="n">
        <v>0</v>
      </c>
      <c r="R338" s="2" t="n">
        <v>360313</v>
      </c>
      <c r="S338" s="2" t="n">
        <v>376699</v>
      </c>
      <c r="T338" s="2" t="n">
        <v>4520</v>
      </c>
      <c r="U338" s="2" t="n">
        <v>364833</v>
      </c>
      <c r="V338" s="2" t="n">
        <v>95.7</v>
      </c>
      <c r="W338" s="2" t="s">
        <v>1360</v>
      </c>
    </row>
    <row r="339" customFormat="false" ht="18.7" hidden="false" customHeight="true" outlineLevel="0" collapsed="false">
      <c r="A339" s="1" t="n">
        <v>338</v>
      </c>
      <c r="B339" s="7" t="str">
        <f aca="false">HYPERLINK("https://mncourtfraud.com/file/27-CR-21-22737.pdf","27-CR-21-22737")</f>
        <v>27-CR-21-22737</v>
      </c>
      <c r="C339" s="1" t="n">
        <v>5</v>
      </c>
      <c r="D339" s="2" t="s">
        <v>267</v>
      </c>
      <c r="E339" s="8" t="n">
        <v>44873</v>
      </c>
      <c r="F339" s="2" t="s">
        <v>15</v>
      </c>
      <c r="G339" s="7" t="str">
        <f aca="false">HYPERLINK("https://mncourtfraud.com/file/MCRO_27-CR-21-22737_Order-Evaluation for Competency to Proceed (Rule 20.01)_2022-11-08_20251126165353.pdf","MCRO_27-CR-21-22737_Order-Evaluation for Competency to Proceed (Rule 20.01)_2022-11-08_20251126165353.pdf")</f>
        <v>MCRO_27-CR-21-22737_Order-Evaluation for Competency to Proceed (Rule 20.01)_2022-11-08_20251126165353.pdf</v>
      </c>
      <c r="H339" s="1" t="n">
        <v>4</v>
      </c>
      <c r="I339" s="1" t="s">
        <v>1360</v>
      </c>
      <c r="J339" s="1" t="n">
        <v>1</v>
      </c>
      <c r="K339" s="1" t="n">
        <v>1</v>
      </c>
      <c r="L339" s="2" t="s">
        <v>1948</v>
      </c>
      <c r="M339" s="2" t="s">
        <v>1362</v>
      </c>
      <c r="N339" s="2" t="s">
        <v>1949</v>
      </c>
      <c r="O339" s="2" t="s">
        <v>1364</v>
      </c>
      <c r="P339" s="2" t="s">
        <v>1390</v>
      </c>
      <c r="Q339" s="1" t="n">
        <v>0</v>
      </c>
      <c r="R339" s="2" t="n">
        <v>825185</v>
      </c>
      <c r="S339" s="2" t="n">
        <v>841571</v>
      </c>
      <c r="T339" s="2" t="n">
        <v>4525</v>
      </c>
      <c r="U339" s="2" t="n">
        <v>829710</v>
      </c>
      <c r="V339" s="2" t="n">
        <v>98.06</v>
      </c>
      <c r="W339" s="2" t="s">
        <v>1360</v>
      </c>
    </row>
    <row r="340" customFormat="false" ht="18.7" hidden="false" customHeight="true" outlineLevel="0" collapsed="false">
      <c r="A340" s="1" t="n">
        <v>339</v>
      </c>
      <c r="B340" s="7" t="str">
        <f aca="false">HYPERLINK("https://mncourtfraud.com/file/27-CR-21-22737.pdf","27-CR-21-22737")</f>
        <v>27-CR-21-22737</v>
      </c>
      <c r="C340" s="1" t="n">
        <v>5</v>
      </c>
      <c r="D340" s="2" t="s">
        <v>267</v>
      </c>
      <c r="E340" s="8" t="n">
        <v>45023</v>
      </c>
      <c r="F340" s="2" t="s">
        <v>15</v>
      </c>
      <c r="G340" s="7" t="str">
        <f aca="false">HYPERLINK("https://mncourtfraud.com/file/MCRO_27-CR-21-22737_Order-Evaluation for Competency to Proceed (Rule 20.01)_2023-04-07_20251126165404.pdf","MCRO_27-CR-21-22737_Order-Evaluation for Competency to Proceed (Rule 20.01)_2023-04-07_20251126165404.pdf")</f>
        <v>MCRO_27-CR-21-22737_Order-Evaluation for Competency to Proceed (Rule 20.01)_2023-04-07_20251126165404.pdf</v>
      </c>
      <c r="H340" s="1" t="n">
        <v>4</v>
      </c>
      <c r="I340" s="1" t="s">
        <v>1360</v>
      </c>
      <c r="J340" s="1" t="n">
        <v>1</v>
      </c>
      <c r="K340" s="1" t="n">
        <v>1</v>
      </c>
      <c r="L340" s="2" t="s">
        <v>1950</v>
      </c>
      <c r="M340" s="2" t="s">
        <v>1362</v>
      </c>
      <c r="N340" s="2" t="s">
        <v>1951</v>
      </c>
      <c r="O340" s="2" t="s">
        <v>1364</v>
      </c>
      <c r="P340" s="2" t="s">
        <v>1384</v>
      </c>
      <c r="Q340" s="1" t="n">
        <v>0</v>
      </c>
      <c r="R340" s="2" t="n">
        <v>1113970</v>
      </c>
      <c r="S340" s="2" t="n">
        <v>1130356</v>
      </c>
      <c r="T340" s="2" t="n">
        <v>8533</v>
      </c>
      <c r="U340" s="2" t="n">
        <v>1122503</v>
      </c>
      <c r="V340" s="2" t="n">
        <v>98.56</v>
      </c>
      <c r="W340" s="2" t="s">
        <v>1360</v>
      </c>
    </row>
    <row r="341" customFormat="false" ht="18.7" hidden="false" customHeight="true" outlineLevel="0" collapsed="false">
      <c r="A341" s="1" t="n">
        <v>340</v>
      </c>
      <c r="B341" s="7" t="str">
        <f aca="false">HYPERLINK("https://mncourtfraud.com/file/27-CR-21-22737.pdf","27-CR-21-22737")</f>
        <v>27-CR-21-22737</v>
      </c>
      <c r="C341" s="1" t="n">
        <v>5</v>
      </c>
      <c r="D341" s="2" t="s">
        <v>267</v>
      </c>
      <c r="E341" s="8" t="n">
        <v>45194</v>
      </c>
      <c r="F341" s="2" t="s">
        <v>15</v>
      </c>
      <c r="G341" s="7" t="str">
        <f aca="false">HYPERLINK("https://mncourtfraud.com/file/MCRO_27-CR-21-22737_Order-Evaluation for Competency to Proceed (Rule 20.01)_2023-09-25_20251126165414.pdf","MCRO_27-CR-21-22737_Order-Evaluation for Competency to Proceed (Rule 20.01)_2023-09-25_20251126165414.pdf")</f>
        <v>MCRO_27-CR-21-22737_Order-Evaluation for Competency to Proceed (Rule 20.01)_2023-09-25_20251126165414.pdf</v>
      </c>
      <c r="H341" s="1" t="n">
        <v>4</v>
      </c>
      <c r="I341" s="1" t="s">
        <v>1360</v>
      </c>
      <c r="J341" s="1" t="n">
        <v>1</v>
      </c>
      <c r="K341" s="1" t="n">
        <v>1</v>
      </c>
      <c r="L341" s="2" t="s">
        <v>1952</v>
      </c>
      <c r="M341" s="2" t="s">
        <v>1362</v>
      </c>
      <c r="N341" s="2" t="s">
        <v>1953</v>
      </c>
      <c r="O341" s="2" t="s">
        <v>1364</v>
      </c>
      <c r="P341" s="2" t="s">
        <v>1536</v>
      </c>
      <c r="Q341" s="1" t="n">
        <v>0</v>
      </c>
      <c r="R341" s="2" t="n">
        <v>145790</v>
      </c>
      <c r="S341" s="2" t="n">
        <v>162176</v>
      </c>
      <c r="T341" s="2" t="n">
        <v>4468</v>
      </c>
      <c r="U341" s="2" t="n">
        <v>150258</v>
      </c>
      <c r="V341" s="2" t="n">
        <v>90.17</v>
      </c>
      <c r="W341" s="2" t="s">
        <v>1360</v>
      </c>
    </row>
    <row r="342" customFormat="false" ht="18.7" hidden="false" customHeight="true" outlineLevel="0" collapsed="false">
      <c r="A342" s="1" t="n">
        <v>341</v>
      </c>
      <c r="B342" s="7" t="str">
        <f aca="false">HYPERLINK("https://mncourtfraud.com/file/27-CR-21-22737.pdf","27-CR-21-22737")</f>
        <v>27-CR-21-22737</v>
      </c>
      <c r="C342" s="1" t="n">
        <v>5</v>
      </c>
      <c r="D342" s="2" t="s">
        <v>267</v>
      </c>
      <c r="E342" s="8" t="n">
        <v>44733</v>
      </c>
      <c r="F342" s="2" t="s">
        <v>17</v>
      </c>
      <c r="G342" s="7" t="str">
        <f aca="false">HYPERLINK("https://mncourtfraud.com/file/MCRO_27-CR-21-22737_Returned Mail_2022-06-21_20251126165440.pdf","MCRO_27-CR-21-22737_Returned Mail_2022-06-21_20251126165440.pdf")</f>
        <v>MCRO_27-CR-21-22737_Returned Mail_2022-06-21_20251126165440.pdf</v>
      </c>
      <c r="H342" s="1" t="n">
        <v>4</v>
      </c>
      <c r="I342" s="1" t="s">
        <v>1360</v>
      </c>
      <c r="J342" s="1" t="n">
        <v>1</v>
      </c>
      <c r="K342" s="1" t="n">
        <v>1</v>
      </c>
      <c r="L342" s="2" t="s">
        <v>1954</v>
      </c>
      <c r="M342" s="2" t="s">
        <v>1362</v>
      </c>
      <c r="N342" s="2" t="s">
        <v>1955</v>
      </c>
      <c r="O342" s="2" t="s">
        <v>1364</v>
      </c>
      <c r="P342" s="2" t="s">
        <v>1956</v>
      </c>
      <c r="Q342" s="1" t="n">
        <v>0</v>
      </c>
      <c r="R342" s="2" t="n">
        <v>376581</v>
      </c>
      <c r="S342" s="2" t="n">
        <v>392967</v>
      </c>
      <c r="T342" s="2" t="n">
        <v>8489</v>
      </c>
      <c r="U342" s="2" t="n">
        <v>385070</v>
      </c>
      <c r="V342" s="2" t="n">
        <v>95.92</v>
      </c>
      <c r="W342" s="2" t="s">
        <v>1360</v>
      </c>
    </row>
    <row r="343" customFormat="false" ht="18.7" hidden="false" customHeight="true" outlineLevel="0" collapsed="false">
      <c r="A343" s="1" t="n">
        <v>342</v>
      </c>
      <c r="B343" s="7" t="str">
        <f aca="false">HYPERLINK("https://mncourtfraud.com/file/27-CR-21-22737.pdf","27-CR-21-22737")</f>
        <v>27-CR-21-22737</v>
      </c>
      <c r="C343" s="1" t="n">
        <v>5</v>
      </c>
      <c r="D343" s="2" t="s">
        <v>267</v>
      </c>
      <c r="E343" s="8" t="n">
        <v>44837</v>
      </c>
      <c r="F343" s="2" t="s">
        <v>17</v>
      </c>
      <c r="G343" s="7" t="str">
        <f aca="false">HYPERLINK("https://mncourtfraud.com/file/MCRO_27-CR-21-22737_Returned Mail_2022-10-03_20251126165429.pdf","MCRO_27-CR-21-22737_Returned Mail_2022-10-03_20251126165429.pdf")</f>
        <v>MCRO_27-CR-21-22737_Returned Mail_2022-10-03_20251126165429.pdf</v>
      </c>
      <c r="H343" s="1" t="n">
        <v>4</v>
      </c>
      <c r="I343" s="1" t="s">
        <v>1360</v>
      </c>
      <c r="J343" s="1" t="n">
        <v>1</v>
      </c>
      <c r="K343" s="1" t="n">
        <v>1</v>
      </c>
      <c r="L343" s="2" t="s">
        <v>1957</v>
      </c>
      <c r="M343" s="2" t="s">
        <v>1362</v>
      </c>
      <c r="N343" s="2" t="s">
        <v>1958</v>
      </c>
      <c r="O343" s="2" t="s">
        <v>1364</v>
      </c>
      <c r="P343" s="2" t="s">
        <v>1907</v>
      </c>
      <c r="Q343" s="1" t="n">
        <v>0</v>
      </c>
      <c r="R343" s="2" t="n">
        <v>360313</v>
      </c>
      <c r="S343" s="2" t="n">
        <v>376699</v>
      </c>
      <c r="T343" s="2" t="n">
        <v>4520</v>
      </c>
      <c r="U343" s="2" t="n">
        <v>364833</v>
      </c>
      <c r="V343" s="2" t="n">
        <v>95.7</v>
      </c>
      <c r="W343" s="2" t="s">
        <v>1360</v>
      </c>
    </row>
    <row r="344" customFormat="false" ht="18.7" hidden="false" customHeight="true" outlineLevel="0" collapsed="false">
      <c r="A344" s="1" t="n">
        <v>343</v>
      </c>
      <c r="B344" s="7" t="str">
        <f aca="false">HYPERLINK("https://mncourtfraud.com/file/27-CR-21-23724.pdf","27-CR-21-23724")</f>
        <v>27-CR-21-23724</v>
      </c>
      <c r="C344" s="1" t="n">
        <v>1</v>
      </c>
      <c r="D344" s="2" t="s">
        <v>12</v>
      </c>
      <c r="E344" s="8" t="n">
        <v>45048</v>
      </c>
      <c r="F344" s="2" t="s">
        <v>80</v>
      </c>
      <c r="G344" s="7" t="str">
        <f aca="false">HYPERLINK("https://mncourtfraud.com/file/MCRO_27-CR-21-23724_Finding of Incompetency and Order_2023-05-02_20251126184009.pdf","MCRO_27-CR-21-23724_Finding of Incompetency and Order_2023-05-02_20251126184009.pdf")</f>
        <v>MCRO_27-CR-21-23724_Finding of Incompetency and Order_2023-05-02_20251126184009.pdf</v>
      </c>
      <c r="H344" s="1" t="n">
        <v>9</v>
      </c>
      <c r="I344" s="1" t="s">
        <v>1366</v>
      </c>
      <c r="J344" s="1" t="n">
        <v>1</v>
      </c>
      <c r="K344" s="1" t="n">
        <v>1</v>
      </c>
      <c r="L344" s="2" t="s">
        <v>1491</v>
      </c>
      <c r="M344" s="2" t="s">
        <v>1492</v>
      </c>
      <c r="N344" s="2" t="s">
        <v>1493</v>
      </c>
      <c r="O344" s="2" t="s">
        <v>1494</v>
      </c>
      <c r="P344" s="2" t="s">
        <v>1495</v>
      </c>
      <c r="Q344" s="1" t="n">
        <v>0</v>
      </c>
      <c r="R344" s="2" t="n">
        <v>100288</v>
      </c>
      <c r="S344" s="2" t="n">
        <v>112370</v>
      </c>
      <c r="T344" s="2" t="n">
        <v>48200</v>
      </c>
      <c r="U344" s="2" t="n">
        <v>148488</v>
      </c>
      <c r="V344" s="2" t="n">
        <v>15.21</v>
      </c>
      <c r="W344" s="2" t="s">
        <v>1366</v>
      </c>
    </row>
    <row r="345" customFormat="false" ht="18.7" hidden="false" customHeight="true" outlineLevel="0" collapsed="false">
      <c r="A345" s="1" t="n">
        <v>344</v>
      </c>
      <c r="B345" s="7" t="str">
        <f aca="false">HYPERLINK("https://mncourtfraud.com/file/27-CR-21-23724.pdf","27-CR-21-23724")</f>
        <v>27-CR-21-23724</v>
      </c>
      <c r="C345" s="1" t="n">
        <v>1</v>
      </c>
      <c r="D345" s="2" t="s">
        <v>12</v>
      </c>
      <c r="E345" s="8" t="n">
        <v>45048</v>
      </c>
      <c r="F345" s="2" t="s">
        <v>80</v>
      </c>
      <c r="G345" s="7" t="str">
        <f aca="false">HYPERLINK("https://mncourtfraud.com/file/MCRO_27-CR-21-23724_Finding of Incompetency and Order_2023-05-02_20251126184009.pdf","MCRO_27-CR-21-23724_Finding of Incompetency and Order_2023-05-02_20251126184009.pdf")</f>
        <v>MCRO_27-CR-21-23724_Finding of Incompetency and Order_2023-05-02_20251126184009.pdf</v>
      </c>
      <c r="H345" s="1" t="n">
        <v>9</v>
      </c>
      <c r="I345" s="1" t="s">
        <v>1366</v>
      </c>
      <c r="J345" s="1" t="n">
        <v>2</v>
      </c>
      <c r="K345" s="1" t="n">
        <v>2</v>
      </c>
      <c r="L345" s="2" t="s">
        <v>1367</v>
      </c>
      <c r="M345" s="2" t="s">
        <v>1496</v>
      </c>
      <c r="N345" s="2" t="s">
        <v>1497</v>
      </c>
      <c r="O345" s="2" t="s">
        <v>1494</v>
      </c>
      <c r="P345" s="2" t="s">
        <v>1498</v>
      </c>
      <c r="Q345" s="1" t="n">
        <v>0</v>
      </c>
      <c r="R345" s="2" t="n">
        <v>160968</v>
      </c>
      <c r="S345" s="2" t="n">
        <v>167974</v>
      </c>
      <c r="T345" s="2" t="n">
        <v>59084</v>
      </c>
      <c r="U345" s="2" t="n">
        <v>220052</v>
      </c>
      <c r="V345" s="2" t="n">
        <v>22.53</v>
      </c>
      <c r="W345" s="2" t="s">
        <v>1366</v>
      </c>
    </row>
    <row r="346" customFormat="false" ht="18.7" hidden="false" customHeight="true" outlineLevel="0" collapsed="false">
      <c r="A346" s="1" t="n">
        <v>345</v>
      </c>
      <c r="B346" s="7" t="str">
        <f aca="false">HYPERLINK("https://mncourtfraud.com/file/27-CR-21-23724.pdf","27-CR-21-23724")</f>
        <v>27-CR-21-23724</v>
      </c>
      <c r="C346" s="1" t="n">
        <v>1</v>
      </c>
      <c r="D346" s="2" t="s">
        <v>12</v>
      </c>
      <c r="E346" s="8" t="n">
        <v>45048</v>
      </c>
      <c r="F346" s="2" t="s">
        <v>80</v>
      </c>
      <c r="G346" s="7" t="str">
        <f aca="false">HYPERLINK("https://mncourtfraud.com/file/MCRO_27-CR-21-23724_Finding of Incompetency and Order_2023-05-02_20251126184009.pdf","MCRO_27-CR-21-23724_Finding of Incompetency and Order_2023-05-02_20251126184009.pdf")</f>
        <v>MCRO_27-CR-21-23724_Finding of Incompetency and Order_2023-05-02_20251126184009.pdf</v>
      </c>
      <c r="H346" s="1" t="n">
        <v>9</v>
      </c>
      <c r="I346" s="1" t="s">
        <v>1366</v>
      </c>
      <c r="J346" s="1" t="n">
        <v>3</v>
      </c>
      <c r="K346" s="1" t="n">
        <v>3</v>
      </c>
      <c r="L346" s="2" t="s">
        <v>1959</v>
      </c>
      <c r="M346" s="2" t="s">
        <v>1362</v>
      </c>
      <c r="N346" s="2" t="s">
        <v>1960</v>
      </c>
      <c r="O346" s="2" t="s">
        <v>1364</v>
      </c>
      <c r="P346" s="2" t="s">
        <v>1501</v>
      </c>
      <c r="Q346" s="1" t="n">
        <v>0</v>
      </c>
      <c r="R346" s="2" t="n">
        <v>954854</v>
      </c>
      <c r="S346" s="2" t="n">
        <v>971240</v>
      </c>
      <c r="T346" s="2" t="n">
        <v>5304</v>
      </c>
      <c r="U346" s="2" t="n">
        <v>960158</v>
      </c>
      <c r="V346" s="2" t="n">
        <v>98.32</v>
      </c>
      <c r="W346" s="2" t="s">
        <v>1360</v>
      </c>
    </row>
    <row r="347" customFormat="false" ht="18.7" hidden="false" customHeight="true" outlineLevel="0" collapsed="false">
      <c r="A347" s="1" t="n">
        <v>346</v>
      </c>
      <c r="B347" s="7" t="str">
        <f aca="false">HYPERLINK("https://mncourtfraud.com/file/27-CR-21-23724.pdf","27-CR-21-23724")</f>
        <v>27-CR-21-23724</v>
      </c>
      <c r="C347" s="1" t="n">
        <v>1</v>
      </c>
      <c r="D347" s="2" t="s">
        <v>12</v>
      </c>
      <c r="E347" s="8" t="n">
        <v>44593</v>
      </c>
      <c r="F347" s="2" t="s">
        <v>19</v>
      </c>
      <c r="G347" s="7" t="str">
        <f aca="false">HYPERLINK("https://mncourtfraud.com/file/MCRO_27-CR-21-23724_Findings and Order_2022-02-01_20251126184020.pdf","MCRO_27-CR-21-23724_Findings and Order_2022-02-01_20251126184020.pdf")</f>
        <v>MCRO_27-CR-21-23724_Findings and Order_2022-02-01_20251126184020.pdf</v>
      </c>
      <c r="H347" s="1" t="n">
        <v>4</v>
      </c>
      <c r="I347" s="1" t="s">
        <v>1360</v>
      </c>
      <c r="J347" s="1" t="n">
        <v>1</v>
      </c>
      <c r="K347" s="1" t="n">
        <v>1</v>
      </c>
      <c r="L347" s="2" t="s">
        <v>1367</v>
      </c>
      <c r="M347" s="2" t="s">
        <v>1368</v>
      </c>
      <c r="N347" s="2" t="s">
        <v>1374</v>
      </c>
      <c r="O347" s="2" t="s">
        <v>1364</v>
      </c>
      <c r="P347" s="2" t="s">
        <v>1375</v>
      </c>
      <c r="Q347" s="1" t="n">
        <v>0</v>
      </c>
      <c r="R347" s="2" t="n">
        <v>163153</v>
      </c>
      <c r="S347" s="2" t="n">
        <v>173205</v>
      </c>
      <c r="T347" s="2" t="n">
        <v>9683</v>
      </c>
      <c r="U347" s="2" t="n">
        <v>172836</v>
      </c>
      <c r="V347" s="2" t="n">
        <v>47.77</v>
      </c>
      <c r="W347" s="2" t="s">
        <v>1366</v>
      </c>
    </row>
    <row r="348" customFormat="false" ht="18.7" hidden="false" customHeight="true" outlineLevel="0" collapsed="false">
      <c r="A348" s="1" t="n">
        <v>347</v>
      </c>
      <c r="B348" s="7" t="str">
        <f aca="false">HYPERLINK("https://mncourtfraud.com/file/27-CR-21-23724.pdf","27-CR-21-23724")</f>
        <v>27-CR-21-23724</v>
      </c>
      <c r="C348" s="1" t="n">
        <v>1</v>
      </c>
      <c r="D348" s="2" t="s">
        <v>12</v>
      </c>
      <c r="E348" s="8" t="n">
        <v>44593</v>
      </c>
      <c r="F348" s="2" t="s">
        <v>19</v>
      </c>
      <c r="G348" s="7" t="str">
        <f aca="false">HYPERLINK("https://mncourtfraud.com/file/MCRO_27-CR-21-23724_Findings and Order_2022-02-01_20251126184020.pdf","MCRO_27-CR-21-23724_Findings and Order_2022-02-01_20251126184020.pdf")</f>
        <v>MCRO_27-CR-21-23724_Findings and Order_2022-02-01_20251126184020.pdf</v>
      </c>
      <c r="H348" s="1" t="n">
        <v>4</v>
      </c>
      <c r="I348" s="1" t="s">
        <v>1360</v>
      </c>
      <c r="J348" s="1" t="n">
        <v>2</v>
      </c>
      <c r="K348" s="1" t="n">
        <v>2</v>
      </c>
      <c r="L348" s="2" t="s">
        <v>1961</v>
      </c>
      <c r="M348" s="2" t="s">
        <v>1362</v>
      </c>
      <c r="N348" s="2" t="s">
        <v>1962</v>
      </c>
      <c r="O348" s="2" t="s">
        <v>1364</v>
      </c>
      <c r="P348" s="2" t="s">
        <v>1378</v>
      </c>
      <c r="Q348" s="1" t="n">
        <v>0</v>
      </c>
      <c r="R348" s="2" t="n">
        <v>340308</v>
      </c>
      <c r="S348" s="2" t="n">
        <v>356694</v>
      </c>
      <c r="T348" s="2" t="n">
        <v>5091</v>
      </c>
      <c r="U348" s="2" t="n">
        <v>345399</v>
      </c>
      <c r="V348" s="2" t="n">
        <v>95.47</v>
      </c>
      <c r="W348" s="2" t="s">
        <v>1360</v>
      </c>
    </row>
    <row r="349" customFormat="false" ht="18.7" hidden="false" customHeight="true" outlineLevel="0" collapsed="false">
      <c r="A349" s="1" t="n">
        <v>348</v>
      </c>
      <c r="B349" s="7" t="str">
        <f aca="false">HYPERLINK("https://mncourtfraud.com/file/27-CR-21-23724.pdf","27-CR-21-23724")</f>
        <v>27-CR-21-23724</v>
      </c>
      <c r="C349" s="1" t="n">
        <v>1</v>
      </c>
      <c r="D349" s="2" t="s">
        <v>12</v>
      </c>
      <c r="E349" s="8" t="n">
        <v>45093</v>
      </c>
      <c r="F349" s="2" t="s">
        <v>82</v>
      </c>
      <c r="G349" s="7" t="str">
        <f aca="false">HYPERLINK("https://mncourtfraud.com/file/MCRO_27-CR-21-23724_Notice of Case Reassignment_2023-06-16_20251126184032.pdf","MCRO_27-CR-21-23724_Notice of Case Reassignment_2023-06-16_20251126184032.pdf")</f>
        <v>MCRO_27-CR-21-23724_Notice of Case Reassignment_2023-06-16_20251126184032.pdf</v>
      </c>
      <c r="H349" s="1" t="n">
        <v>3</v>
      </c>
      <c r="I349" s="1" t="s">
        <v>1360</v>
      </c>
      <c r="J349" s="1" t="n">
        <v>1</v>
      </c>
      <c r="K349" s="1" t="n">
        <v>1</v>
      </c>
      <c r="L349" s="2" t="s">
        <v>1963</v>
      </c>
      <c r="M349" s="2" t="s">
        <v>1362</v>
      </c>
      <c r="N349" s="2" t="s">
        <v>1964</v>
      </c>
      <c r="O349" s="2" t="s">
        <v>1364</v>
      </c>
      <c r="P349" s="2" t="s">
        <v>1508</v>
      </c>
      <c r="Q349" s="1" t="n">
        <v>0</v>
      </c>
      <c r="R349" s="2" t="n">
        <v>92690</v>
      </c>
      <c r="S349" s="2" t="n">
        <v>109076</v>
      </c>
      <c r="T349" s="2" t="n">
        <v>4554</v>
      </c>
      <c r="U349" s="2" t="n">
        <v>97244</v>
      </c>
      <c r="V349" s="2" t="n">
        <v>85.58</v>
      </c>
      <c r="W349" s="2" t="s">
        <v>1360</v>
      </c>
    </row>
    <row r="350" customFormat="false" ht="18.7" hidden="false" customHeight="true" outlineLevel="0" collapsed="false">
      <c r="A350" s="1" t="n">
        <v>349</v>
      </c>
      <c r="B350" s="7" t="str">
        <f aca="false">HYPERLINK("https://mncourtfraud.com/file/27-CR-21-23724.pdf","27-CR-21-23724")</f>
        <v>27-CR-21-23724</v>
      </c>
      <c r="C350" s="1" t="n">
        <v>1</v>
      </c>
      <c r="D350" s="2" t="s">
        <v>12</v>
      </c>
      <c r="E350" s="8" t="n">
        <v>44558</v>
      </c>
      <c r="F350" s="2" t="s">
        <v>15</v>
      </c>
      <c r="G350" s="7" t="str">
        <f aca="false">HYPERLINK("https://mncourtfraud.com/file/MCRO_27-CR-21-23724_Order-Evaluation for Competency to Proceed (Rule 20.01)_2021-12-28_20251126184113.pdf","MCRO_27-CR-21-23724_Order-Evaluation for Competency to Proceed (Rule 20.01)_2021-12-28_20251126184113.pdf")</f>
        <v>MCRO_27-CR-21-23724_Order-Evaluation for Competency to Proceed (Rule 20.01)_2021-12-28_20251126184113.pdf</v>
      </c>
      <c r="H350" s="1" t="n">
        <v>4</v>
      </c>
      <c r="I350" s="1" t="s">
        <v>1360</v>
      </c>
      <c r="J350" s="1" t="n">
        <v>1</v>
      </c>
      <c r="K350" s="1" t="n">
        <v>1</v>
      </c>
      <c r="L350" s="2" t="s">
        <v>1965</v>
      </c>
      <c r="M350" s="2" t="s">
        <v>1362</v>
      </c>
      <c r="N350" s="2" t="s">
        <v>1966</v>
      </c>
      <c r="O350" s="2" t="s">
        <v>1364</v>
      </c>
      <c r="P350" s="2" t="s">
        <v>1396</v>
      </c>
      <c r="Q350" s="1" t="n">
        <v>0</v>
      </c>
      <c r="R350" s="2" t="n">
        <v>216525</v>
      </c>
      <c r="S350" s="2" t="n">
        <v>232911</v>
      </c>
      <c r="T350" s="2" t="n">
        <v>8578</v>
      </c>
      <c r="U350" s="2" t="n">
        <v>225103</v>
      </c>
      <c r="V350" s="2" t="n">
        <v>93.21</v>
      </c>
      <c r="W350" s="2" t="s">
        <v>1360</v>
      </c>
    </row>
    <row r="351" customFormat="false" ht="18.7" hidden="false" customHeight="true" outlineLevel="0" collapsed="false">
      <c r="A351" s="1" t="n">
        <v>350</v>
      </c>
      <c r="B351" s="7" t="str">
        <f aca="false">HYPERLINK("https://mncourtfraud.com/file/27-CR-21-23724.pdf","27-CR-21-23724")</f>
        <v>27-CR-21-23724</v>
      </c>
      <c r="C351" s="1" t="n">
        <v>1</v>
      </c>
      <c r="D351" s="2" t="s">
        <v>12</v>
      </c>
      <c r="E351" s="8" t="n">
        <v>44692</v>
      </c>
      <c r="F351" s="2" t="s">
        <v>15</v>
      </c>
      <c r="G351" s="7" t="str">
        <f aca="false">HYPERLINK("https://mncourtfraud.com/file/MCRO_27-CR-21-23724_Order-Evaluation for Competency to Proceed (Rule 20.01)_2022-05-11_20251126184121.pdf","MCRO_27-CR-21-23724_Order-Evaluation for Competency to Proceed (Rule 20.01)_2022-05-11_20251126184121.pdf")</f>
        <v>MCRO_27-CR-21-23724_Order-Evaluation for Competency to Proceed (Rule 20.01)_2022-05-11_20251126184121.pdf</v>
      </c>
      <c r="H351" s="1" t="n">
        <v>3</v>
      </c>
      <c r="I351" s="1" t="s">
        <v>1360</v>
      </c>
      <c r="J351" s="1" t="n">
        <v>1</v>
      </c>
      <c r="K351" s="1" t="n">
        <v>1</v>
      </c>
      <c r="L351" s="2" t="s">
        <v>1967</v>
      </c>
      <c r="M351" s="2" t="s">
        <v>1362</v>
      </c>
      <c r="N351" s="2" t="s">
        <v>1968</v>
      </c>
      <c r="O351" s="2" t="s">
        <v>1364</v>
      </c>
      <c r="P351" s="2" t="s">
        <v>1399</v>
      </c>
      <c r="Q351" s="1" t="n">
        <v>0</v>
      </c>
      <c r="R351" s="2" t="n">
        <v>218707</v>
      </c>
      <c r="S351" s="2" t="n">
        <v>235093</v>
      </c>
      <c r="T351" s="2" t="n">
        <v>4728</v>
      </c>
      <c r="U351" s="2" t="n">
        <v>223435</v>
      </c>
      <c r="V351" s="2" t="n">
        <v>93.17</v>
      </c>
      <c r="W351" s="2" t="s">
        <v>1360</v>
      </c>
    </row>
    <row r="352" customFormat="false" ht="18.7" hidden="false" customHeight="true" outlineLevel="0" collapsed="false">
      <c r="A352" s="1" t="n">
        <v>351</v>
      </c>
      <c r="B352" s="7" t="str">
        <f aca="false">HYPERLINK("https://mncourtfraud.com/file/27-CR-21-23724.pdf","27-CR-21-23724")</f>
        <v>27-CR-21-23724</v>
      </c>
      <c r="C352" s="1" t="n">
        <v>1</v>
      </c>
      <c r="D352" s="2" t="s">
        <v>12</v>
      </c>
      <c r="E352" s="8" t="n">
        <v>44895</v>
      </c>
      <c r="F352" s="2" t="s">
        <v>15</v>
      </c>
      <c r="G352" s="7" t="str">
        <f aca="false">HYPERLINK("https://mncourtfraud.com/file/MCRO_27-CR-21-23724_Order-Evaluation for Competency to Proceed (Rule 20.01)_2022-11-30_20251126184131.pdf","MCRO_27-CR-21-23724_Order-Evaluation for Competency to Proceed (Rule 20.01)_2022-11-30_20251126184131.pdf")</f>
        <v>MCRO_27-CR-21-23724_Order-Evaluation for Competency to Proceed (Rule 20.01)_2022-11-30_20251126184131.pdf</v>
      </c>
      <c r="H352" s="1" t="n">
        <v>4</v>
      </c>
      <c r="I352" s="1" t="s">
        <v>1360</v>
      </c>
      <c r="J352" s="1" t="n">
        <v>1</v>
      </c>
      <c r="K352" s="1" t="n">
        <v>1</v>
      </c>
      <c r="L352" s="2" t="s">
        <v>1969</v>
      </c>
      <c r="M352" s="2" t="s">
        <v>1362</v>
      </c>
      <c r="N352" s="2" t="s">
        <v>1970</v>
      </c>
      <c r="O352" s="2" t="s">
        <v>1364</v>
      </c>
      <c r="P352" s="2" t="s">
        <v>1402</v>
      </c>
      <c r="Q352" s="1" t="n">
        <v>0</v>
      </c>
      <c r="R352" s="2" t="n">
        <v>795532</v>
      </c>
      <c r="S352" s="2" t="n">
        <v>811918</v>
      </c>
      <c r="T352" s="2" t="n">
        <v>5079</v>
      </c>
      <c r="U352" s="2" t="n">
        <v>800611</v>
      </c>
      <c r="V352" s="2" t="n">
        <v>97.99</v>
      </c>
      <c r="W352" s="2" t="s">
        <v>1360</v>
      </c>
    </row>
    <row r="353" customFormat="false" ht="18.7" hidden="false" customHeight="true" outlineLevel="0" collapsed="false">
      <c r="A353" s="1" t="n">
        <v>352</v>
      </c>
      <c r="B353" s="7" t="str">
        <f aca="false">HYPERLINK("https://mncourtfraud.com/file/27-CR-21-23724.pdf","27-CR-21-23724")</f>
        <v>27-CR-21-23724</v>
      </c>
      <c r="C353" s="1" t="n">
        <v>1</v>
      </c>
      <c r="D353" s="2" t="s">
        <v>12</v>
      </c>
      <c r="E353" s="8" t="n">
        <v>45160</v>
      </c>
      <c r="F353" s="2" t="s">
        <v>15</v>
      </c>
      <c r="G353" s="7" t="str">
        <f aca="false">HYPERLINK("https://mncourtfraud.com/file/MCRO_27-CR-21-23724_Order-Evaluation for Competency to Proceed (Rule 20.01)_2023-08-22_20251126184139.pdf","MCRO_27-CR-21-23724_Order-Evaluation for Competency to Proceed (Rule 20.01)_2023-08-22_20251126184139.pdf")</f>
        <v>MCRO_27-CR-21-23724_Order-Evaluation for Competency to Proceed (Rule 20.01)_2023-08-22_20251126184139.pdf</v>
      </c>
      <c r="H353" s="1" t="n">
        <v>6</v>
      </c>
      <c r="I353" s="1" t="s">
        <v>1366</v>
      </c>
      <c r="J353" s="1" t="n">
        <v>1</v>
      </c>
      <c r="K353" s="1" t="n">
        <v>1</v>
      </c>
      <c r="L353" s="2" t="s">
        <v>1367</v>
      </c>
      <c r="M353" s="2" t="s">
        <v>1519</v>
      </c>
      <c r="N353" s="2" t="s">
        <v>1520</v>
      </c>
      <c r="O353" s="2" t="s">
        <v>1494</v>
      </c>
      <c r="P353" s="2" t="s">
        <v>1521</v>
      </c>
      <c r="Q353" s="1" t="n">
        <v>0</v>
      </c>
      <c r="R353" s="2" t="n">
        <v>122115</v>
      </c>
      <c r="S353" s="2" t="n">
        <v>129143</v>
      </c>
      <c r="T353" s="2" t="n">
        <v>87775</v>
      </c>
      <c r="U353" s="2" t="n">
        <v>209890</v>
      </c>
      <c r="V353" s="2" t="n">
        <v>23.95</v>
      </c>
      <c r="W353" s="2" t="s">
        <v>1366</v>
      </c>
    </row>
    <row r="354" customFormat="false" ht="18.7" hidden="false" customHeight="true" outlineLevel="0" collapsed="false">
      <c r="A354" s="1" t="n">
        <v>353</v>
      </c>
      <c r="B354" s="7" t="str">
        <f aca="false">HYPERLINK("https://mncourtfraud.com/file/27-CR-21-23724.pdf","27-CR-21-23724")</f>
        <v>27-CR-21-23724</v>
      </c>
      <c r="C354" s="1" t="n">
        <v>1</v>
      </c>
      <c r="D354" s="2" t="s">
        <v>12</v>
      </c>
      <c r="E354" s="8" t="n">
        <v>45160</v>
      </c>
      <c r="F354" s="2" t="s">
        <v>15</v>
      </c>
      <c r="G354" s="7" t="str">
        <f aca="false">HYPERLINK("https://mncourtfraud.com/file/MCRO_27-CR-21-23724_Order-Evaluation for Competency to Proceed (Rule 20.01)_2023-08-22_20251126184139.pdf","MCRO_27-CR-21-23724_Order-Evaluation for Competency to Proceed (Rule 20.01)_2023-08-22_20251126184139.pdf")</f>
        <v>MCRO_27-CR-21-23724_Order-Evaluation for Competency to Proceed (Rule 20.01)_2023-08-22_20251126184139.pdf</v>
      </c>
      <c r="H354" s="1" t="n">
        <v>6</v>
      </c>
      <c r="I354" s="1" t="s">
        <v>1366</v>
      </c>
      <c r="J354" s="1" t="n">
        <v>2</v>
      </c>
      <c r="K354" s="1" t="n">
        <v>2</v>
      </c>
      <c r="L354" s="2" t="s">
        <v>1971</v>
      </c>
      <c r="M354" s="2" t="s">
        <v>1362</v>
      </c>
      <c r="N354" s="2" t="s">
        <v>1972</v>
      </c>
      <c r="O354" s="2" t="s">
        <v>1364</v>
      </c>
      <c r="P354" s="2" t="s">
        <v>1524</v>
      </c>
      <c r="Q354" s="1" t="n">
        <v>0</v>
      </c>
      <c r="R354" s="2" t="n">
        <v>855045</v>
      </c>
      <c r="S354" s="2" t="n">
        <v>871431</v>
      </c>
      <c r="T354" s="2" t="n">
        <v>4972</v>
      </c>
      <c r="U354" s="2" t="n">
        <v>860017</v>
      </c>
      <c r="V354" s="2" t="n">
        <v>98.13</v>
      </c>
      <c r="W354" s="2" t="s">
        <v>1360</v>
      </c>
    </row>
    <row r="355" customFormat="false" ht="18.7" hidden="false" customHeight="true" outlineLevel="0" collapsed="false">
      <c r="A355" s="1" t="n">
        <v>354</v>
      </c>
      <c r="B355" s="7" t="str">
        <f aca="false">HYPERLINK("https://mncourtfraud.com/file/27-CR-21-23724.pdf","27-CR-21-23724")</f>
        <v>27-CR-21-23724</v>
      </c>
      <c r="C355" s="1" t="n">
        <v>1</v>
      </c>
      <c r="D355" s="2" t="s">
        <v>12</v>
      </c>
      <c r="E355" s="8" t="n">
        <v>45412</v>
      </c>
      <c r="F355" s="2" t="s">
        <v>15</v>
      </c>
      <c r="G355" s="7" t="str">
        <f aca="false">HYPERLINK("https://mncourtfraud.com/file/MCRO_27-CR-21-23724_Order-Evaluation for Competency to Proceed (Rule 20.01)_2024-04-30_20251126184103.pdf","MCRO_27-CR-21-23724_Order-Evaluation for Competency to Proceed (Rule 20.01)_2024-04-30_20251126184103.pdf")</f>
        <v>MCRO_27-CR-21-23724_Order-Evaluation for Competency to Proceed (Rule 20.01)_2024-04-30_20251126184103.pdf</v>
      </c>
      <c r="H355" s="1" t="n">
        <v>4</v>
      </c>
      <c r="I355" s="1" t="s">
        <v>1360</v>
      </c>
      <c r="J355" s="1" t="n">
        <v>1</v>
      </c>
      <c r="K355" s="1" t="n">
        <v>1</v>
      </c>
      <c r="L355" s="2" t="s">
        <v>1973</v>
      </c>
      <c r="M355" s="2" t="s">
        <v>1362</v>
      </c>
      <c r="N355" s="2" t="s">
        <v>1974</v>
      </c>
      <c r="O355" s="2" t="s">
        <v>1364</v>
      </c>
      <c r="P355" s="2" t="s">
        <v>1390</v>
      </c>
      <c r="Q355" s="1" t="n">
        <v>0</v>
      </c>
      <c r="R355" s="2" t="n">
        <v>198658</v>
      </c>
      <c r="S355" s="2" t="n">
        <v>215044</v>
      </c>
      <c r="T355" s="2" t="n">
        <v>4474</v>
      </c>
      <c r="U355" s="2" t="n">
        <v>203132</v>
      </c>
      <c r="V355" s="2" t="n">
        <v>92.54</v>
      </c>
      <c r="W355" s="2" t="s">
        <v>1360</v>
      </c>
    </row>
    <row r="356" customFormat="false" ht="18.7" hidden="false" customHeight="true" outlineLevel="0" collapsed="false">
      <c r="A356" s="1" t="n">
        <v>355</v>
      </c>
      <c r="B356" s="7" t="str">
        <f aca="false">HYPERLINK("https://mncourtfraud.com/file/27-CR-21-23724.pdf","27-CR-21-23724")</f>
        <v>27-CR-21-23724</v>
      </c>
      <c r="C356" s="1" t="n">
        <v>1</v>
      </c>
      <c r="D356" s="2" t="s">
        <v>12</v>
      </c>
      <c r="E356" s="8" t="n">
        <v>45412</v>
      </c>
      <c r="F356" s="2" t="s">
        <v>24</v>
      </c>
      <c r="G356" s="7" t="str">
        <f aca="false">HYPERLINK("https://mncourtfraud.com/file/MCRO_27-CR-21-23724_Order for Conditional Release_2024-04-30_20251126184050.pdf","MCRO_27-CR-21-23724_Order for Conditional Release_2024-04-30_20251126184050.pdf")</f>
        <v>MCRO_27-CR-21-23724_Order for Conditional Release_2024-04-30_20251126184050.pdf</v>
      </c>
      <c r="H356" s="1" t="n">
        <v>4</v>
      </c>
      <c r="I356" s="1" t="s">
        <v>1360</v>
      </c>
      <c r="J356" s="1" t="n">
        <v>1</v>
      </c>
      <c r="K356" s="1" t="n">
        <v>1</v>
      </c>
      <c r="L356" s="2" t="s">
        <v>1975</v>
      </c>
      <c r="M356" s="2" t="s">
        <v>1362</v>
      </c>
      <c r="N356" s="2" t="s">
        <v>1976</v>
      </c>
      <c r="O356" s="2" t="s">
        <v>1364</v>
      </c>
      <c r="P356" s="2" t="s">
        <v>1536</v>
      </c>
      <c r="Q356" s="1" t="n">
        <v>0</v>
      </c>
      <c r="R356" s="2" t="n">
        <v>129679</v>
      </c>
      <c r="S356" s="2" t="n">
        <v>146065</v>
      </c>
      <c r="T356" s="2" t="n">
        <v>4468</v>
      </c>
      <c r="U356" s="2" t="n">
        <v>134147</v>
      </c>
      <c r="V356" s="2" t="n">
        <v>89.11</v>
      </c>
      <c r="W356" s="2" t="s">
        <v>1360</v>
      </c>
    </row>
    <row r="357" customFormat="false" ht="18.7" hidden="false" customHeight="true" outlineLevel="0" collapsed="false">
      <c r="A357" s="1" t="n">
        <v>356</v>
      </c>
      <c r="B357" s="7" t="str">
        <f aca="false">HYPERLINK("https://mncourtfraud.com/file/27-CR-21-23724.pdf","27-CR-21-23724")</f>
        <v>27-CR-21-23724</v>
      </c>
      <c r="C357" s="1" t="n">
        <v>1</v>
      </c>
      <c r="D357" s="2" t="s">
        <v>12</v>
      </c>
      <c r="E357" s="8" t="n">
        <v>44999</v>
      </c>
      <c r="F357" s="2" t="s">
        <v>17</v>
      </c>
      <c r="G357" s="7" t="str">
        <f aca="false">HYPERLINK("https://mncourtfraud.com/file/MCRO_27-CR-21-23724_Returned Mail_2023-03-14_20251126184153.pdf","MCRO_27-CR-21-23724_Returned Mail_2023-03-14_20251126184153.pdf")</f>
        <v>MCRO_27-CR-21-23724_Returned Mail_2023-03-14_20251126184153.pdf</v>
      </c>
      <c r="H357" s="1" t="n">
        <v>4</v>
      </c>
      <c r="I357" s="1" t="s">
        <v>1360</v>
      </c>
      <c r="J357" s="1" t="n">
        <v>1</v>
      </c>
      <c r="K357" s="1" t="n">
        <v>1</v>
      </c>
      <c r="L357" s="2" t="s">
        <v>1977</v>
      </c>
      <c r="M357" s="2" t="s">
        <v>1362</v>
      </c>
      <c r="N357" s="2" t="s">
        <v>1978</v>
      </c>
      <c r="O357" s="2" t="s">
        <v>1364</v>
      </c>
      <c r="P357" s="2" t="s">
        <v>1800</v>
      </c>
      <c r="Q357" s="1" t="n">
        <v>0</v>
      </c>
      <c r="R357" s="2" t="n">
        <v>239938</v>
      </c>
      <c r="S357" s="2" t="n">
        <v>256324</v>
      </c>
      <c r="T357" s="2" t="n">
        <v>8487</v>
      </c>
      <c r="U357" s="2" t="n">
        <v>248425</v>
      </c>
      <c r="V357" s="2" t="n">
        <v>93.81</v>
      </c>
      <c r="W357" s="2" t="s">
        <v>1360</v>
      </c>
    </row>
    <row r="358" customFormat="false" ht="18.7" hidden="false" customHeight="true" outlineLevel="0" collapsed="false">
      <c r="A358" s="1" t="n">
        <v>357</v>
      </c>
      <c r="B358" s="7" t="str">
        <f aca="false">HYPERLINK("https://mncourtfraud.com/file/27-CR-21-2803.pdf","27-CR-21-2803")</f>
        <v>27-CR-21-2803</v>
      </c>
      <c r="C358" s="1" t="n">
        <v>1</v>
      </c>
      <c r="D358" s="2" t="s">
        <v>12</v>
      </c>
      <c r="E358" s="8" t="n">
        <v>44439</v>
      </c>
      <c r="F358" s="2" t="s">
        <v>19</v>
      </c>
      <c r="G358" s="7" t="str">
        <f aca="false">HYPERLINK("https://mncourtfraud.com/file/MCRO_27-CR-21-2803_Findings and Order_2021-08-31_20251126184229.pdf","MCRO_27-CR-21-2803_Findings and Order_2021-08-31_20251126184229.pdf")</f>
        <v>MCRO_27-CR-21-2803_Findings and Order_2021-08-31_20251126184229.pdf</v>
      </c>
      <c r="H358" s="1" t="n">
        <v>5</v>
      </c>
      <c r="I358" s="1" t="s">
        <v>1366</v>
      </c>
      <c r="J358" s="1" t="n">
        <v>1</v>
      </c>
      <c r="K358" s="1" t="n">
        <v>1</v>
      </c>
      <c r="L358" s="2" t="s">
        <v>1367</v>
      </c>
      <c r="M358" s="2" t="s">
        <v>1368</v>
      </c>
      <c r="N358" s="2" t="s">
        <v>1369</v>
      </c>
      <c r="O358" s="2" t="s">
        <v>1364</v>
      </c>
      <c r="P358" s="2" t="s">
        <v>1370</v>
      </c>
      <c r="Q358" s="1" t="n">
        <v>0</v>
      </c>
      <c r="R358" s="2" t="n">
        <v>129996</v>
      </c>
      <c r="S358" s="2" t="n">
        <v>137690</v>
      </c>
      <c r="T358" s="2" t="n">
        <v>19979</v>
      </c>
      <c r="U358" s="2" t="n">
        <v>149975</v>
      </c>
      <c r="V358" s="2" t="n">
        <v>39.94</v>
      </c>
      <c r="W358" s="2" t="s">
        <v>1366</v>
      </c>
    </row>
    <row r="359" customFormat="false" ht="18.7" hidden="false" customHeight="true" outlineLevel="0" collapsed="false">
      <c r="A359" s="1" t="n">
        <v>358</v>
      </c>
      <c r="B359" s="7" t="str">
        <f aca="false">HYPERLINK("https://mncourtfraud.com/file/27-CR-21-2803.pdf","27-CR-21-2803")</f>
        <v>27-CR-21-2803</v>
      </c>
      <c r="C359" s="1" t="n">
        <v>1</v>
      </c>
      <c r="D359" s="2" t="s">
        <v>12</v>
      </c>
      <c r="E359" s="8" t="n">
        <v>44439</v>
      </c>
      <c r="F359" s="2" t="s">
        <v>19</v>
      </c>
      <c r="G359" s="7" t="str">
        <f aca="false">HYPERLINK("https://mncourtfraud.com/file/MCRO_27-CR-21-2803_Findings and Order_2021-08-31_20251126184229.pdf","MCRO_27-CR-21-2803_Findings and Order_2021-08-31_20251126184229.pdf")</f>
        <v>MCRO_27-CR-21-2803_Findings and Order_2021-08-31_20251126184229.pdf</v>
      </c>
      <c r="H359" s="1" t="n">
        <v>5</v>
      </c>
      <c r="I359" s="1" t="s">
        <v>1366</v>
      </c>
      <c r="J359" s="1" t="n">
        <v>2</v>
      </c>
      <c r="K359" s="1" t="n">
        <v>2</v>
      </c>
      <c r="L359" s="2" t="s">
        <v>1979</v>
      </c>
      <c r="M359" s="2" t="s">
        <v>1362</v>
      </c>
      <c r="N359" s="2" t="s">
        <v>1980</v>
      </c>
      <c r="O359" s="2" t="s">
        <v>1364</v>
      </c>
      <c r="P359" s="2" t="s">
        <v>1373</v>
      </c>
      <c r="Q359" s="1" t="n">
        <v>0</v>
      </c>
      <c r="R359" s="2" t="n">
        <v>354061</v>
      </c>
      <c r="S359" s="2" t="n">
        <v>370447</v>
      </c>
      <c r="T359" s="2" t="n">
        <v>5040</v>
      </c>
      <c r="U359" s="2" t="n">
        <v>359101</v>
      </c>
      <c r="V359" s="2" t="n">
        <v>95.64</v>
      </c>
      <c r="W359" s="2" t="s">
        <v>1360</v>
      </c>
    </row>
    <row r="360" customFormat="false" ht="18.7" hidden="false" customHeight="true" outlineLevel="0" collapsed="false">
      <c r="A360" s="1" t="n">
        <v>359</v>
      </c>
      <c r="B360" s="7" t="str">
        <f aca="false">HYPERLINK("https://mncourtfraud.com/file/27-CR-21-2803.pdf","27-CR-21-2803")</f>
        <v>27-CR-21-2803</v>
      </c>
      <c r="C360" s="1" t="n">
        <v>1</v>
      </c>
      <c r="D360" s="2" t="s">
        <v>12</v>
      </c>
      <c r="E360" s="8" t="n">
        <v>44593</v>
      </c>
      <c r="F360" s="2" t="s">
        <v>19</v>
      </c>
      <c r="G360" s="7" t="str">
        <f aca="false">HYPERLINK("https://mncourtfraud.com/file/MCRO_27-CR-21-2803_Findings and Order_2022-02-01_20251126184218.pdf","MCRO_27-CR-21-2803_Findings and Order_2022-02-01_20251126184218.pdf")</f>
        <v>MCRO_27-CR-21-2803_Findings and Order_2022-02-01_20251126184218.pdf</v>
      </c>
      <c r="H360" s="1" t="n">
        <v>4</v>
      </c>
      <c r="I360" s="1" t="s">
        <v>1360</v>
      </c>
      <c r="J360" s="1" t="n">
        <v>1</v>
      </c>
      <c r="K360" s="1" t="n">
        <v>1</v>
      </c>
      <c r="L360" s="2" t="s">
        <v>1367</v>
      </c>
      <c r="M360" s="2" t="s">
        <v>1368</v>
      </c>
      <c r="N360" s="2" t="s">
        <v>1374</v>
      </c>
      <c r="O360" s="2" t="s">
        <v>1364</v>
      </c>
      <c r="P360" s="2" t="s">
        <v>1375</v>
      </c>
      <c r="Q360" s="1" t="n">
        <v>0</v>
      </c>
      <c r="R360" s="2" t="n">
        <v>163153</v>
      </c>
      <c r="S360" s="2" t="n">
        <v>173205</v>
      </c>
      <c r="T360" s="2" t="n">
        <v>9683</v>
      </c>
      <c r="U360" s="2" t="n">
        <v>172836</v>
      </c>
      <c r="V360" s="2" t="n">
        <v>47.77</v>
      </c>
      <c r="W360" s="2" t="s">
        <v>1366</v>
      </c>
    </row>
    <row r="361" customFormat="false" ht="18.7" hidden="false" customHeight="true" outlineLevel="0" collapsed="false">
      <c r="A361" s="1" t="n">
        <v>360</v>
      </c>
      <c r="B361" s="7" t="str">
        <f aca="false">HYPERLINK("https://mncourtfraud.com/file/27-CR-21-2803.pdf","27-CR-21-2803")</f>
        <v>27-CR-21-2803</v>
      </c>
      <c r="C361" s="1" t="n">
        <v>1</v>
      </c>
      <c r="D361" s="2" t="s">
        <v>12</v>
      </c>
      <c r="E361" s="8" t="n">
        <v>44593</v>
      </c>
      <c r="F361" s="2" t="s">
        <v>19</v>
      </c>
      <c r="G361" s="7" t="str">
        <f aca="false">HYPERLINK("https://mncourtfraud.com/file/MCRO_27-CR-21-2803_Findings and Order_2022-02-01_20251126184218.pdf","MCRO_27-CR-21-2803_Findings and Order_2022-02-01_20251126184218.pdf")</f>
        <v>MCRO_27-CR-21-2803_Findings and Order_2022-02-01_20251126184218.pdf</v>
      </c>
      <c r="H361" s="1" t="n">
        <v>4</v>
      </c>
      <c r="I361" s="1" t="s">
        <v>1360</v>
      </c>
      <c r="J361" s="1" t="n">
        <v>2</v>
      </c>
      <c r="K361" s="1" t="n">
        <v>2</v>
      </c>
      <c r="L361" s="2" t="s">
        <v>1981</v>
      </c>
      <c r="M361" s="2" t="s">
        <v>1362</v>
      </c>
      <c r="N361" s="2" t="s">
        <v>1982</v>
      </c>
      <c r="O361" s="2" t="s">
        <v>1364</v>
      </c>
      <c r="P361" s="2" t="s">
        <v>1378</v>
      </c>
      <c r="Q361" s="1" t="n">
        <v>0</v>
      </c>
      <c r="R361" s="2" t="n">
        <v>340309</v>
      </c>
      <c r="S361" s="2" t="n">
        <v>356695</v>
      </c>
      <c r="T361" s="2" t="n">
        <v>5091</v>
      </c>
      <c r="U361" s="2" t="n">
        <v>345400</v>
      </c>
      <c r="V361" s="2" t="n">
        <v>95.47</v>
      </c>
      <c r="W361" s="2" t="s">
        <v>1360</v>
      </c>
    </row>
    <row r="362" customFormat="false" ht="18.7" hidden="false" customHeight="true" outlineLevel="0" collapsed="false">
      <c r="A362" s="1" t="n">
        <v>361</v>
      </c>
      <c r="B362" s="7" t="str">
        <f aca="false">HYPERLINK("https://mncourtfraud.com/file/27-CR-21-2803.pdf","27-CR-21-2803")</f>
        <v>27-CR-21-2803</v>
      </c>
      <c r="C362" s="1" t="n">
        <v>1</v>
      </c>
      <c r="D362" s="2" t="s">
        <v>12</v>
      </c>
      <c r="E362" s="8" t="n">
        <v>44439</v>
      </c>
      <c r="F362" s="2" t="s">
        <v>134</v>
      </c>
      <c r="G362" s="7" t="str">
        <f aca="false">HYPERLINK("https://mncourtfraud.com/file/MCRO_27-CR-21-2803_Notice of Intent to Prosecute_2021-08-31_20251126184242.pdf","MCRO_27-CR-21-2803_Notice of Intent to Prosecute_2021-08-31_20251126184242.pdf")</f>
        <v>MCRO_27-CR-21-2803_Notice of Intent to Prosecute_2021-08-31_20251126184242.pdf</v>
      </c>
      <c r="H362" s="1" t="n">
        <v>3</v>
      </c>
      <c r="I362" s="1" t="s">
        <v>1360</v>
      </c>
      <c r="J362" s="1" t="n">
        <v>1</v>
      </c>
      <c r="K362" s="1" t="n">
        <v>1</v>
      </c>
      <c r="L362" s="2" t="s">
        <v>1983</v>
      </c>
      <c r="M362" s="2" t="s">
        <v>1362</v>
      </c>
      <c r="N362" s="2" t="s">
        <v>1984</v>
      </c>
      <c r="O362" s="2" t="s">
        <v>1364</v>
      </c>
      <c r="P362" s="2" t="s">
        <v>1634</v>
      </c>
      <c r="Q362" s="1" t="n">
        <v>0</v>
      </c>
      <c r="R362" s="2" t="n">
        <v>115293</v>
      </c>
      <c r="S362" s="2" t="n">
        <v>131679</v>
      </c>
      <c r="T362" s="2" t="n">
        <v>5653</v>
      </c>
      <c r="U362" s="2" t="n">
        <v>120946</v>
      </c>
      <c r="V362" s="2" t="n">
        <v>88.07</v>
      </c>
      <c r="W362" s="2" t="s">
        <v>1360</v>
      </c>
    </row>
    <row r="363" customFormat="false" ht="18.7" hidden="false" customHeight="true" outlineLevel="0" collapsed="false">
      <c r="A363" s="1" t="n">
        <v>362</v>
      </c>
      <c r="B363" s="7" t="str">
        <f aca="false">HYPERLINK("https://mncourtfraud.com/file/27-CR-21-2803.pdf","27-CR-21-2803")</f>
        <v>27-CR-21-2803</v>
      </c>
      <c r="C363" s="1" t="n">
        <v>1</v>
      </c>
      <c r="D363" s="2" t="s">
        <v>12</v>
      </c>
      <c r="E363" s="8" t="n">
        <v>44396</v>
      </c>
      <c r="F363" s="2" t="s">
        <v>15</v>
      </c>
      <c r="G363" s="7" t="str">
        <f aca="false">HYPERLINK("https://mncourtfraud.com/file/MCRO_27-CR-21-2803_Order-Evaluation for Competency to Proceed (Rule 20.01)_2021-07-19_20251126184309.pdf","MCRO_27-CR-21-2803_Order-Evaluation for Competency to Proceed (Rule 20.01)_2021-07-19_20251126184309.pdf")</f>
        <v>MCRO_27-CR-21-2803_Order-Evaluation for Competency to Proceed (Rule 20.01)_2021-07-19_20251126184309.pdf</v>
      </c>
      <c r="H363" s="1" t="n">
        <v>4</v>
      </c>
      <c r="I363" s="1" t="s">
        <v>1360</v>
      </c>
      <c r="J363" s="1" t="n">
        <v>1</v>
      </c>
      <c r="K363" s="1" t="n">
        <v>1</v>
      </c>
      <c r="L363" s="2" t="s">
        <v>1985</v>
      </c>
      <c r="M363" s="2" t="s">
        <v>1362</v>
      </c>
      <c r="N363" s="2" t="s">
        <v>1986</v>
      </c>
      <c r="O363" s="2" t="s">
        <v>1364</v>
      </c>
      <c r="P363" s="2" t="s">
        <v>1390</v>
      </c>
      <c r="Q363" s="1" t="n">
        <v>0</v>
      </c>
      <c r="R363" s="2" t="n">
        <v>168373</v>
      </c>
      <c r="S363" s="2" t="n">
        <v>184759</v>
      </c>
      <c r="T363" s="2" t="n">
        <v>8533</v>
      </c>
      <c r="U363" s="2" t="n">
        <v>176906</v>
      </c>
      <c r="V363" s="2" t="n">
        <v>91.52</v>
      </c>
      <c r="W363" s="2" t="s">
        <v>1360</v>
      </c>
    </row>
    <row r="364" customFormat="false" ht="18.7" hidden="false" customHeight="true" outlineLevel="0" collapsed="false">
      <c r="A364" s="1" t="n">
        <v>363</v>
      </c>
      <c r="B364" s="7" t="str">
        <f aca="false">HYPERLINK("https://mncourtfraud.com/file/27-CR-21-2803.pdf","27-CR-21-2803")</f>
        <v>27-CR-21-2803</v>
      </c>
      <c r="C364" s="1" t="n">
        <v>1</v>
      </c>
      <c r="D364" s="2" t="s">
        <v>12</v>
      </c>
      <c r="E364" s="8" t="n">
        <v>44543</v>
      </c>
      <c r="F364" s="2" t="s">
        <v>15</v>
      </c>
      <c r="G364" s="7" t="str">
        <f aca="false">HYPERLINK("https://mncourtfraud.com/file/MCRO_27-CR-21-2803_Order-Evaluation for Competency to Proceed (Rule 20.01)_2021-12-13_20251126184318.pdf","MCRO_27-CR-21-2803_Order-Evaluation for Competency to Proceed (Rule 20.01)_2021-12-13_20251126184318.pdf")</f>
        <v>MCRO_27-CR-21-2803_Order-Evaluation for Competency to Proceed (Rule 20.01)_2021-12-13_20251126184318.pdf</v>
      </c>
      <c r="H364" s="1" t="n">
        <v>3</v>
      </c>
      <c r="I364" s="1" t="s">
        <v>1360</v>
      </c>
      <c r="J364" s="1" t="n">
        <v>1</v>
      </c>
      <c r="K364" s="1" t="n">
        <v>1</v>
      </c>
      <c r="L364" s="2" t="s">
        <v>1987</v>
      </c>
      <c r="M364" s="2" t="s">
        <v>1362</v>
      </c>
      <c r="N364" s="2" t="s">
        <v>1988</v>
      </c>
      <c r="O364" s="2" t="s">
        <v>1364</v>
      </c>
      <c r="P364" s="2" t="s">
        <v>1393</v>
      </c>
      <c r="Q364" s="1" t="n">
        <v>0</v>
      </c>
      <c r="R364" s="2" t="n">
        <v>212328</v>
      </c>
      <c r="S364" s="2" t="n">
        <v>228714</v>
      </c>
      <c r="T364" s="2" t="n">
        <v>5131</v>
      </c>
      <c r="U364" s="2" t="n">
        <v>217459</v>
      </c>
      <c r="V364" s="2" t="n">
        <v>92.99</v>
      </c>
      <c r="W364" s="2" t="s">
        <v>1360</v>
      </c>
    </row>
    <row r="365" customFormat="false" ht="18.7" hidden="false" customHeight="true" outlineLevel="0" collapsed="false">
      <c r="A365" s="1" t="n">
        <v>364</v>
      </c>
      <c r="B365" s="7" t="str">
        <f aca="false">HYPERLINK("https://mncourtfraud.com/file/27-CR-21-2803.pdf","27-CR-21-2803")</f>
        <v>27-CR-21-2803</v>
      </c>
      <c r="C365" s="1" t="n">
        <v>1</v>
      </c>
      <c r="D365" s="2" t="s">
        <v>12</v>
      </c>
      <c r="E365" s="8" t="n">
        <v>44558</v>
      </c>
      <c r="F365" s="2" t="s">
        <v>15</v>
      </c>
      <c r="G365" s="7" t="str">
        <f aca="false">HYPERLINK("https://mncourtfraud.com/file/MCRO_27-CR-21-2803_Order-Evaluation for Competency to Proceed (Rule 20.01)_2021-12-28_20251126184326.pdf","MCRO_27-CR-21-2803_Order-Evaluation for Competency to Proceed (Rule 20.01)_2021-12-28_20251126184326.pdf")</f>
        <v>MCRO_27-CR-21-2803_Order-Evaluation for Competency to Proceed (Rule 20.01)_2021-12-28_20251126184326.pdf</v>
      </c>
      <c r="H365" s="1" t="n">
        <v>4</v>
      </c>
      <c r="I365" s="1" t="s">
        <v>1360</v>
      </c>
      <c r="J365" s="1" t="n">
        <v>1</v>
      </c>
      <c r="K365" s="1" t="n">
        <v>1</v>
      </c>
      <c r="L365" s="2" t="s">
        <v>1989</v>
      </c>
      <c r="M365" s="2" t="s">
        <v>1362</v>
      </c>
      <c r="N365" s="2" t="s">
        <v>1990</v>
      </c>
      <c r="O365" s="2" t="s">
        <v>1364</v>
      </c>
      <c r="P365" s="2" t="s">
        <v>1396</v>
      </c>
      <c r="Q365" s="1" t="n">
        <v>0</v>
      </c>
      <c r="R365" s="2" t="n">
        <v>215986</v>
      </c>
      <c r="S365" s="2" t="n">
        <v>232372</v>
      </c>
      <c r="T365" s="2" t="n">
        <v>8578</v>
      </c>
      <c r="U365" s="2" t="n">
        <v>224564</v>
      </c>
      <c r="V365" s="2" t="n">
        <v>93.2</v>
      </c>
      <c r="W365" s="2" t="s">
        <v>1360</v>
      </c>
    </row>
    <row r="366" customFormat="false" ht="18.7" hidden="false" customHeight="true" outlineLevel="0" collapsed="false">
      <c r="A366" s="1" t="n">
        <v>365</v>
      </c>
      <c r="B366" s="7" t="str">
        <f aca="false">HYPERLINK("https://mncourtfraud.com/file/27-CR-21-2803.pdf","27-CR-21-2803")</f>
        <v>27-CR-21-2803</v>
      </c>
      <c r="C366" s="1" t="n">
        <v>1</v>
      </c>
      <c r="D366" s="2" t="s">
        <v>12</v>
      </c>
      <c r="E366" s="8" t="n">
        <v>44692</v>
      </c>
      <c r="F366" s="2" t="s">
        <v>15</v>
      </c>
      <c r="G366" s="7" t="str">
        <f aca="false">HYPERLINK("https://mncourtfraud.com/file/MCRO_27-CR-21-2803_Order-Evaluation for Competency to Proceed (Rule 20.01)_2022-05-11_20251126184334.pdf","MCRO_27-CR-21-2803_Order-Evaluation for Competency to Proceed (Rule 20.01)_2022-05-11_20251126184334.pdf")</f>
        <v>MCRO_27-CR-21-2803_Order-Evaluation for Competency to Proceed (Rule 20.01)_2022-05-11_20251126184334.pdf</v>
      </c>
      <c r="H366" s="1" t="n">
        <v>3</v>
      </c>
      <c r="I366" s="1" t="s">
        <v>1360</v>
      </c>
      <c r="J366" s="1" t="n">
        <v>1</v>
      </c>
      <c r="K366" s="1" t="n">
        <v>1</v>
      </c>
      <c r="L366" s="2" t="s">
        <v>1991</v>
      </c>
      <c r="M366" s="2" t="s">
        <v>1362</v>
      </c>
      <c r="N366" s="2" t="s">
        <v>1992</v>
      </c>
      <c r="O366" s="2" t="s">
        <v>1364</v>
      </c>
      <c r="P366" s="2" t="s">
        <v>1399</v>
      </c>
      <c r="Q366" s="1" t="n">
        <v>0</v>
      </c>
      <c r="R366" s="2" t="n">
        <v>218701</v>
      </c>
      <c r="S366" s="2" t="n">
        <v>235087</v>
      </c>
      <c r="T366" s="2" t="n">
        <v>4728</v>
      </c>
      <c r="U366" s="2" t="n">
        <v>223429</v>
      </c>
      <c r="V366" s="2" t="n">
        <v>93.17</v>
      </c>
      <c r="W366" s="2" t="s">
        <v>1360</v>
      </c>
    </row>
    <row r="367" customFormat="false" ht="18.7" hidden="false" customHeight="true" outlineLevel="0" collapsed="false">
      <c r="A367" s="1" t="n">
        <v>366</v>
      </c>
      <c r="B367" s="7" t="str">
        <f aca="false">HYPERLINK("https://mncourtfraud.com/file/27-CR-21-2803.pdf","27-CR-21-2803")</f>
        <v>27-CR-21-2803</v>
      </c>
      <c r="C367" s="1" t="n">
        <v>1</v>
      </c>
      <c r="D367" s="2" t="s">
        <v>12</v>
      </c>
      <c r="E367" s="8" t="n">
        <v>44895</v>
      </c>
      <c r="F367" s="2" t="s">
        <v>15</v>
      </c>
      <c r="G367" s="7" t="str">
        <f aca="false">HYPERLINK("https://mncourtfraud.com/file/MCRO_27-CR-21-2803_Order-Evaluation for Competency to Proceed (Rule 20.01)_2022-11-30_20251126184340.pdf","MCRO_27-CR-21-2803_Order-Evaluation for Competency to Proceed (Rule 20.01)_2022-11-30_20251126184340.pdf")</f>
        <v>MCRO_27-CR-21-2803_Order-Evaluation for Competency to Proceed (Rule 20.01)_2022-11-30_20251126184340.pdf</v>
      </c>
      <c r="H367" s="1" t="n">
        <v>4</v>
      </c>
      <c r="I367" s="1" t="s">
        <v>1360</v>
      </c>
      <c r="J367" s="1" t="n">
        <v>1</v>
      </c>
      <c r="K367" s="1" t="n">
        <v>1</v>
      </c>
      <c r="L367" s="2" t="s">
        <v>1993</v>
      </c>
      <c r="M367" s="2" t="s">
        <v>1362</v>
      </c>
      <c r="N367" s="2" t="s">
        <v>1994</v>
      </c>
      <c r="O367" s="2" t="s">
        <v>1364</v>
      </c>
      <c r="P367" s="2" t="s">
        <v>1402</v>
      </c>
      <c r="Q367" s="1" t="n">
        <v>0</v>
      </c>
      <c r="R367" s="2" t="n">
        <v>795532</v>
      </c>
      <c r="S367" s="2" t="n">
        <v>811918</v>
      </c>
      <c r="T367" s="2" t="n">
        <v>5081</v>
      </c>
      <c r="U367" s="2" t="n">
        <v>800613</v>
      </c>
      <c r="V367" s="2" t="n">
        <v>97.99</v>
      </c>
      <c r="W367" s="2" t="s">
        <v>1360</v>
      </c>
    </row>
    <row r="368" customFormat="false" ht="18.7" hidden="false" customHeight="true" outlineLevel="0" collapsed="false">
      <c r="A368" s="1" t="n">
        <v>367</v>
      </c>
      <c r="B368" s="7" t="str">
        <f aca="false">HYPERLINK("https://mncourtfraud.com/file/27-CR-21-2803.pdf","27-CR-21-2803")</f>
        <v>27-CR-21-2803</v>
      </c>
      <c r="C368" s="1" t="n">
        <v>1</v>
      </c>
      <c r="D368" s="2" t="s">
        <v>12</v>
      </c>
      <c r="E368" s="8" t="n">
        <v>44460</v>
      </c>
      <c r="F368" s="2" t="s">
        <v>24</v>
      </c>
      <c r="G368" s="7" t="str">
        <f aca="false">HYPERLINK("https://mncourtfraud.com/file/MCRO_27-CR-21-2803_Order for Conditional Release_2021-09-21_20251126184257.pdf","MCRO_27-CR-21-2803_Order for Conditional Release_2021-09-21_20251126184257.pdf")</f>
        <v>MCRO_27-CR-21-2803_Order for Conditional Release_2021-09-21_20251126184257.pdf</v>
      </c>
      <c r="H368" s="1" t="n">
        <v>4</v>
      </c>
      <c r="I368" s="1" t="s">
        <v>1360</v>
      </c>
      <c r="J368" s="1" t="n">
        <v>1</v>
      </c>
      <c r="K368" s="1" t="n">
        <v>1</v>
      </c>
      <c r="L368" s="2" t="s">
        <v>1995</v>
      </c>
      <c r="M368" s="2" t="s">
        <v>1362</v>
      </c>
      <c r="N368" s="2" t="s">
        <v>1996</v>
      </c>
      <c r="O368" s="2" t="s">
        <v>1364</v>
      </c>
      <c r="P368" s="2" t="s">
        <v>1405</v>
      </c>
      <c r="Q368" s="1" t="n">
        <v>0</v>
      </c>
      <c r="R368" s="2" t="n">
        <v>84991</v>
      </c>
      <c r="S368" s="2" t="n">
        <v>101377</v>
      </c>
      <c r="T368" s="2" t="n">
        <v>4472</v>
      </c>
      <c r="U368" s="2" t="n">
        <v>89463</v>
      </c>
      <c r="V368" s="2" t="n">
        <v>84.52</v>
      </c>
      <c r="W368" s="2" t="s">
        <v>1360</v>
      </c>
    </row>
    <row r="369" customFormat="false" ht="18.7" hidden="false" customHeight="true" outlineLevel="0" collapsed="false">
      <c r="A369" s="1" t="n">
        <v>368</v>
      </c>
      <c r="B369" s="7" t="str">
        <f aca="false">HYPERLINK("https://mncourtfraud.com/file/27-CR-21-2803.pdf","27-CR-21-2803")</f>
        <v>27-CR-21-2803</v>
      </c>
      <c r="C369" s="1" t="n">
        <v>1</v>
      </c>
      <c r="D369" s="2" t="s">
        <v>12</v>
      </c>
      <c r="E369" s="8" t="n">
        <v>44468</v>
      </c>
      <c r="F369" s="2" t="s">
        <v>24</v>
      </c>
      <c r="G369" s="7" t="str">
        <f aca="false">HYPERLINK("https://mncourtfraud.com/file/MCRO_27-CR-21-2803_Order for Conditional Release_2021-09-29_20251126184253.pdf","MCRO_27-CR-21-2803_Order for Conditional Release_2021-09-29_20251126184253.pdf")</f>
        <v>MCRO_27-CR-21-2803_Order for Conditional Release_2021-09-29_20251126184253.pdf</v>
      </c>
      <c r="H369" s="1" t="n">
        <v>4</v>
      </c>
      <c r="I369" s="1" t="s">
        <v>1360</v>
      </c>
      <c r="J369" s="1" t="n">
        <v>1</v>
      </c>
      <c r="K369" s="1" t="n">
        <v>1</v>
      </c>
      <c r="L369" s="2" t="s">
        <v>1997</v>
      </c>
      <c r="M369" s="2" t="s">
        <v>1362</v>
      </c>
      <c r="N369" s="2" t="s">
        <v>1998</v>
      </c>
      <c r="O369" s="2" t="s">
        <v>1364</v>
      </c>
      <c r="P369" s="2" t="s">
        <v>1408</v>
      </c>
      <c r="Q369" s="1" t="n">
        <v>0</v>
      </c>
      <c r="R369" s="2" t="n">
        <v>130450</v>
      </c>
      <c r="S369" s="2" t="n">
        <v>146836</v>
      </c>
      <c r="T369" s="2" t="n">
        <v>4975</v>
      </c>
      <c r="U369" s="2" t="n">
        <v>135425</v>
      </c>
      <c r="V369" s="2" t="n">
        <v>89.21</v>
      </c>
      <c r="W369" s="2" t="s">
        <v>1360</v>
      </c>
    </row>
    <row r="370" customFormat="false" ht="18.7" hidden="false" customHeight="true" outlineLevel="0" collapsed="false">
      <c r="A370" s="1" t="n">
        <v>369</v>
      </c>
      <c r="B370" s="7" t="str">
        <f aca="false">HYPERLINK("https://mncourtfraud.com/file/27-CR-21-4099.pdf","27-CR-21-4099")</f>
        <v>27-CR-21-4099</v>
      </c>
      <c r="C370" s="1" t="n">
        <v>1</v>
      </c>
      <c r="D370" s="2" t="s">
        <v>12</v>
      </c>
      <c r="E370" s="8" t="n">
        <v>44439</v>
      </c>
      <c r="F370" s="2" t="s">
        <v>19</v>
      </c>
      <c r="G370" s="7" t="str">
        <f aca="false">HYPERLINK("https://mncourtfraud.com/file/MCRO_27-CR-21-4099_Findings and Order_2021-08-31_20251126184414.pdf","MCRO_27-CR-21-4099_Findings and Order_2021-08-31_20251126184414.pdf")</f>
        <v>MCRO_27-CR-21-4099_Findings and Order_2021-08-31_20251126184414.pdf</v>
      </c>
      <c r="H370" s="1" t="n">
        <v>5</v>
      </c>
      <c r="I370" s="1" t="s">
        <v>1366</v>
      </c>
      <c r="J370" s="1" t="n">
        <v>1</v>
      </c>
      <c r="K370" s="1" t="n">
        <v>1</v>
      </c>
      <c r="L370" s="2" t="s">
        <v>1367</v>
      </c>
      <c r="M370" s="2" t="s">
        <v>1368</v>
      </c>
      <c r="N370" s="2" t="s">
        <v>1369</v>
      </c>
      <c r="O370" s="2" t="s">
        <v>1364</v>
      </c>
      <c r="P370" s="2" t="s">
        <v>1370</v>
      </c>
      <c r="Q370" s="1" t="n">
        <v>0</v>
      </c>
      <c r="R370" s="2" t="n">
        <v>129996</v>
      </c>
      <c r="S370" s="2" t="n">
        <v>137690</v>
      </c>
      <c r="T370" s="2" t="n">
        <v>19979</v>
      </c>
      <c r="U370" s="2" t="n">
        <v>149975</v>
      </c>
      <c r="V370" s="2" t="n">
        <v>39.94</v>
      </c>
      <c r="W370" s="2" t="s">
        <v>1366</v>
      </c>
    </row>
    <row r="371" customFormat="false" ht="18.7" hidden="false" customHeight="true" outlineLevel="0" collapsed="false">
      <c r="A371" s="1" t="n">
        <v>370</v>
      </c>
      <c r="B371" s="7" t="str">
        <f aca="false">HYPERLINK("https://mncourtfraud.com/file/27-CR-21-4099.pdf","27-CR-21-4099")</f>
        <v>27-CR-21-4099</v>
      </c>
      <c r="C371" s="1" t="n">
        <v>1</v>
      </c>
      <c r="D371" s="2" t="s">
        <v>12</v>
      </c>
      <c r="E371" s="8" t="n">
        <v>44439</v>
      </c>
      <c r="F371" s="2" t="s">
        <v>19</v>
      </c>
      <c r="G371" s="7" t="str">
        <f aca="false">HYPERLINK("https://mncourtfraud.com/file/MCRO_27-CR-21-4099_Findings and Order_2021-08-31_20251126184414.pdf","MCRO_27-CR-21-4099_Findings and Order_2021-08-31_20251126184414.pdf")</f>
        <v>MCRO_27-CR-21-4099_Findings and Order_2021-08-31_20251126184414.pdf</v>
      </c>
      <c r="H371" s="1" t="n">
        <v>5</v>
      </c>
      <c r="I371" s="1" t="s">
        <v>1366</v>
      </c>
      <c r="J371" s="1" t="n">
        <v>2</v>
      </c>
      <c r="K371" s="1" t="n">
        <v>2</v>
      </c>
      <c r="L371" s="2" t="s">
        <v>1999</v>
      </c>
      <c r="M371" s="2" t="s">
        <v>1362</v>
      </c>
      <c r="N371" s="2" t="s">
        <v>2000</v>
      </c>
      <c r="O371" s="2" t="s">
        <v>1364</v>
      </c>
      <c r="P371" s="2" t="s">
        <v>1373</v>
      </c>
      <c r="Q371" s="1" t="n">
        <v>0</v>
      </c>
      <c r="R371" s="2" t="n">
        <v>354062</v>
      </c>
      <c r="S371" s="2" t="n">
        <v>370448</v>
      </c>
      <c r="T371" s="2" t="n">
        <v>5040</v>
      </c>
      <c r="U371" s="2" t="n">
        <v>359102</v>
      </c>
      <c r="V371" s="2" t="n">
        <v>95.64</v>
      </c>
      <c r="W371" s="2" t="s">
        <v>1360</v>
      </c>
    </row>
    <row r="372" customFormat="false" ht="18.7" hidden="false" customHeight="true" outlineLevel="0" collapsed="false">
      <c r="A372" s="1" t="n">
        <v>371</v>
      </c>
      <c r="B372" s="7" t="str">
        <f aca="false">HYPERLINK("https://mncourtfraud.com/file/27-CR-21-4099.pdf","27-CR-21-4099")</f>
        <v>27-CR-21-4099</v>
      </c>
      <c r="C372" s="1" t="n">
        <v>1</v>
      </c>
      <c r="D372" s="2" t="s">
        <v>12</v>
      </c>
      <c r="E372" s="8" t="n">
        <v>44593</v>
      </c>
      <c r="F372" s="2" t="s">
        <v>19</v>
      </c>
      <c r="G372" s="7" t="str">
        <f aca="false">HYPERLINK("https://mncourtfraud.com/file/MCRO_27-CR-21-4099_Findings and Order_2022-02-01_20251126184406.pdf","MCRO_27-CR-21-4099_Findings and Order_2022-02-01_20251126184406.pdf")</f>
        <v>MCRO_27-CR-21-4099_Findings and Order_2022-02-01_20251126184406.pdf</v>
      </c>
      <c r="H372" s="1" t="n">
        <v>4</v>
      </c>
      <c r="I372" s="1" t="s">
        <v>1360</v>
      </c>
      <c r="J372" s="1" t="n">
        <v>1</v>
      </c>
      <c r="K372" s="1" t="n">
        <v>1</v>
      </c>
      <c r="L372" s="2" t="s">
        <v>1367</v>
      </c>
      <c r="M372" s="2" t="s">
        <v>1368</v>
      </c>
      <c r="N372" s="2" t="s">
        <v>1374</v>
      </c>
      <c r="O372" s="2" t="s">
        <v>1364</v>
      </c>
      <c r="P372" s="2" t="s">
        <v>1375</v>
      </c>
      <c r="Q372" s="1" t="n">
        <v>0</v>
      </c>
      <c r="R372" s="2" t="n">
        <v>163153</v>
      </c>
      <c r="S372" s="2" t="n">
        <v>173205</v>
      </c>
      <c r="T372" s="2" t="n">
        <v>9683</v>
      </c>
      <c r="U372" s="2" t="n">
        <v>172836</v>
      </c>
      <c r="V372" s="2" t="n">
        <v>47.77</v>
      </c>
      <c r="W372" s="2" t="s">
        <v>1366</v>
      </c>
    </row>
    <row r="373" customFormat="false" ht="18.7" hidden="false" customHeight="true" outlineLevel="0" collapsed="false">
      <c r="A373" s="1" t="n">
        <v>372</v>
      </c>
      <c r="B373" s="7" t="str">
        <f aca="false">HYPERLINK("https://mncourtfraud.com/file/27-CR-21-4099.pdf","27-CR-21-4099")</f>
        <v>27-CR-21-4099</v>
      </c>
      <c r="C373" s="1" t="n">
        <v>1</v>
      </c>
      <c r="D373" s="2" t="s">
        <v>12</v>
      </c>
      <c r="E373" s="8" t="n">
        <v>44593</v>
      </c>
      <c r="F373" s="2" t="s">
        <v>19</v>
      </c>
      <c r="G373" s="7" t="str">
        <f aca="false">HYPERLINK("https://mncourtfraud.com/file/MCRO_27-CR-21-4099_Findings and Order_2022-02-01_20251126184406.pdf","MCRO_27-CR-21-4099_Findings and Order_2022-02-01_20251126184406.pdf")</f>
        <v>MCRO_27-CR-21-4099_Findings and Order_2022-02-01_20251126184406.pdf</v>
      </c>
      <c r="H373" s="1" t="n">
        <v>4</v>
      </c>
      <c r="I373" s="1" t="s">
        <v>1360</v>
      </c>
      <c r="J373" s="1" t="n">
        <v>2</v>
      </c>
      <c r="K373" s="1" t="n">
        <v>2</v>
      </c>
      <c r="L373" s="2" t="s">
        <v>2001</v>
      </c>
      <c r="M373" s="2" t="s">
        <v>1362</v>
      </c>
      <c r="N373" s="2" t="s">
        <v>2002</v>
      </c>
      <c r="O373" s="2" t="s">
        <v>1364</v>
      </c>
      <c r="P373" s="2" t="s">
        <v>1378</v>
      </c>
      <c r="Q373" s="1" t="n">
        <v>0</v>
      </c>
      <c r="R373" s="2" t="n">
        <v>340312</v>
      </c>
      <c r="S373" s="2" t="n">
        <v>356698</v>
      </c>
      <c r="T373" s="2" t="n">
        <v>5091</v>
      </c>
      <c r="U373" s="2" t="n">
        <v>345403</v>
      </c>
      <c r="V373" s="2" t="n">
        <v>95.47</v>
      </c>
      <c r="W373" s="2" t="s">
        <v>1360</v>
      </c>
    </row>
    <row r="374" customFormat="false" ht="18.7" hidden="false" customHeight="true" outlineLevel="0" collapsed="false">
      <c r="A374" s="1" t="n">
        <v>373</v>
      </c>
      <c r="B374" s="7" t="str">
        <f aca="false">HYPERLINK("https://mncourtfraud.com/file/27-CR-21-4099.pdf","27-CR-21-4099")</f>
        <v>27-CR-21-4099</v>
      </c>
      <c r="C374" s="1" t="n">
        <v>1</v>
      </c>
      <c r="D374" s="2" t="s">
        <v>12</v>
      </c>
      <c r="E374" s="8" t="n">
        <v>44439</v>
      </c>
      <c r="F374" s="2" t="s">
        <v>134</v>
      </c>
      <c r="G374" s="7" t="str">
        <f aca="false">HYPERLINK("https://mncourtfraud.com/file/MCRO_27-CR-21-4099_Notice of Intent to Prosecute_2021-08-31_20251126184425.pdf","MCRO_27-CR-21-4099_Notice of Intent to Prosecute_2021-08-31_20251126184425.pdf")</f>
        <v>MCRO_27-CR-21-4099_Notice of Intent to Prosecute_2021-08-31_20251126184425.pdf</v>
      </c>
      <c r="H374" s="1" t="n">
        <v>3</v>
      </c>
      <c r="I374" s="1" t="s">
        <v>1360</v>
      </c>
      <c r="J374" s="1" t="n">
        <v>1</v>
      </c>
      <c r="K374" s="1" t="n">
        <v>1</v>
      </c>
      <c r="L374" s="2" t="s">
        <v>2003</v>
      </c>
      <c r="M374" s="2" t="s">
        <v>1362</v>
      </c>
      <c r="N374" s="2" t="s">
        <v>2004</v>
      </c>
      <c r="O374" s="2" t="s">
        <v>1364</v>
      </c>
      <c r="P374" s="2" t="s">
        <v>1634</v>
      </c>
      <c r="Q374" s="1" t="n">
        <v>0</v>
      </c>
      <c r="R374" s="2" t="n">
        <v>114665</v>
      </c>
      <c r="S374" s="2" t="n">
        <v>131051</v>
      </c>
      <c r="T374" s="2" t="n">
        <v>5651</v>
      </c>
      <c r="U374" s="2" t="n">
        <v>120316</v>
      </c>
      <c r="V374" s="2" t="n">
        <v>88.01</v>
      </c>
      <c r="W374" s="2" t="s">
        <v>1360</v>
      </c>
    </row>
    <row r="375" customFormat="false" ht="18.7" hidden="false" customHeight="true" outlineLevel="0" collapsed="false">
      <c r="A375" s="1" t="n">
        <v>374</v>
      </c>
      <c r="B375" s="7" t="str">
        <f aca="false">HYPERLINK("https://mncourtfraud.com/file/27-CR-21-4099.pdf","27-CR-21-4099")</f>
        <v>27-CR-21-4099</v>
      </c>
      <c r="C375" s="1" t="n">
        <v>1</v>
      </c>
      <c r="D375" s="2" t="s">
        <v>12</v>
      </c>
      <c r="E375" s="8" t="n">
        <v>44396</v>
      </c>
      <c r="F375" s="2" t="s">
        <v>15</v>
      </c>
      <c r="G375" s="7" t="str">
        <f aca="false">HYPERLINK("https://mncourtfraud.com/file/MCRO_27-CR-21-4099_Order-Evaluation for Competency to Proceed (Rule 20.01)_2021-07-19_20251126184452.pdf","MCRO_27-CR-21-4099_Order-Evaluation for Competency to Proceed (Rule 20.01)_2021-07-19_20251126184452.pdf")</f>
        <v>MCRO_27-CR-21-4099_Order-Evaluation for Competency to Proceed (Rule 20.01)_2021-07-19_20251126184452.pdf</v>
      </c>
      <c r="H375" s="1" t="n">
        <v>4</v>
      </c>
      <c r="I375" s="1" t="s">
        <v>1360</v>
      </c>
      <c r="J375" s="1" t="n">
        <v>1</v>
      </c>
      <c r="K375" s="1" t="n">
        <v>1</v>
      </c>
      <c r="L375" s="2" t="s">
        <v>2005</v>
      </c>
      <c r="M375" s="2" t="s">
        <v>1362</v>
      </c>
      <c r="N375" s="2" t="s">
        <v>2006</v>
      </c>
      <c r="O375" s="2" t="s">
        <v>1364</v>
      </c>
      <c r="P375" s="2" t="s">
        <v>1390</v>
      </c>
      <c r="Q375" s="1" t="n">
        <v>0</v>
      </c>
      <c r="R375" s="2" t="n">
        <v>171243</v>
      </c>
      <c r="S375" s="2" t="n">
        <v>187629</v>
      </c>
      <c r="T375" s="2" t="n">
        <v>8533</v>
      </c>
      <c r="U375" s="2" t="n">
        <v>179776</v>
      </c>
      <c r="V375" s="2" t="n">
        <v>91.65</v>
      </c>
      <c r="W375" s="2" t="s">
        <v>1360</v>
      </c>
    </row>
    <row r="376" customFormat="false" ht="18.7" hidden="false" customHeight="true" outlineLevel="0" collapsed="false">
      <c r="A376" s="1" t="n">
        <v>375</v>
      </c>
      <c r="B376" s="7" t="str">
        <f aca="false">HYPERLINK("https://mncourtfraud.com/file/27-CR-21-4099.pdf","27-CR-21-4099")</f>
        <v>27-CR-21-4099</v>
      </c>
      <c r="C376" s="1" t="n">
        <v>1</v>
      </c>
      <c r="D376" s="2" t="s">
        <v>12</v>
      </c>
      <c r="E376" s="8" t="n">
        <v>44543</v>
      </c>
      <c r="F376" s="2" t="s">
        <v>15</v>
      </c>
      <c r="G376" s="7" t="str">
        <f aca="false">HYPERLINK("https://mncourtfraud.com/file/MCRO_27-CR-21-4099_Order-Evaluation for Competency to Proceed (Rule 20.01)_2021-12-13_20251126184501.pdf","MCRO_27-CR-21-4099_Order-Evaluation for Competency to Proceed (Rule 20.01)_2021-12-13_20251126184501.pdf")</f>
        <v>MCRO_27-CR-21-4099_Order-Evaluation for Competency to Proceed (Rule 20.01)_2021-12-13_20251126184501.pdf</v>
      </c>
      <c r="H376" s="1" t="n">
        <v>3</v>
      </c>
      <c r="I376" s="1" t="s">
        <v>1360</v>
      </c>
      <c r="J376" s="1" t="n">
        <v>1</v>
      </c>
      <c r="K376" s="1" t="n">
        <v>1</v>
      </c>
      <c r="L376" s="2" t="s">
        <v>2007</v>
      </c>
      <c r="M376" s="2" t="s">
        <v>1362</v>
      </c>
      <c r="N376" s="2" t="s">
        <v>2008</v>
      </c>
      <c r="O376" s="2" t="s">
        <v>1364</v>
      </c>
      <c r="P376" s="2" t="s">
        <v>1393</v>
      </c>
      <c r="Q376" s="1" t="n">
        <v>0</v>
      </c>
      <c r="R376" s="2" t="n">
        <v>212329</v>
      </c>
      <c r="S376" s="2" t="n">
        <v>228715</v>
      </c>
      <c r="T376" s="2" t="n">
        <v>5135</v>
      </c>
      <c r="U376" s="2" t="n">
        <v>217464</v>
      </c>
      <c r="V376" s="2" t="n">
        <v>92.99</v>
      </c>
      <c r="W376" s="2" t="s">
        <v>1360</v>
      </c>
    </row>
    <row r="377" customFormat="false" ht="18.7" hidden="false" customHeight="true" outlineLevel="0" collapsed="false">
      <c r="A377" s="1" t="n">
        <v>376</v>
      </c>
      <c r="B377" s="7" t="str">
        <f aca="false">HYPERLINK("https://mncourtfraud.com/file/27-CR-21-4099.pdf","27-CR-21-4099")</f>
        <v>27-CR-21-4099</v>
      </c>
      <c r="C377" s="1" t="n">
        <v>1</v>
      </c>
      <c r="D377" s="2" t="s">
        <v>12</v>
      </c>
      <c r="E377" s="8" t="n">
        <v>44558</v>
      </c>
      <c r="F377" s="2" t="s">
        <v>15</v>
      </c>
      <c r="G377" s="7" t="str">
        <f aca="false">HYPERLINK("https://mncourtfraud.com/file/MCRO_27-CR-21-4099_Order-Evaluation for Competency to Proceed (Rule 20.01)_2021-12-28_20251126184509.pdf","MCRO_27-CR-21-4099_Order-Evaluation for Competency to Proceed (Rule 20.01)_2021-12-28_20251126184509.pdf")</f>
        <v>MCRO_27-CR-21-4099_Order-Evaluation for Competency to Proceed (Rule 20.01)_2021-12-28_20251126184509.pdf</v>
      </c>
      <c r="H377" s="1" t="n">
        <v>4</v>
      </c>
      <c r="I377" s="1" t="s">
        <v>1360</v>
      </c>
      <c r="J377" s="1" t="n">
        <v>1</v>
      </c>
      <c r="K377" s="1" t="n">
        <v>1</v>
      </c>
      <c r="L377" s="2" t="s">
        <v>2009</v>
      </c>
      <c r="M377" s="2" t="s">
        <v>1362</v>
      </c>
      <c r="N377" s="2" t="s">
        <v>2010</v>
      </c>
      <c r="O377" s="2" t="s">
        <v>1364</v>
      </c>
      <c r="P377" s="2" t="s">
        <v>1396</v>
      </c>
      <c r="Q377" s="1" t="n">
        <v>0</v>
      </c>
      <c r="R377" s="2" t="n">
        <v>215424</v>
      </c>
      <c r="S377" s="2" t="n">
        <v>231810</v>
      </c>
      <c r="T377" s="2" t="n">
        <v>8578</v>
      </c>
      <c r="U377" s="2" t="n">
        <v>224002</v>
      </c>
      <c r="V377" s="2" t="n">
        <v>93.18</v>
      </c>
      <c r="W377" s="2" t="s">
        <v>1360</v>
      </c>
    </row>
    <row r="378" customFormat="false" ht="18.7" hidden="false" customHeight="true" outlineLevel="0" collapsed="false">
      <c r="A378" s="1" t="n">
        <v>377</v>
      </c>
      <c r="B378" s="7" t="str">
        <f aca="false">HYPERLINK("https://mncourtfraud.com/file/27-CR-21-4099.pdf","27-CR-21-4099")</f>
        <v>27-CR-21-4099</v>
      </c>
      <c r="C378" s="1" t="n">
        <v>1</v>
      </c>
      <c r="D378" s="2" t="s">
        <v>12</v>
      </c>
      <c r="E378" s="8" t="n">
        <v>44692</v>
      </c>
      <c r="F378" s="2" t="s">
        <v>15</v>
      </c>
      <c r="G378" s="7" t="str">
        <f aca="false">HYPERLINK("https://mncourtfraud.com/file/MCRO_27-CR-21-4099_Order-Evaluation for Competency to Proceed (Rule 20.01)_2022-05-11_20251126184519.pdf","MCRO_27-CR-21-4099_Order-Evaluation for Competency to Proceed (Rule 20.01)_2022-05-11_20251126184519.pdf")</f>
        <v>MCRO_27-CR-21-4099_Order-Evaluation for Competency to Proceed (Rule 20.01)_2022-05-11_20251126184519.pdf</v>
      </c>
      <c r="H378" s="1" t="n">
        <v>3</v>
      </c>
      <c r="I378" s="1" t="s">
        <v>1360</v>
      </c>
      <c r="J378" s="1" t="n">
        <v>1</v>
      </c>
      <c r="K378" s="1" t="n">
        <v>1</v>
      </c>
      <c r="L378" s="2" t="s">
        <v>2011</v>
      </c>
      <c r="M378" s="2" t="s">
        <v>1362</v>
      </c>
      <c r="N378" s="2" t="s">
        <v>2012</v>
      </c>
      <c r="O378" s="2" t="s">
        <v>1364</v>
      </c>
      <c r="P378" s="2" t="s">
        <v>1399</v>
      </c>
      <c r="Q378" s="1" t="n">
        <v>0</v>
      </c>
      <c r="R378" s="2" t="n">
        <v>218701</v>
      </c>
      <c r="S378" s="2" t="n">
        <v>235087</v>
      </c>
      <c r="T378" s="2" t="n">
        <v>4728</v>
      </c>
      <c r="U378" s="2" t="n">
        <v>223429</v>
      </c>
      <c r="V378" s="2" t="n">
        <v>93.17</v>
      </c>
      <c r="W378" s="2" t="s">
        <v>1360</v>
      </c>
    </row>
    <row r="379" customFormat="false" ht="18.7" hidden="false" customHeight="true" outlineLevel="0" collapsed="false">
      <c r="A379" s="1" t="n">
        <v>378</v>
      </c>
      <c r="B379" s="7" t="str">
        <f aca="false">HYPERLINK("https://mncourtfraud.com/file/27-CR-21-4099.pdf","27-CR-21-4099")</f>
        <v>27-CR-21-4099</v>
      </c>
      <c r="C379" s="1" t="n">
        <v>1</v>
      </c>
      <c r="D379" s="2" t="s">
        <v>12</v>
      </c>
      <c r="E379" s="8" t="n">
        <v>44895</v>
      </c>
      <c r="F379" s="2" t="s">
        <v>15</v>
      </c>
      <c r="G379" s="7" t="str">
        <f aca="false">HYPERLINK("https://mncourtfraud.com/file/MCRO_27-CR-21-4099_Order-Evaluation for Competency to Proceed (Rule 20.01)_2022-11-30_20251126184526.pdf","MCRO_27-CR-21-4099_Order-Evaluation for Competency to Proceed (Rule 20.01)_2022-11-30_20251126184526.pdf")</f>
        <v>MCRO_27-CR-21-4099_Order-Evaluation for Competency to Proceed (Rule 20.01)_2022-11-30_20251126184526.pdf</v>
      </c>
      <c r="H379" s="1" t="n">
        <v>4</v>
      </c>
      <c r="I379" s="1" t="s">
        <v>1360</v>
      </c>
      <c r="J379" s="1" t="n">
        <v>1</v>
      </c>
      <c r="K379" s="1" t="n">
        <v>1</v>
      </c>
      <c r="L379" s="2" t="s">
        <v>2013</v>
      </c>
      <c r="M379" s="2" t="s">
        <v>1362</v>
      </c>
      <c r="N379" s="2" t="s">
        <v>2014</v>
      </c>
      <c r="O379" s="2" t="s">
        <v>1364</v>
      </c>
      <c r="P379" s="2" t="s">
        <v>1402</v>
      </c>
      <c r="Q379" s="1" t="n">
        <v>0</v>
      </c>
      <c r="R379" s="2" t="n">
        <v>795532</v>
      </c>
      <c r="S379" s="2" t="n">
        <v>811918</v>
      </c>
      <c r="T379" s="2" t="n">
        <v>5078</v>
      </c>
      <c r="U379" s="2" t="n">
        <v>800610</v>
      </c>
      <c r="V379" s="2" t="n">
        <v>97.99</v>
      </c>
      <c r="W379" s="2" t="s">
        <v>1360</v>
      </c>
    </row>
    <row r="380" customFormat="false" ht="18.7" hidden="false" customHeight="true" outlineLevel="0" collapsed="false">
      <c r="A380" s="1" t="n">
        <v>379</v>
      </c>
      <c r="B380" s="7" t="str">
        <f aca="false">HYPERLINK("https://mncourtfraud.com/file/27-CR-21-4099.pdf","27-CR-21-4099")</f>
        <v>27-CR-21-4099</v>
      </c>
      <c r="C380" s="1" t="n">
        <v>1</v>
      </c>
      <c r="D380" s="2" t="s">
        <v>12</v>
      </c>
      <c r="E380" s="8" t="n">
        <v>44460</v>
      </c>
      <c r="F380" s="2" t="s">
        <v>24</v>
      </c>
      <c r="G380" s="7" t="str">
        <f aca="false">HYPERLINK("https://mncourtfraud.com/file/MCRO_27-CR-21-4099_Order for Conditional Release_2021-09-21_20251126184441.pdf","MCRO_27-CR-21-4099_Order for Conditional Release_2021-09-21_20251126184441.pdf")</f>
        <v>MCRO_27-CR-21-4099_Order for Conditional Release_2021-09-21_20251126184441.pdf</v>
      </c>
      <c r="H380" s="1" t="n">
        <v>4</v>
      </c>
      <c r="I380" s="1" t="s">
        <v>1360</v>
      </c>
      <c r="J380" s="1" t="n">
        <v>1</v>
      </c>
      <c r="K380" s="1" t="n">
        <v>1</v>
      </c>
      <c r="L380" s="2" t="s">
        <v>2015</v>
      </c>
      <c r="M380" s="2" t="s">
        <v>1362</v>
      </c>
      <c r="N380" s="2" t="s">
        <v>2016</v>
      </c>
      <c r="O380" s="2" t="s">
        <v>1364</v>
      </c>
      <c r="P380" s="2" t="s">
        <v>1405</v>
      </c>
      <c r="Q380" s="1" t="n">
        <v>0</v>
      </c>
      <c r="R380" s="2" t="n">
        <v>84991</v>
      </c>
      <c r="S380" s="2" t="n">
        <v>101377</v>
      </c>
      <c r="T380" s="2" t="n">
        <v>4472</v>
      </c>
      <c r="U380" s="2" t="n">
        <v>89463</v>
      </c>
      <c r="V380" s="2" t="n">
        <v>84.52</v>
      </c>
      <c r="W380" s="2" t="s">
        <v>1360</v>
      </c>
    </row>
    <row r="381" customFormat="false" ht="18.7" hidden="false" customHeight="true" outlineLevel="0" collapsed="false">
      <c r="A381" s="1" t="n">
        <v>380</v>
      </c>
      <c r="B381" s="7" t="str">
        <f aca="false">HYPERLINK("https://mncourtfraud.com/file/27-CR-21-4099.pdf","27-CR-21-4099")</f>
        <v>27-CR-21-4099</v>
      </c>
      <c r="C381" s="1" t="n">
        <v>1</v>
      </c>
      <c r="D381" s="2" t="s">
        <v>12</v>
      </c>
      <c r="E381" s="8" t="n">
        <v>44468</v>
      </c>
      <c r="F381" s="2" t="s">
        <v>24</v>
      </c>
      <c r="G381" s="7" t="str">
        <f aca="false">HYPERLINK("https://mncourtfraud.com/file/MCRO_27-CR-21-4099_Order for Conditional Release_2021-09-29_20251126184435.pdf","MCRO_27-CR-21-4099_Order for Conditional Release_2021-09-29_20251126184435.pdf")</f>
        <v>MCRO_27-CR-21-4099_Order for Conditional Release_2021-09-29_20251126184435.pdf</v>
      </c>
      <c r="H381" s="1" t="n">
        <v>4</v>
      </c>
      <c r="I381" s="1" t="s">
        <v>1360</v>
      </c>
      <c r="J381" s="1" t="n">
        <v>1</v>
      </c>
      <c r="K381" s="1" t="n">
        <v>1</v>
      </c>
      <c r="L381" s="2" t="s">
        <v>2017</v>
      </c>
      <c r="M381" s="2" t="s">
        <v>1362</v>
      </c>
      <c r="N381" s="2" t="s">
        <v>2018</v>
      </c>
      <c r="O381" s="2" t="s">
        <v>1364</v>
      </c>
      <c r="P381" s="2" t="s">
        <v>1408</v>
      </c>
      <c r="Q381" s="1" t="n">
        <v>0</v>
      </c>
      <c r="R381" s="2" t="n">
        <v>130453</v>
      </c>
      <c r="S381" s="2" t="n">
        <v>146839</v>
      </c>
      <c r="T381" s="2" t="n">
        <v>4974</v>
      </c>
      <c r="U381" s="2" t="n">
        <v>135427</v>
      </c>
      <c r="V381" s="2" t="n">
        <v>89.21</v>
      </c>
      <c r="W381" s="2" t="s">
        <v>1360</v>
      </c>
    </row>
    <row r="382" customFormat="false" ht="18.7" hidden="false" customHeight="true" outlineLevel="0" collapsed="false">
      <c r="A382" s="1" t="n">
        <v>381</v>
      </c>
      <c r="B382" s="7" t="str">
        <f aca="false">HYPERLINK("https://mncourtfraud.com/file/27-CR-21-5179.pdf","27-CR-21-5179")</f>
        <v>27-CR-21-5179</v>
      </c>
      <c r="C382" s="1" t="n">
        <v>5</v>
      </c>
      <c r="D382" s="2" t="s">
        <v>267</v>
      </c>
      <c r="E382" s="8" t="n">
        <v>44873</v>
      </c>
      <c r="F382" s="2" t="s">
        <v>15</v>
      </c>
      <c r="G382" s="7" t="str">
        <f aca="false">HYPERLINK("https://mncourtfraud.com/file/MCRO_27-CR-21-5179_Order-Evaluation for Competency to Proceed (Rule 20.01)_2022-11-08_20251126165604.pdf","MCRO_27-CR-21-5179_Order-Evaluation for Competency to Proceed (Rule 20.01)_2022-11-08_20251126165604.pdf")</f>
        <v>MCRO_27-CR-21-5179_Order-Evaluation for Competency to Proceed (Rule 20.01)_2022-11-08_20251126165604.pdf</v>
      </c>
      <c r="H382" s="1" t="n">
        <v>4</v>
      </c>
      <c r="I382" s="1" t="s">
        <v>1360</v>
      </c>
      <c r="J382" s="1" t="n">
        <v>1</v>
      </c>
      <c r="K382" s="1" t="n">
        <v>1</v>
      </c>
      <c r="L382" s="2" t="s">
        <v>2019</v>
      </c>
      <c r="M382" s="2" t="s">
        <v>1362</v>
      </c>
      <c r="N382" s="2" t="s">
        <v>2020</v>
      </c>
      <c r="O382" s="2" t="s">
        <v>1364</v>
      </c>
      <c r="P382" s="2" t="s">
        <v>1390</v>
      </c>
      <c r="Q382" s="1" t="n">
        <v>0</v>
      </c>
      <c r="R382" s="2" t="n">
        <v>825185</v>
      </c>
      <c r="S382" s="2" t="n">
        <v>841571</v>
      </c>
      <c r="T382" s="2" t="n">
        <v>4525</v>
      </c>
      <c r="U382" s="2" t="n">
        <v>829710</v>
      </c>
      <c r="V382" s="2" t="n">
        <v>98.06</v>
      </c>
      <c r="W382" s="2" t="s">
        <v>1360</v>
      </c>
    </row>
    <row r="383" customFormat="false" ht="18.7" hidden="false" customHeight="true" outlineLevel="0" collapsed="false">
      <c r="A383" s="1" t="n">
        <v>382</v>
      </c>
      <c r="B383" s="7" t="str">
        <f aca="false">HYPERLINK("https://mncourtfraud.com/file/27-CR-21-5179.pdf","27-CR-21-5179")</f>
        <v>27-CR-21-5179</v>
      </c>
      <c r="C383" s="1" t="n">
        <v>5</v>
      </c>
      <c r="D383" s="2" t="s">
        <v>267</v>
      </c>
      <c r="E383" s="8" t="n">
        <v>45023</v>
      </c>
      <c r="F383" s="2" t="s">
        <v>15</v>
      </c>
      <c r="G383" s="7" t="str">
        <f aca="false">HYPERLINK("https://mncourtfraud.com/file/MCRO_27-CR-21-5179_Order-Evaluation for Competency to Proceed (Rule 20.01)_2023-04-07_20251126165613.pdf","MCRO_27-CR-21-5179_Order-Evaluation for Competency to Proceed (Rule 20.01)_2023-04-07_20251126165613.pdf")</f>
        <v>MCRO_27-CR-21-5179_Order-Evaluation for Competency to Proceed (Rule 20.01)_2023-04-07_20251126165613.pdf</v>
      </c>
      <c r="H383" s="1" t="n">
        <v>4</v>
      </c>
      <c r="I383" s="1" t="s">
        <v>1360</v>
      </c>
      <c r="J383" s="1" t="n">
        <v>1</v>
      </c>
      <c r="K383" s="1" t="n">
        <v>1</v>
      </c>
      <c r="L383" s="2" t="s">
        <v>2021</v>
      </c>
      <c r="M383" s="2" t="s">
        <v>1362</v>
      </c>
      <c r="N383" s="2" t="s">
        <v>2022</v>
      </c>
      <c r="O383" s="2" t="s">
        <v>1364</v>
      </c>
      <c r="P383" s="2" t="s">
        <v>1384</v>
      </c>
      <c r="Q383" s="1" t="n">
        <v>0</v>
      </c>
      <c r="R383" s="2" t="n">
        <v>1109177</v>
      </c>
      <c r="S383" s="2" t="n">
        <v>1125563</v>
      </c>
      <c r="T383" s="2" t="n">
        <v>8533</v>
      </c>
      <c r="U383" s="2" t="n">
        <v>1117710</v>
      </c>
      <c r="V383" s="2" t="n">
        <v>98.56</v>
      </c>
      <c r="W383" s="2" t="s">
        <v>1360</v>
      </c>
    </row>
    <row r="384" customFormat="false" ht="18.7" hidden="false" customHeight="true" outlineLevel="0" collapsed="false">
      <c r="A384" s="1" t="n">
        <v>383</v>
      </c>
      <c r="B384" s="7" t="str">
        <f aca="false">HYPERLINK("https://mncourtfraud.com/file/27-CR-21-5179.pdf","27-CR-21-5179")</f>
        <v>27-CR-21-5179</v>
      </c>
      <c r="C384" s="1" t="n">
        <v>5</v>
      </c>
      <c r="D384" s="2" t="s">
        <v>267</v>
      </c>
      <c r="E384" s="8" t="n">
        <v>45194</v>
      </c>
      <c r="F384" s="2" t="s">
        <v>15</v>
      </c>
      <c r="G384" s="7" t="str">
        <f aca="false">HYPERLINK("https://mncourtfraud.com/file/MCRO_27-CR-21-5179_Order-Evaluation for Competency to Proceed (Rule 20.01)_2023-09-25_20251126165545.pdf","MCRO_27-CR-21-5179_Order-Evaluation for Competency to Proceed (Rule 20.01)_2023-09-25_20251126165545.pdf")</f>
        <v>MCRO_27-CR-21-5179_Order-Evaluation for Competency to Proceed (Rule 20.01)_2023-09-25_20251126165545.pdf</v>
      </c>
      <c r="H384" s="1" t="n">
        <v>4</v>
      </c>
      <c r="I384" s="1" t="s">
        <v>1360</v>
      </c>
      <c r="J384" s="1" t="n">
        <v>1</v>
      </c>
      <c r="K384" s="1" t="n">
        <v>1</v>
      </c>
      <c r="L384" s="2" t="s">
        <v>2023</v>
      </c>
      <c r="M384" s="2" t="s">
        <v>1362</v>
      </c>
      <c r="N384" s="2" t="s">
        <v>2024</v>
      </c>
      <c r="O384" s="2" t="s">
        <v>1364</v>
      </c>
      <c r="P384" s="2" t="s">
        <v>1536</v>
      </c>
      <c r="Q384" s="1" t="n">
        <v>0</v>
      </c>
      <c r="R384" s="2" t="n">
        <v>145788</v>
      </c>
      <c r="S384" s="2" t="n">
        <v>162174</v>
      </c>
      <c r="T384" s="2" t="n">
        <v>4468</v>
      </c>
      <c r="U384" s="2" t="n">
        <v>150256</v>
      </c>
      <c r="V384" s="2" t="n">
        <v>90.17</v>
      </c>
      <c r="W384" s="2" t="s">
        <v>1360</v>
      </c>
    </row>
    <row r="385" customFormat="false" ht="18.7" hidden="false" customHeight="true" outlineLevel="0" collapsed="false">
      <c r="A385" s="1" t="n">
        <v>384</v>
      </c>
      <c r="B385" s="7" t="str">
        <f aca="false">HYPERLINK("https://mncourtfraud.com/file/27-CR-21-5179.pdf","27-CR-21-5179")</f>
        <v>27-CR-21-5179</v>
      </c>
      <c r="C385" s="1" t="n">
        <v>5</v>
      </c>
      <c r="D385" s="2" t="s">
        <v>267</v>
      </c>
      <c r="E385" s="8" t="n">
        <v>44733</v>
      </c>
      <c r="F385" s="2" t="s">
        <v>17</v>
      </c>
      <c r="G385" s="7" t="str">
        <f aca="false">HYPERLINK("https://mncourtfraud.com/file/MCRO_27-CR-21-5179_Returned Mail_2022-06-21_20251126165510.pdf","MCRO_27-CR-21-5179_Returned Mail_2022-06-21_20251126165510.pdf")</f>
        <v>MCRO_27-CR-21-5179_Returned Mail_2022-06-21_20251126165510.pdf</v>
      </c>
      <c r="H385" s="1" t="n">
        <v>4</v>
      </c>
      <c r="I385" s="1" t="s">
        <v>1360</v>
      </c>
      <c r="J385" s="1" t="n">
        <v>1</v>
      </c>
      <c r="K385" s="1" t="n">
        <v>1</v>
      </c>
      <c r="L385" s="2" t="s">
        <v>2025</v>
      </c>
      <c r="M385" s="2" t="s">
        <v>1362</v>
      </c>
      <c r="N385" s="2" t="s">
        <v>2026</v>
      </c>
      <c r="O385" s="2" t="s">
        <v>1364</v>
      </c>
      <c r="P385" s="2" t="s">
        <v>1904</v>
      </c>
      <c r="Q385" s="1" t="n">
        <v>0</v>
      </c>
      <c r="R385" s="2" t="n">
        <v>233560</v>
      </c>
      <c r="S385" s="2" t="n">
        <v>249946</v>
      </c>
      <c r="T385" s="2" t="n">
        <v>4519</v>
      </c>
      <c r="U385" s="2" t="n">
        <v>238079</v>
      </c>
      <c r="V385" s="2" t="n">
        <v>93.56</v>
      </c>
      <c r="W385" s="2" t="s">
        <v>1360</v>
      </c>
    </row>
    <row r="386" customFormat="false" ht="18.7" hidden="false" customHeight="true" outlineLevel="0" collapsed="false">
      <c r="A386" s="1" t="n">
        <v>385</v>
      </c>
      <c r="B386" s="7" t="str">
        <f aca="false">HYPERLINK("https://mncourtfraud.com/file/27-CR-21-5179.pdf","27-CR-21-5179")</f>
        <v>27-CR-21-5179</v>
      </c>
      <c r="C386" s="1" t="n">
        <v>5</v>
      </c>
      <c r="D386" s="2" t="s">
        <v>267</v>
      </c>
      <c r="E386" s="8" t="n">
        <v>44837</v>
      </c>
      <c r="F386" s="2" t="s">
        <v>17</v>
      </c>
      <c r="G386" s="7" t="str">
        <f aca="false">HYPERLINK("https://mncourtfraud.com/file/MCRO_27-CR-21-5179_Returned Mail_2022-10-03_20251126165520.pdf","MCRO_27-CR-21-5179_Returned Mail_2022-10-03_20251126165520.pdf")</f>
        <v>MCRO_27-CR-21-5179_Returned Mail_2022-10-03_20251126165520.pdf</v>
      </c>
      <c r="H386" s="1" t="n">
        <v>4</v>
      </c>
      <c r="I386" s="1" t="s">
        <v>1360</v>
      </c>
      <c r="J386" s="1" t="n">
        <v>1</v>
      </c>
      <c r="K386" s="1" t="n">
        <v>1</v>
      </c>
      <c r="L386" s="2" t="s">
        <v>2027</v>
      </c>
      <c r="M386" s="2" t="s">
        <v>1362</v>
      </c>
      <c r="N386" s="2" t="s">
        <v>2028</v>
      </c>
      <c r="O386" s="2" t="s">
        <v>1364</v>
      </c>
      <c r="P386" s="2" t="s">
        <v>1907</v>
      </c>
      <c r="Q386" s="1" t="n">
        <v>0</v>
      </c>
      <c r="R386" s="2" t="n">
        <v>360313</v>
      </c>
      <c r="S386" s="2" t="n">
        <v>376699</v>
      </c>
      <c r="T386" s="2" t="n">
        <v>4520</v>
      </c>
      <c r="U386" s="2" t="n">
        <v>364833</v>
      </c>
      <c r="V386" s="2" t="n">
        <v>95.7</v>
      </c>
      <c r="W386" s="2" t="s">
        <v>1360</v>
      </c>
    </row>
    <row r="387" customFormat="false" ht="18.7" hidden="false" customHeight="true" outlineLevel="0" collapsed="false">
      <c r="A387" s="1" t="n">
        <v>386</v>
      </c>
      <c r="B387" s="7" t="str">
        <f aca="false">HYPERLINK("https://mncourtfraud.com/file/27-CR-22-10565.pdf","27-CR-22-10565")</f>
        <v>27-CR-22-10565</v>
      </c>
      <c r="C387" s="1" t="n">
        <v>5</v>
      </c>
      <c r="D387" s="2" t="s">
        <v>267</v>
      </c>
      <c r="E387" s="8" t="n">
        <v>44873</v>
      </c>
      <c r="F387" s="2" t="s">
        <v>15</v>
      </c>
      <c r="G387" s="7" t="str">
        <f aca="false">HYPERLINK("https://mncourtfraud.com/file/MCRO_27-CR-22-10565_Order-Evaluation for Competency to Proceed (Rule 20.01)_2022-11-08_20251126165641.pdf","MCRO_27-CR-22-10565_Order-Evaluation for Competency to Proceed (Rule 20.01)_2022-11-08_20251126165641.pdf")</f>
        <v>MCRO_27-CR-22-10565_Order-Evaluation for Competency to Proceed (Rule 20.01)_2022-11-08_20251126165641.pdf</v>
      </c>
      <c r="H387" s="1" t="n">
        <v>4</v>
      </c>
      <c r="I387" s="1" t="s">
        <v>1360</v>
      </c>
      <c r="J387" s="1" t="n">
        <v>1</v>
      </c>
      <c r="K387" s="1" t="n">
        <v>1</v>
      </c>
      <c r="L387" s="2" t="s">
        <v>2029</v>
      </c>
      <c r="M387" s="2" t="s">
        <v>1362</v>
      </c>
      <c r="N387" s="2" t="s">
        <v>2030</v>
      </c>
      <c r="O387" s="2" t="s">
        <v>1364</v>
      </c>
      <c r="P387" s="2" t="s">
        <v>1390</v>
      </c>
      <c r="Q387" s="1" t="n">
        <v>0</v>
      </c>
      <c r="R387" s="2" t="n">
        <v>825185</v>
      </c>
      <c r="S387" s="2" t="n">
        <v>841571</v>
      </c>
      <c r="T387" s="2" t="n">
        <v>4525</v>
      </c>
      <c r="U387" s="2" t="n">
        <v>829710</v>
      </c>
      <c r="V387" s="2" t="n">
        <v>98.06</v>
      </c>
      <c r="W387" s="2" t="s">
        <v>1360</v>
      </c>
    </row>
    <row r="388" customFormat="false" ht="18.7" hidden="false" customHeight="true" outlineLevel="0" collapsed="false">
      <c r="A388" s="1" t="n">
        <v>387</v>
      </c>
      <c r="B388" s="7" t="str">
        <f aca="false">HYPERLINK("https://mncourtfraud.com/file/27-CR-22-10565.pdf","27-CR-22-10565")</f>
        <v>27-CR-22-10565</v>
      </c>
      <c r="C388" s="1" t="n">
        <v>5</v>
      </c>
      <c r="D388" s="2" t="s">
        <v>267</v>
      </c>
      <c r="E388" s="8" t="n">
        <v>45023</v>
      </c>
      <c r="F388" s="2" t="s">
        <v>15</v>
      </c>
      <c r="G388" s="7" t="str">
        <f aca="false">HYPERLINK("https://mncourtfraud.com/file/MCRO_27-CR-22-10565_Order-Evaluation for Competency to Proceed (Rule 20.01)_2023-04-07_20251126165651.pdf","MCRO_27-CR-22-10565_Order-Evaluation for Competency to Proceed (Rule 20.01)_2023-04-07_20251126165651.pdf")</f>
        <v>MCRO_27-CR-22-10565_Order-Evaluation for Competency to Proceed (Rule 20.01)_2023-04-07_20251126165651.pdf</v>
      </c>
      <c r="H388" s="1" t="n">
        <v>4</v>
      </c>
      <c r="I388" s="1" t="s">
        <v>1360</v>
      </c>
      <c r="J388" s="1" t="n">
        <v>1</v>
      </c>
      <c r="K388" s="1" t="n">
        <v>1</v>
      </c>
      <c r="L388" s="2" t="s">
        <v>2031</v>
      </c>
      <c r="M388" s="2" t="s">
        <v>1362</v>
      </c>
      <c r="N388" s="2" t="s">
        <v>2032</v>
      </c>
      <c r="O388" s="2" t="s">
        <v>1364</v>
      </c>
      <c r="P388" s="2" t="s">
        <v>1384</v>
      </c>
      <c r="Q388" s="1" t="n">
        <v>0</v>
      </c>
      <c r="R388" s="2" t="n">
        <v>1102718</v>
      </c>
      <c r="S388" s="2" t="n">
        <v>1119104</v>
      </c>
      <c r="T388" s="2" t="n">
        <v>8533</v>
      </c>
      <c r="U388" s="2" t="n">
        <v>1111251</v>
      </c>
      <c r="V388" s="2" t="n">
        <v>98.55</v>
      </c>
      <c r="W388" s="2" t="s">
        <v>1360</v>
      </c>
    </row>
    <row r="389" customFormat="false" ht="18.7" hidden="false" customHeight="true" outlineLevel="0" collapsed="false">
      <c r="A389" s="1" t="n">
        <v>388</v>
      </c>
      <c r="B389" s="7" t="str">
        <f aca="false">HYPERLINK("https://mncourtfraud.com/file/27-CR-22-10565.pdf","27-CR-22-10565")</f>
        <v>27-CR-22-10565</v>
      </c>
      <c r="C389" s="1" t="n">
        <v>5</v>
      </c>
      <c r="D389" s="2" t="s">
        <v>267</v>
      </c>
      <c r="E389" s="8" t="n">
        <v>45194</v>
      </c>
      <c r="F389" s="2" t="s">
        <v>15</v>
      </c>
      <c r="G389" s="7" t="str">
        <f aca="false">HYPERLINK("https://mncourtfraud.com/file/MCRO_27-CR-22-10565_Order-Evaluation for Competency to Proceed (Rule 20.01)_2023-09-25_20251126165659.pdf","MCRO_27-CR-22-10565_Order-Evaluation for Competency to Proceed (Rule 20.01)_2023-09-25_20251126165659.pdf")</f>
        <v>MCRO_27-CR-22-10565_Order-Evaluation for Competency to Proceed (Rule 20.01)_2023-09-25_20251126165659.pdf</v>
      </c>
      <c r="H389" s="1" t="n">
        <v>4</v>
      </c>
      <c r="I389" s="1" t="s">
        <v>1360</v>
      </c>
      <c r="J389" s="1" t="n">
        <v>1</v>
      </c>
      <c r="K389" s="1" t="n">
        <v>1</v>
      </c>
      <c r="L389" s="2" t="s">
        <v>2033</v>
      </c>
      <c r="M389" s="2" t="s">
        <v>1362</v>
      </c>
      <c r="N389" s="2" t="s">
        <v>2034</v>
      </c>
      <c r="O389" s="2" t="s">
        <v>1364</v>
      </c>
      <c r="P389" s="2" t="s">
        <v>1800</v>
      </c>
      <c r="Q389" s="1" t="n">
        <v>0</v>
      </c>
      <c r="R389" s="2" t="n">
        <v>149056</v>
      </c>
      <c r="S389" s="2" t="n">
        <v>165442</v>
      </c>
      <c r="T389" s="2" t="n">
        <v>4474</v>
      </c>
      <c r="U389" s="2" t="n">
        <v>153530</v>
      </c>
      <c r="V389" s="2" t="n">
        <v>90.36</v>
      </c>
      <c r="W389" s="2" t="s">
        <v>1360</v>
      </c>
    </row>
    <row r="390" customFormat="false" ht="18.7" hidden="false" customHeight="true" outlineLevel="0" collapsed="false">
      <c r="A390" s="1" t="n">
        <v>389</v>
      </c>
      <c r="B390" s="7" t="str">
        <f aca="false">HYPERLINK("https://mncourtfraud.com/file/27-CR-22-10565.pdf","27-CR-22-10565")</f>
        <v>27-CR-22-10565</v>
      </c>
      <c r="C390" s="1" t="n">
        <v>5</v>
      </c>
      <c r="D390" s="2" t="s">
        <v>267</v>
      </c>
      <c r="E390" s="8" t="n">
        <v>44837</v>
      </c>
      <c r="F390" s="2" t="s">
        <v>17</v>
      </c>
      <c r="G390" s="7" t="str">
        <f aca="false">HYPERLINK("https://mncourtfraud.com/file/MCRO_27-CR-22-10565_Returned Mail_2022-10-03_20251126165716.pdf","MCRO_27-CR-22-10565_Returned Mail_2022-10-03_20251126165716.pdf")</f>
        <v>MCRO_27-CR-22-10565_Returned Mail_2022-10-03_20251126165716.pdf</v>
      </c>
      <c r="H390" s="1" t="n">
        <v>4</v>
      </c>
      <c r="I390" s="1" t="s">
        <v>1360</v>
      </c>
      <c r="J390" s="1" t="n">
        <v>1</v>
      </c>
      <c r="K390" s="1" t="n">
        <v>1</v>
      </c>
      <c r="L390" s="2" t="s">
        <v>2035</v>
      </c>
      <c r="M390" s="2" t="s">
        <v>1362</v>
      </c>
      <c r="N390" s="2" t="s">
        <v>2036</v>
      </c>
      <c r="O390" s="2" t="s">
        <v>1364</v>
      </c>
      <c r="P390" s="2" t="s">
        <v>1907</v>
      </c>
      <c r="Q390" s="1" t="n">
        <v>0</v>
      </c>
      <c r="R390" s="2" t="n">
        <v>360313</v>
      </c>
      <c r="S390" s="2" t="n">
        <v>376699</v>
      </c>
      <c r="T390" s="2" t="n">
        <v>4520</v>
      </c>
      <c r="U390" s="2" t="n">
        <v>364833</v>
      </c>
      <c r="V390" s="2" t="n">
        <v>95.7</v>
      </c>
      <c r="W390" s="2" t="s">
        <v>1360</v>
      </c>
    </row>
    <row r="391" customFormat="false" ht="18.7" hidden="false" customHeight="true" outlineLevel="0" collapsed="false">
      <c r="A391" s="1" t="n">
        <v>390</v>
      </c>
      <c r="B391" s="7" t="str">
        <f aca="false">HYPERLINK("https://mncourtfraud.com/file/27-CR-22-11847.pdf","27-CR-22-11847")</f>
        <v>27-CR-22-11847</v>
      </c>
      <c r="C391" s="1" t="n">
        <v>1</v>
      </c>
      <c r="D391" s="2" t="s">
        <v>12</v>
      </c>
      <c r="E391" s="8" t="n">
        <v>45048</v>
      </c>
      <c r="F391" s="2" t="s">
        <v>80</v>
      </c>
      <c r="G391" s="7" t="str">
        <f aca="false">HYPERLINK("https://mncourtfraud.com/file/MCRO_27-CR-22-11847_Finding of Incompetency and Order_2023-05-02_20251126184550.pdf","MCRO_27-CR-22-11847_Finding of Incompetency and Order_2023-05-02_20251126184550.pdf")</f>
        <v>MCRO_27-CR-22-11847_Finding of Incompetency and Order_2023-05-02_20251126184550.pdf</v>
      </c>
      <c r="H391" s="1" t="n">
        <v>9</v>
      </c>
      <c r="I391" s="1" t="s">
        <v>1366</v>
      </c>
      <c r="J391" s="1" t="n">
        <v>1</v>
      </c>
      <c r="K391" s="1" t="n">
        <v>1</v>
      </c>
      <c r="L391" s="2" t="s">
        <v>1491</v>
      </c>
      <c r="M391" s="2" t="s">
        <v>1492</v>
      </c>
      <c r="N391" s="2" t="s">
        <v>1493</v>
      </c>
      <c r="O391" s="2" t="s">
        <v>1494</v>
      </c>
      <c r="P391" s="2" t="s">
        <v>1495</v>
      </c>
      <c r="Q391" s="1" t="n">
        <v>0</v>
      </c>
      <c r="R391" s="2" t="n">
        <v>100288</v>
      </c>
      <c r="S391" s="2" t="n">
        <v>112370</v>
      </c>
      <c r="T391" s="2" t="n">
        <v>48200</v>
      </c>
      <c r="U391" s="2" t="n">
        <v>148488</v>
      </c>
      <c r="V391" s="2" t="n">
        <v>15.21</v>
      </c>
      <c r="W391" s="2" t="s">
        <v>1366</v>
      </c>
    </row>
    <row r="392" customFormat="false" ht="18.7" hidden="false" customHeight="true" outlineLevel="0" collapsed="false">
      <c r="A392" s="1" t="n">
        <v>391</v>
      </c>
      <c r="B392" s="7" t="str">
        <f aca="false">HYPERLINK("https://mncourtfraud.com/file/27-CR-22-11847.pdf","27-CR-22-11847")</f>
        <v>27-CR-22-11847</v>
      </c>
      <c r="C392" s="1" t="n">
        <v>1</v>
      </c>
      <c r="D392" s="2" t="s">
        <v>12</v>
      </c>
      <c r="E392" s="8" t="n">
        <v>45048</v>
      </c>
      <c r="F392" s="2" t="s">
        <v>80</v>
      </c>
      <c r="G392" s="7" t="str">
        <f aca="false">HYPERLINK("https://mncourtfraud.com/file/MCRO_27-CR-22-11847_Finding of Incompetency and Order_2023-05-02_20251126184550.pdf","MCRO_27-CR-22-11847_Finding of Incompetency and Order_2023-05-02_20251126184550.pdf")</f>
        <v>MCRO_27-CR-22-11847_Finding of Incompetency and Order_2023-05-02_20251126184550.pdf</v>
      </c>
      <c r="H392" s="1" t="n">
        <v>9</v>
      </c>
      <c r="I392" s="1" t="s">
        <v>1366</v>
      </c>
      <c r="J392" s="1" t="n">
        <v>2</v>
      </c>
      <c r="K392" s="1" t="n">
        <v>2</v>
      </c>
      <c r="L392" s="2" t="s">
        <v>1367</v>
      </c>
      <c r="M392" s="2" t="s">
        <v>1496</v>
      </c>
      <c r="N392" s="2" t="s">
        <v>1497</v>
      </c>
      <c r="O392" s="2" t="s">
        <v>1494</v>
      </c>
      <c r="P392" s="2" t="s">
        <v>1498</v>
      </c>
      <c r="Q392" s="1" t="n">
        <v>0</v>
      </c>
      <c r="R392" s="2" t="n">
        <v>160968</v>
      </c>
      <c r="S392" s="2" t="n">
        <v>167974</v>
      </c>
      <c r="T392" s="2" t="n">
        <v>59084</v>
      </c>
      <c r="U392" s="2" t="n">
        <v>220052</v>
      </c>
      <c r="V392" s="2" t="n">
        <v>22.53</v>
      </c>
      <c r="W392" s="2" t="s">
        <v>1366</v>
      </c>
    </row>
    <row r="393" customFormat="false" ht="18.7" hidden="false" customHeight="true" outlineLevel="0" collapsed="false">
      <c r="A393" s="1" t="n">
        <v>392</v>
      </c>
      <c r="B393" s="7" t="str">
        <f aca="false">HYPERLINK("https://mncourtfraud.com/file/27-CR-22-11847.pdf","27-CR-22-11847")</f>
        <v>27-CR-22-11847</v>
      </c>
      <c r="C393" s="1" t="n">
        <v>1</v>
      </c>
      <c r="D393" s="2" t="s">
        <v>12</v>
      </c>
      <c r="E393" s="8" t="n">
        <v>45048</v>
      </c>
      <c r="F393" s="2" t="s">
        <v>80</v>
      </c>
      <c r="G393" s="7" t="str">
        <f aca="false">HYPERLINK("https://mncourtfraud.com/file/MCRO_27-CR-22-11847_Finding of Incompetency and Order_2023-05-02_20251126184550.pdf","MCRO_27-CR-22-11847_Finding of Incompetency and Order_2023-05-02_20251126184550.pdf")</f>
        <v>MCRO_27-CR-22-11847_Finding of Incompetency and Order_2023-05-02_20251126184550.pdf</v>
      </c>
      <c r="H393" s="1" t="n">
        <v>9</v>
      </c>
      <c r="I393" s="1" t="s">
        <v>1366</v>
      </c>
      <c r="J393" s="1" t="n">
        <v>3</v>
      </c>
      <c r="K393" s="1" t="n">
        <v>3</v>
      </c>
      <c r="L393" s="2" t="s">
        <v>2037</v>
      </c>
      <c r="M393" s="2" t="s">
        <v>1362</v>
      </c>
      <c r="N393" s="2" t="s">
        <v>2038</v>
      </c>
      <c r="O393" s="2" t="s">
        <v>1364</v>
      </c>
      <c r="P393" s="2" t="s">
        <v>1501</v>
      </c>
      <c r="Q393" s="1" t="n">
        <v>0</v>
      </c>
      <c r="R393" s="2" t="n">
        <v>954853</v>
      </c>
      <c r="S393" s="2" t="n">
        <v>971239</v>
      </c>
      <c r="T393" s="2" t="n">
        <v>5308</v>
      </c>
      <c r="U393" s="2" t="n">
        <v>960161</v>
      </c>
      <c r="V393" s="2" t="n">
        <v>98.32</v>
      </c>
      <c r="W393" s="2" t="s">
        <v>1360</v>
      </c>
    </row>
    <row r="394" customFormat="false" ht="18.7" hidden="false" customHeight="true" outlineLevel="0" collapsed="false">
      <c r="A394" s="1" t="n">
        <v>393</v>
      </c>
      <c r="B394" s="7" t="str">
        <f aca="false">HYPERLINK("https://mncourtfraud.com/file/27-CR-22-11847.pdf","27-CR-22-11847")</f>
        <v>27-CR-22-11847</v>
      </c>
      <c r="C394" s="1" t="n">
        <v>1</v>
      </c>
      <c r="D394" s="2" t="s">
        <v>12</v>
      </c>
      <c r="E394" s="8" t="n">
        <v>45093</v>
      </c>
      <c r="F394" s="2" t="s">
        <v>82</v>
      </c>
      <c r="G394" s="7" t="str">
        <f aca="false">HYPERLINK("https://mncourtfraud.com/file/MCRO_27-CR-22-11847_Notice of Case Reassignment_2023-06-16_20251126184603.pdf","MCRO_27-CR-22-11847_Notice of Case Reassignment_2023-06-16_20251126184603.pdf")</f>
        <v>MCRO_27-CR-22-11847_Notice of Case Reassignment_2023-06-16_20251126184603.pdf</v>
      </c>
      <c r="H394" s="1" t="n">
        <v>3</v>
      </c>
      <c r="I394" s="1" t="s">
        <v>1360</v>
      </c>
      <c r="J394" s="1" t="n">
        <v>1</v>
      </c>
      <c r="K394" s="1" t="n">
        <v>1</v>
      </c>
      <c r="L394" s="2" t="s">
        <v>2039</v>
      </c>
      <c r="M394" s="2" t="s">
        <v>1362</v>
      </c>
      <c r="N394" s="2" t="s">
        <v>2040</v>
      </c>
      <c r="O394" s="2" t="s">
        <v>1364</v>
      </c>
      <c r="P394" s="2" t="s">
        <v>1508</v>
      </c>
      <c r="Q394" s="1" t="n">
        <v>0</v>
      </c>
      <c r="R394" s="2" t="n">
        <v>92690</v>
      </c>
      <c r="S394" s="2" t="n">
        <v>109076</v>
      </c>
      <c r="T394" s="2" t="n">
        <v>4553</v>
      </c>
      <c r="U394" s="2" t="n">
        <v>97243</v>
      </c>
      <c r="V394" s="2" t="n">
        <v>85.58</v>
      </c>
      <c r="W394" s="2" t="s">
        <v>1360</v>
      </c>
    </row>
    <row r="395" customFormat="false" ht="18.7" hidden="false" customHeight="true" outlineLevel="0" collapsed="false">
      <c r="A395" s="1" t="n">
        <v>394</v>
      </c>
      <c r="B395" s="7" t="str">
        <f aca="false">HYPERLINK("https://mncourtfraud.com/file/27-CR-22-11847.pdf","27-CR-22-11847")</f>
        <v>27-CR-22-11847</v>
      </c>
      <c r="C395" s="1" t="n">
        <v>1</v>
      </c>
      <c r="D395" s="2" t="s">
        <v>12</v>
      </c>
      <c r="E395" s="8" t="n">
        <v>44761</v>
      </c>
      <c r="F395" s="2" t="s">
        <v>15</v>
      </c>
      <c r="G395" s="7" t="str">
        <f aca="false">HYPERLINK("https://mncourtfraud.com/file/MCRO_27-CR-22-11847_Order-Evaluation for Competency to Proceed (Rule 20.01)_2022-07-19_20251126184637.pdf","MCRO_27-CR-22-11847_Order-Evaluation for Competency to Proceed (Rule 20.01)_2022-07-19_20251126184637.pdf")</f>
        <v>MCRO_27-CR-22-11847_Order-Evaluation for Competency to Proceed (Rule 20.01)_2022-07-19_20251126184637.pdf</v>
      </c>
      <c r="H395" s="1" t="n">
        <v>4</v>
      </c>
      <c r="I395" s="1" t="s">
        <v>1360</v>
      </c>
      <c r="J395" s="1" t="n">
        <v>1</v>
      </c>
      <c r="K395" s="1" t="n">
        <v>1</v>
      </c>
      <c r="L395" s="2" t="s">
        <v>2041</v>
      </c>
      <c r="M395" s="2" t="s">
        <v>1362</v>
      </c>
      <c r="N395" s="2" t="s">
        <v>2042</v>
      </c>
      <c r="O395" s="2" t="s">
        <v>1364</v>
      </c>
      <c r="P395" s="2" t="s">
        <v>1536</v>
      </c>
      <c r="Q395" s="1" t="n">
        <v>0</v>
      </c>
      <c r="R395" s="2" t="n">
        <v>199674</v>
      </c>
      <c r="S395" s="2" t="n">
        <v>216060</v>
      </c>
      <c r="T395" s="2" t="n">
        <v>4453</v>
      </c>
      <c r="U395" s="2" t="n">
        <v>204127</v>
      </c>
      <c r="V395" s="2" t="n">
        <v>92.57</v>
      </c>
      <c r="W395" s="2" t="s">
        <v>1360</v>
      </c>
    </row>
    <row r="396" customFormat="false" ht="18.7" hidden="false" customHeight="true" outlineLevel="0" collapsed="false">
      <c r="A396" s="1" t="n">
        <v>395</v>
      </c>
      <c r="B396" s="7" t="str">
        <f aca="false">HYPERLINK("https://mncourtfraud.com/file/27-CR-22-11847.pdf","27-CR-22-11847")</f>
        <v>27-CR-22-11847</v>
      </c>
      <c r="C396" s="1" t="n">
        <v>1</v>
      </c>
      <c r="D396" s="2" t="s">
        <v>12</v>
      </c>
      <c r="E396" s="8" t="n">
        <v>44895</v>
      </c>
      <c r="F396" s="2" t="s">
        <v>15</v>
      </c>
      <c r="G396" s="7" t="str">
        <f aca="false">HYPERLINK("https://mncourtfraud.com/file/MCRO_27-CR-22-11847_Order-Evaluation for Competency to Proceed (Rule 20.01)_2022-11-30_20251126184645.pdf","MCRO_27-CR-22-11847_Order-Evaluation for Competency to Proceed (Rule 20.01)_2022-11-30_20251126184645.pdf")</f>
        <v>MCRO_27-CR-22-11847_Order-Evaluation for Competency to Proceed (Rule 20.01)_2022-11-30_20251126184645.pdf</v>
      </c>
      <c r="H396" s="1" t="n">
        <v>4</v>
      </c>
      <c r="I396" s="1" t="s">
        <v>1360</v>
      </c>
      <c r="J396" s="1" t="n">
        <v>1</v>
      </c>
      <c r="K396" s="1" t="n">
        <v>1</v>
      </c>
      <c r="L396" s="2" t="s">
        <v>2043</v>
      </c>
      <c r="M396" s="2" t="s">
        <v>1362</v>
      </c>
      <c r="N396" s="2" t="s">
        <v>2044</v>
      </c>
      <c r="O396" s="2" t="s">
        <v>1364</v>
      </c>
      <c r="P396" s="2" t="s">
        <v>1402</v>
      </c>
      <c r="Q396" s="1" t="n">
        <v>0</v>
      </c>
      <c r="R396" s="2" t="n">
        <v>795532</v>
      </c>
      <c r="S396" s="2" t="n">
        <v>811918</v>
      </c>
      <c r="T396" s="2" t="n">
        <v>5078</v>
      </c>
      <c r="U396" s="2" t="n">
        <v>800610</v>
      </c>
      <c r="V396" s="2" t="n">
        <v>97.99</v>
      </c>
      <c r="W396" s="2" t="s">
        <v>1360</v>
      </c>
    </row>
    <row r="397" customFormat="false" ht="18.7" hidden="false" customHeight="true" outlineLevel="0" collapsed="false">
      <c r="A397" s="1" t="n">
        <v>396</v>
      </c>
      <c r="B397" s="7" t="str">
        <f aca="false">HYPERLINK("https://mncourtfraud.com/file/27-CR-22-11847.pdf","27-CR-22-11847")</f>
        <v>27-CR-22-11847</v>
      </c>
      <c r="C397" s="1" t="n">
        <v>1</v>
      </c>
      <c r="D397" s="2" t="s">
        <v>12</v>
      </c>
      <c r="E397" s="8" t="n">
        <v>45160</v>
      </c>
      <c r="F397" s="2" t="s">
        <v>15</v>
      </c>
      <c r="G397" s="7" t="str">
        <f aca="false">HYPERLINK("https://mncourtfraud.com/file/MCRO_27-CR-22-11847_Order-Evaluation for Competency to Proceed (Rule 20.01)_2023-08-22_20251126184653.pdf","MCRO_27-CR-22-11847_Order-Evaluation for Competency to Proceed (Rule 20.01)_2023-08-22_20251126184653.pdf")</f>
        <v>MCRO_27-CR-22-11847_Order-Evaluation for Competency to Proceed (Rule 20.01)_2023-08-22_20251126184653.pdf</v>
      </c>
      <c r="H397" s="1" t="n">
        <v>6</v>
      </c>
      <c r="I397" s="1" t="s">
        <v>1366</v>
      </c>
      <c r="J397" s="1" t="n">
        <v>1</v>
      </c>
      <c r="K397" s="1" t="n">
        <v>1</v>
      </c>
      <c r="L397" s="2" t="s">
        <v>1367</v>
      </c>
      <c r="M397" s="2" t="s">
        <v>1519</v>
      </c>
      <c r="N397" s="2" t="s">
        <v>1520</v>
      </c>
      <c r="O397" s="2" t="s">
        <v>1494</v>
      </c>
      <c r="P397" s="2" t="s">
        <v>1521</v>
      </c>
      <c r="Q397" s="1" t="n">
        <v>0</v>
      </c>
      <c r="R397" s="2" t="n">
        <v>122115</v>
      </c>
      <c r="S397" s="2" t="n">
        <v>129143</v>
      </c>
      <c r="T397" s="2" t="n">
        <v>87775</v>
      </c>
      <c r="U397" s="2" t="n">
        <v>209890</v>
      </c>
      <c r="V397" s="2" t="n">
        <v>23.95</v>
      </c>
      <c r="W397" s="2" t="s">
        <v>1366</v>
      </c>
    </row>
    <row r="398" customFormat="false" ht="18.7" hidden="false" customHeight="true" outlineLevel="0" collapsed="false">
      <c r="A398" s="1" t="n">
        <v>397</v>
      </c>
      <c r="B398" s="7" t="str">
        <f aca="false">HYPERLINK("https://mncourtfraud.com/file/27-CR-22-11847.pdf","27-CR-22-11847")</f>
        <v>27-CR-22-11847</v>
      </c>
      <c r="C398" s="1" t="n">
        <v>1</v>
      </c>
      <c r="D398" s="2" t="s">
        <v>12</v>
      </c>
      <c r="E398" s="8" t="n">
        <v>45160</v>
      </c>
      <c r="F398" s="2" t="s">
        <v>15</v>
      </c>
      <c r="G398" s="7" t="str">
        <f aca="false">HYPERLINK("https://mncourtfraud.com/file/MCRO_27-CR-22-11847_Order-Evaluation for Competency to Proceed (Rule 20.01)_2023-08-22_20251126184653.pdf","MCRO_27-CR-22-11847_Order-Evaluation for Competency to Proceed (Rule 20.01)_2023-08-22_20251126184653.pdf")</f>
        <v>MCRO_27-CR-22-11847_Order-Evaluation for Competency to Proceed (Rule 20.01)_2023-08-22_20251126184653.pdf</v>
      </c>
      <c r="H398" s="1" t="n">
        <v>6</v>
      </c>
      <c r="I398" s="1" t="s">
        <v>1366</v>
      </c>
      <c r="J398" s="1" t="n">
        <v>2</v>
      </c>
      <c r="K398" s="1" t="n">
        <v>2</v>
      </c>
      <c r="L398" s="2" t="s">
        <v>2045</v>
      </c>
      <c r="M398" s="2" t="s">
        <v>1362</v>
      </c>
      <c r="N398" s="2" t="s">
        <v>2046</v>
      </c>
      <c r="O398" s="2" t="s">
        <v>1364</v>
      </c>
      <c r="P398" s="2" t="s">
        <v>1524</v>
      </c>
      <c r="Q398" s="1" t="n">
        <v>0</v>
      </c>
      <c r="R398" s="2" t="n">
        <v>855042</v>
      </c>
      <c r="S398" s="2" t="n">
        <v>871428</v>
      </c>
      <c r="T398" s="2" t="n">
        <v>4974</v>
      </c>
      <c r="U398" s="2" t="n">
        <v>860016</v>
      </c>
      <c r="V398" s="2" t="n">
        <v>98.13</v>
      </c>
      <c r="W398" s="2" t="s">
        <v>1360</v>
      </c>
    </row>
    <row r="399" customFormat="false" ht="18.7" hidden="false" customHeight="true" outlineLevel="0" collapsed="false">
      <c r="A399" s="1" t="n">
        <v>398</v>
      </c>
      <c r="B399" s="7" t="str">
        <f aca="false">HYPERLINK("https://mncourtfraud.com/file/27-CR-22-11847.pdf","27-CR-22-11847")</f>
        <v>27-CR-22-11847</v>
      </c>
      <c r="C399" s="1" t="n">
        <v>1</v>
      </c>
      <c r="D399" s="2" t="s">
        <v>12</v>
      </c>
      <c r="E399" s="8" t="n">
        <v>45412</v>
      </c>
      <c r="F399" s="2" t="s">
        <v>15</v>
      </c>
      <c r="G399" s="7" t="str">
        <f aca="false">HYPERLINK("https://mncourtfraud.com/file/MCRO_27-CR-22-11847_Order-Evaluation for Competency to Proceed (Rule 20.01)_2024-04-30_20251126184629.pdf","MCRO_27-CR-22-11847_Order-Evaluation for Competency to Proceed (Rule 20.01)_2024-04-30_20251126184629.pdf")</f>
        <v>MCRO_27-CR-22-11847_Order-Evaluation for Competency to Proceed (Rule 20.01)_2024-04-30_20251126184629.pdf</v>
      </c>
      <c r="H399" s="1" t="n">
        <v>4</v>
      </c>
      <c r="I399" s="1" t="s">
        <v>1360</v>
      </c>
      <c r="J399" s="1" t="n">
        <v>1</v>
      </c>
      <c r="K399" s="1" t="n">
        <v>1</v>
      </c>
      <c r="L399" s="2" t="s">
        <v>2047</v>
      </c>
      <c r="M399" s="2" t="s">
        <v>1362</v>
      </c>
      <c r="N399" s="2" t="s">
        <v>2048</v>
      </c>
      <c r="O399" s="2" t="s">
        <v>1364</v>
      </c>
      <c r="P399" s="2" t="s">
        <v>1390</v>
      </c>
      <c r="Q399" s="1" t="n">
        <v>0</v>
      </c>
      <c r="R399" s="2" t="n">
        <v>198658</v>
      </c>
      <c r="S399" s="2" t="n">
        <v>215044</v>
      </c>
      <c r="T399" s="2" t="n">
        <v>4474</v>
      </c>
      <c r="U399" s="2" t="n">
        <v>203132</v>
      </c>
      <c r="V399" s="2" t="n">
        <v>92.54</v>
      </c>
      <c r="W399" s="2" t="s">
        <v>1360</v>
      </c>
    </row>
    <row r="400" customFormat="false" ht="18.7" hidden="false" customHeight="true" outlineLevel="0" collapsed="false">
      <c r="A400" s="1" t="n">
        <v>399</v>
      </c>
      <c r="B400" s="7" t="str">
        <f aca="false">HYPERLINK("https://mncourtfraud.com/file/27-CR-22-11847.pdf","27-CR-22-11847")</f>
        <v>27-CR-22-11847</v>
      </c>
      <c r="C400" s="1" t="n">
        <v>1</v>
      </c>
      <c r="D400" s="2" t="s">
        <v>12</v>
      </c>
      <c r="E400" s="8" t="n">
        <v>45412</v>
      </c>
      <c r="F400" s="2" t="s">
        <v>24</v>
      </c>
      <c r="G400" s="7" t="str">
        <f aca="false">HYPERLINK("https://mncourtfraud.com/file/MCRO_27-CR-22-11847_Order for Conditional Release_2024-04-30_20251126184615.pdf","MCRO_27-CR-22-11847_Order for Conditional Release_2024-04-30_20251126184615.pdf")</f>
        <v>MCRO_27-CR-22-11847_Order for Conditional Release_2024-04-30_20251126184615.pdf</v>
      </c>
      <c r="H400" s="1" t="n">
        <v>4</v>
      </c>
      <c r="I400" s="1" t="s">
        <v>1360</v>
      </c>
      <c r="J400" s="1" t="n">
        <v>1</v>
      </c>
      <c r="K400" s="1" t="n">
        <v>1</v>
      </c>
      <c r="L400" s="2" t="s">
        <v>2049</v>
      </c>
      <c r="M400" s="2" t="s">
        <v>1362</v>
      </c>
      <c r="N400" s="2" t="s">
        <v>2050</v>
      </c>
      <c r="O400" s="2" t="s">
        <v>1364</v>
      </c>
      <c r="P400" s="2" t="s">
        <v>1536</v>
      </c>
      <c r="Q400" s="1" t="n">
        <v>0</v>
      </c>
      <c r="R400" s="2" t="n">
        <v>129682</v>
      </c>
      <c r="S400" s="2" t="n">
        <v>146068</v>
      </c>
      <c r="T400" s="2" t="n">
        <v>4468</v>
      </c>
      <c r="U400" s="2" t="n">
        <v>134150</v>
      </c>
      <c r="V400" s="2" t="n">
        <v>89.11</v>
      </c>
      <c r="W400" s="2" t="s">
        <v>1360</v>
      </c>
    </row>
    <row r="401" customFormat="false" ht="18.7" hidden="false" customHeight="true" outlineLevel="0" collapsed="false">
      <c r="A401" s="1" t="n">
        <v>400</v>
      </c>
      <c r="B401" s="7" t="str">
        <f aca="false">HYPERLINK("https://mncourtfraud.com/file/27-CR-22-11847.pdf","27-CR-22-11847")</f>
        <v>27-CR-22-11847</v>
      </c>
      <c r="C401" s="1" t="n">
        <v>1</v>
      </c>
      <c r="D401" s="2" t="s">
        <v>12</v>
      </c>
      <c r="E401" s="8" t="n">
        <v>44999</v>
      </c>
      <c r="F401" s="2" t="s">
        <v>17</v>
      </c>
      <c r="G401" s="7" t="str">
        <f aca="false">HYPERLINK("https://mncourtfraud.com/file/MCRO_27-CR-22-11847_Returned Mail_2023-03-14_20251126184709.pdf","MCRO_27-CR-22-11847_Returned Mail_2023-03-14_20251126184709.pdf")</f>
        <v>MCRO_27-CR-22-11847_Returned Mail_2023-03-14_20251126184709.pdf</v>
      </c>
      <c r="H401" s="1" t="n">
        <v>4</v>
      </c>
      <c r="I401" s="1" t="s">
        <v>1360</v>
      </c>
      <c r="J401" s="1" t="n">
        <v>1</v>
      </c>
      <c r="K401" s="1" t="n">
        <v>1</v>
      </c>
      <c r="L401" s="2" t="s">
        <v>2051</v>
      </c>
      <c r="M401" s="2" t="s">
        <v>1362</v>
      </c>
      <c r="N401" s="2" t="s">
        <v>2052</v>
      </c>
      <c r="O401" s="2" t="s">
        <v>1364</v>
      </c>
      <c r="P401" s="2" t="s">
        <v>1800</v>
      </c>
      <c r="Q401" s="1" t="n">
        <v>0</v>
      </c>
      <c r="R401" s="2" t="n">
        <v>229161</v>
      </c>
      <c r="S401" s="2" t="n">
        <v>245547</v>
      </c>
      <c r="T401" s="2" t="n">
        <v>8487</v>
      </c>
      <c r="U401" s="2" t="n">
        <v>237648</v>
      </c>
      <c r="V401" s="2" t="n">
        <v>93.55</v>
      </c>
      <c r="W401" s="2" t="s">
        <v>1360</v>
      </c>
    </row>
    <row r="402" customFormat="false" ht="18.7" hidden="false" customHeight="true" outlineLevel="0" collapsed="false">
      <c r="A402" s="1" t="n">
        <v>401</v>
      </c>
      <c r="B402" s="7" t="str">
        <f aca="false">HYPERLINK("https://mncourtfraud.com/file/27-CR-22-12695.pdf","27-CR-22-12695")</f>
        <v>27-CR-22-12695</v>
      </c>
      <c r="C402" s="1" t="n">
        <v>1</v>
      </c>
      <c r="D402" s="2" t="s">
        <v>12</v>
      </c>
      <c r="E402" s="8" t="n">
        <v>45048</v>
      </c>
      <c r="F402" s="2" t="s">
        <v>80</v>
      </c>
      <c r="G402" s="7" t="str">
        <f aca="false">HYPERLINK("https://mncourtfraud.com/file/MCRO_27-CR-22-12695_Finding of Incompetency and Order_2023-05-02_20251126184737.pdf","MCRO_27-CR-22-12695_Finding of Incompetency and Order_2023-05-02_20251126184737.pdf")</f>
        <v>MCRO_27-CR-22-12695_Finding of Incompetency and Order_2023-05-02_20251126184737.pdf</v>
      </c>
      <c r="H402" s="1" t="n">
        <v>9</v>
      </c>
      <c r="I402" s="1" t="s">
        <v>1366</v>
      </c>
      <c r="J402" s="1" t="n">
        <v>1</v>
      </c>
      <c r="K402" s="1" t="n">
        <v>1</v>
      </c>
      <c r="L402" s="2" t="s">
        <v>1491</v>
      </c>
      <c r="M402" s="2" t="s">
        <v>1492</v>
      </c>
      <c r="N402" s="2" t="s">
        <v>1493</v>
      </c>
      <c r="O402" s="2" t="s">
        <v>1494</v>
      </c>
      <c r="P402" s="2" t="s">
        <v>1495</v>
      </c>
      <c r="Q402" s="1" t="n">
        <v>0</v>
      </c>
      <c r="R402" s="2" t="n">
        <v>100288</v>
      </c>
      <c r="S402" s="2" t="n">
        <v>112370</v>
      </c>
      <c r="T402" s="2" t="n">
        <v>48200</v>
      </c>
      <c r="U402" s="2" t="n">
        <v>148488</v>
      </c>
      <c r="V402" s="2" t="n">
        <v>15.21</v>
      </c>
      <c r="W402" s="2" t="s">
        <v>1366</v>
      </c>
    </row>
    <row r="403" customFormat="false" ht="18.7" hidden="false" customHeight="true" outlineLevel="0" collapsed="false">
      <c r="A403" s="1" t="n">
        <v>402</v>
      </c>
      <c r="B403" s="7" t="str">
        <f aca="false">HYPERLINK("https://mncourtfraud.com/file/27-CR-22-12695.pdf","27-CR-22-12695")</f>
        <v>27-CR-22-12695</v>
      </c>
      <c r="C403" s="1" t="n">
        <v>1</v>
      </c>
      <c r="D403" s="2" t="s">
        <v>12</v>
      </c>
      <c r="E403" s="8" t="n">
        <v>45048</v>
      </c>
      <c r="F403" s="2" t="s">
        <v>80</v>
      </c>
      <c r="G403" s="7" t="str">
        <f aca="false">HYPERLINK("https://mncourtfraud.com/file/MCRO_27-CR-22-12695_Finding of Incompetency and Order_2023-05-02_20251126184737.pdf","MCRO_27-CR-22-12695_Finding of Incompetency and Order_2023-05-02_20251126184737.pdf")</f>
        <v>MCRO_27-CR-22-12695_Finding of Incompetency and Order_2023-05-02_20251126184737.pdf</v>
      </c>
      <c r="H403" s="1" t="n">
        <v>9</v>
      </c>
      <c r="I403" s="1" t="s">
        <v>1366</v>
      </c>
      <c r="J403" s="1" t="n">
        <v>2</v>
      </c>
      <c r="K403" s="1" t="n">
        <v>2</v>
      </c>
      <c r="L403" s="2" t="s">
        <v>1367</v>
      </c>
      <c r="M403" s="2" t="s">
        <v>1496</v>
      </c>
      <c r="N403" s="2" t="s">
        <v>1497</v>
      </c>
      <c r="O403" s="2" t="s">
        <v>1494</v>
      </c>
      <c r="P403" s="2" t="s">
        <v>1498</v>
      </c>
      <c r="Q403" s="1" t="n">
        <v>0</v>
      </c>
      <c r="R403" s="2" t="n">
        <v>160968</v>
      </c>
      <c r="S403" s="2" t="n">
        <v>167974</v>
      </c>
      <c r="T403" s="2" t="n">
        <v>59084</v>
      </c>
      <c r="U403" s="2" t="n">
        <v>220052</v>
      </c>
      <c r="V403" s="2" t="n">
        <v>22.53</v>
      </c>
      <c r="W403" s="2" t="s">
        <v>1366</v>
      </c>
    </row>
    <row r="404" customFormat="false" ht="18.7" hidden="false" customHeight="true" outlineLevel="0" collapsed="false">
      <c r="A404" s="1" t="n">
        <v>403</v>
      </c>
      <c r="B404" s="7" t="str">
        <f aca="false">HYPERLINK("https://mncourtfraud.com/file/27-CR-22-12695.pdf","27-CR-22-12695")</f>
        <v>27-CR-22-12695</v>
      </c>
      <c r="C404" s="1" t="n">
        <v>1</v>
      </c>
      <c r="D404" s="2" t="s">
        <v>12</v>
      </c>
      <c r="E404" s="8" t="n">
        <v>45048</v>
      </c>
      <c r="F404" s="2" t="s">
        <v>80</v>
      </c>
      <c r="G404" s="7" t="str">
        <f aca="false">HYPERLINK("https://mncourtfraud.com/file/MCRO_27-CR-22-12695_Finding of Incompetency and Order_2023-05-02_20251126184737.pdf","MCRO_27-CR-22-12695_Finding of Incompetency and Order_2023-05-02_20251126184737.pdf")</f>
        <v>MCRO_27-CR-22-12695_Finding of Incompetency and Order_2023-05-02_20251126184737.pdf</v>
      </c>
      <c r="H404" s="1" t="n">
        <v>9</v>
      </c>
      <c r="I404" s="1" t="s">
        <v>1366</v>
      </c>
      <c r="J404" s="1" t="n">
        <v>3</v>
      </c>
      <c r="K404" s="1" t="n">
        <v>3</v>
      </c>
      <c r="L404" s="2" t="s">
        <v>2053</v>
      </c>
      <c r="M404" s="2" t="s">
        <v>1362</v>
      </c>
      <c r="N404" s="2" t="s">
        <v>2054</v>
      </c>
      <c r="O404" s="2" t="s">
        <v>1364</v>
      </c>
      <c r="P404" s="2" t="s">
        <v>1501</v>
      </c>
      <c r="Q404" s="1" t="n">
        <v>0</v>
      </c>
      <c r="R404" s="2" t="n">
        <v>954857</v>
      </c>
      <c r="S404" s="2" t="n">
        <v>971243</v>
      </c>
      <c r="T404" s="2" t="n">
        <v>5306</v>
      </c>
      <c r="U404" s="2" t="n">
        <v>960163</v>
      </c>
      <c r="V404" s="2" t="n">
        <v>98.32</v>
      </c>
      <c r="W404" s="2" t="s">
        <v>1360</v>
      </c>
    </row>
    <row r="405" customFormat="false" ht="18.7" hidden="false" customHeight="true" outlineLevel="0" collapsed="false">
      <c r="A405" s="1" t="n">
        <v>404</v>
      </c>
      <c r="B405" s="7" t="str">
        <f aca="false">HYPERLINK("https://mncourtfraud.com/file/27-CR-22-12695.pdf","27-CR-22-12695")</f>
        <v>27-CR-22-12695</v>
      </c>
      <c r="C405" s="1" t="n">
        <v>1</v>
      </c>
      <c r="D405" s="2" t="s">
        <v>12</v>
      </c>
      <c r="E405" s="8" t="n">
        <v>44761</v>
      </c>
      <c r="F405" s="2" t="s">
        <v>15</v>
      </c>
      <c r="G405" s="7" t="str">
        <f aca="false">HYPERLINK("https://mncourtfraud.com/file/MCRO_27-CR-22-12695_Order-Evaluation for Competency to Proceed (Rule 20.01)_2022-07-19_20251126184801.pdf","MCRO_27-CR-22-12695_Order-Evaluation for Competency to Proceed (Rule 20.01)_2022-07-19_20251126184801.pdf")</f>
        <v>MCRO_27-CR-22-12695_Order-Evaluation for Competency to Proceed (Rule 20.01)_2022-07-19_20251126184801.pdf</v>
      </c>
      <c r="H405" s="1" t="n">
        <v>4</v>
      </c>
      <c r="I405" s="1" t="s">
        <v>1360</v>
      </c>
      <c r="J405" s="1" t="n">
        <v>1</v>
      </c>
      <c r="K405" s="1" t="n">
        <v>1</v>
      </c>
      <c r="L405" s="2" t="s">
        <v>2055</v>
      </c>
      <c r="M405" s="2" t="s">
        <v>1362</v>
      </c>
      <c r="N405" s="2" t="s">
        <v>2056</v>
      </c>
      <c r="O405" s="2" t="s">
        <v>1364</v>
      </c>
      <c r="P405" s="2" t="s">
        <v>1536</v>
      </c>
      <c r="Q405" s="1" t="n">
        <v>0</v>
      </c>
      <c r="R405" s="2" t="n">
        <v>199673</v>
      </c>
      <c r="S405" s="2" t="n">
        <v>216059</v>
      </c>
      <c r="T405" s="2" t="n">
        <v>4453</v>
      </c>
      <c r="U405" s="2" t="n">
        <v>204126</v>
      </c>
      <c r="V405" s="2" t="n">
        <v>92.57</v>
      </c>
      <c r="W405" s="2" t="s">
        <v>1360</v>
      </c>
    </row>
    <row r="406" customFormat="false" ht="18.7" hidden="false" customHeight="true" outlineLevel="0" collapsed="false">
      <c r="A406" s="1" t="n">
        <v>405</v>
      </c>
      <c r="B406" s="7" t="str">
        <f aca="false">HYPERLINK("https://mncourtfraud.com/file/27-CR-22-12695.pdf","27-CR-22-12695")</f>
        <v>27-CR-22-12695</v>
      </c>
      <c r="C406" s="1" t="n">
        <v>1</v>
      </c>
      <c r="D406" s="2" t="s">
        <v>12</v>
      </c>
      <c r="E406" s="8" t="n">
        <v>44895</v>
      </c>
      <c r="F406" s="2" t="s">
        <v>15</v>
      </c>
      <c r="G406" s="7" t="str">
        <f aca="false">HYPERLINK("https://mncourtfraud.com/file/MCRO_27-CR-22-12695_Order-Evaluation for Competency to Proceed (Rule 20.01)_2022-11-30_20251126184750.pdf","MCRO_27-CR-22-12695_Order-Evaluation for Competency to Proceed (Rule 20.01)_2022-11-30_20251126184750.pdf")</f>
        <v>MCRO_27-CR-22-12695_Order-Evaluation for Competency to Proceed (Rule 20.01)_2022-11-30_20251126184750.pdf</v>
      </c>
      <c r="H406" s="1" t="n">
        <v>4</v>
      </c>
      <c r="I406" s="1" t="s">
        <v>1360</v>
      </c>
      <c r="J406" s="1" t="n">
        <v>1</v>
      </c>
      <c r="K406" s="1" t="n">
        <v>1</v>
      </c>
      <c r="L406" s="2" t="s">
        <v>2057</v>
      </c>
      <c r="M406" s="2" t="s">
        <v>1362</v>
      </c>
      <c r="N406" s="2" t="s">
        <v>2058</v>
      </c>
      <c r="O406" s="2" t="s">
        <v>1364</v>
      </c>
      <c r="P406" s="2" t="s">
        <v>1402</v>
      </c>
      <c r="Q406" s="1" t="n">
        <v>0</v>
      </c>
      <c r="R406" s="2" t="n">
        <v>795532</v>
      </c>
      <c r="S406" s="2" t="n">
        <v>811918</v>
      </c>
      <c r="T406" s="2" t="n">
        <v>5078</v>
      </c>
      <c r="U406" s="2" t="n">
        <v>800610</v>
      </c>
      <c r="V406" s="2" t="n">
        <v>97.99</v>
      </c>
      <c r="W406" s="2" t="s">
        <v>1360</v>
      </c>
    </row>
    <row r="407" customFormat="false" ht="18.7" hidden="false" customHeight="true" outlineLevel="0" collapsed="false">
      <c r="A407" s="1" t="n">
        <v>406</v>
      </c>
      <c r="B407" s="7" t="str">
        <f aca="false">HYPERLINK("https://mncourtfraud.com/file/27-CR-22-12695.pdf","27-CR-22-12695")</f>
        <v>27-CR-22-12695</v>
      </c>
      <c r="C407" s="1" t="n">
        <v>1</v>
      </c>
      <c r="D407" s="2" t="s">
        <v>12</v>
      </c>
      <c r="E407" s="8" t="n">
        <v>44999</v>
      </c>
      <c r="F407" s="2" t="s">
        <v>17</v>
      </c>
      <c r="G407" s="7" t="str">
        <f aca="false">HYPERLINK("https://mncourtfraud.com/file/MCRO_27-CR-22-12695_Returned Mail_2023-03-14_20251126184813.pdf","MCRO_27-CR-22-12695_Returned Mail_2023-03-14_20251126184813.pdf")</f>
        <v>MCRO_27-CR-22-12695_Returned Mail_2023-03-14_20251126184813.pdf</v>
      </c>
      <c r="H407" s="1" t="n">
        <v>4</v>
      </c>
      <c r="I407" s="1" t="s">
        <v>1360</v>
      </c>
      <c r="J407" s="1" t="n">
        <v>1</v>
      </c>
      <c r="K407" s="1" t="n">
        <v>1</v>
      </c>
      <c r="L407" s="2" t="s">
        <v>2059</v>
      </c>
      <c r="M407" s="2" t="s">
        <v>1362</v>
      </c>
      <c r="N407" s="2" t="s">
        <v>2060</v>
      </c>
      <c r="O407" s="2" t="s">
        <v>1364</v>
      </c>
      <c r="P407" s="2" t="s">
        <v>1800</v>
      </c>
      <c r="Q407" s="1" t="n">
        <v>0</v>
      </c>
      <c r="R407" s="2" t="n">
        <v>231367</v>
      </c>
      <c r="S407" s="2" t="n">
        <v>247753</v>
      </c>
      <c r="T407" s="2" t="n">
        <v>8487</v>
      </c>
      <c r="U407" s="2" t="n">
        <v>239854</v>
      </c>
      <c r="V407" s="2" t="n">
        <v>93.61</v>
      </c>
      <c r="W407" s="2" t="s">
        <v>1360</v>
      </c>
    </row>
    <row r="408" customFormat="false" ht="18.7" hidden="false" customHeight="true" outlineLevel="0" collapsed="false">
      <c r="A408" s="1" t="n">
        <v>407</v>
      </c>
      <c r="B408" s="7" t="str">
        <f aca="false">HYPERLINK("https://mncourtfraud.com/file/27-CR-22-13797.pdf","27-CR-22-13797")</f>
        <v>27-CR-22-13797</v>
      </c>
      <c r="C408" s="1" t="n">
        <v>1</v>
      </c>
      <c r="D408" s="2" t="s">
        <v>12</v>
      </c>
      <c r="E408" s="8" t="n">
        <v>45048</v>
      </c>
      <c r="F408" s="2" t="s">
        <v>80</v>
      </c>
      <c r="G408" s="7" t="str">
        <f aca="false">HYPERLINK("https://mncourtfraud.com/file/MCRO_27-CR-22-13797_Finding of Incompetency and Order_2023-05-02_20251126184840.pdf","MCRO_27-CR-22-13797_Finding of Incompetency and Order_2023-05-02_20251126184840.pdf")</f>
        <v>MCRO_27-CR-22-13797_Finding of Incompetency and Order_2023-05-02_20251126184840.pdf</v>
      </c>
      <c r="H408" s="1" t="n">
        <v>9</v>
      </c>
      <c r="I408" s="1" t="s">
        <v>1366</v>
      </c>
      <c r="J408" s="1" t="n">
        <v>1</v>
      </c>
      <c r="K408" s="1" t="n">
        <v>1</v>
      </c>
      <c r="L408" s="2" t="s">
        <v>1491</v>
      </c>
      <c r="M408" s="2" t="s">
        <v>1492</v>
      </c>
      <c r="N408" s="2" t="s">
        <v>1493</v>
      </c>
      <c r="O408" s="2" t="s">
        <v>1494</v>
      </c>
      <c r="P408" s="2" t="s">
        <v>1495</v>
      </c>
      <c r="Q408" s="1" t="n">
        <v>0</v>
      </c>
      <c r="R408" s="2" t="n">
        <v>100288</v>
      </c>
      <c r="S408" s="2" t="n">
        <v>112370</v>
      </c>
      <c r="T408" s="2" t="n">
        <v>48200</v>
      </c>
      <c r="U408" s="2" t="n">
        <v>148488</v>
      </c>
      <c r="V408" s="2" t="n">
        <v>15.21</v>
      </c>
      <c r="W408" s="2" t="s">
        <v>1366</v>
      </c>
    </row>
    <row r="409" customFormat="false" ht="18.7" hidden="false" customHeight="true" outlineLevel="0" collapsed="false">
      <c r="A409" s="1" t="n">
        <v>408</v>
      </c>
      <c r="B409" s="7" t="str">
        <f aca="false">HYPERLINK("https://mncourtfraud.com/file/27-CR-22-13797.pdf","27-CR-22-13797")</f>
        <v>27-CR-22-13797</v>
      </c>
      <c r="C409" s="1" t="n">
        <v>1</v>
      </c>
      <c r="D409" s="2" t="s">
        <v>12</v>
      </c>
      <c r="E409" s="8" t="n">
        <v>45048</v>
      </c>
      <c r="F409" s="2" t="s">
        <v>80</v>
      </c>
      <c r="G409" s="7" t="str">
        <f aca="false">HYPERLINK("https://mncourtfraud.com/file/MCRO_27-CR-22-13797_Finding of Incompetency and Order_2023-05-02_20251126184840.pdf","MCRO_27-CR-22-13797_Finding of Incompetency and Order_2023-05-02_20251126184840.pdf")</f>
        <v>MCRO_27-CR-22-13797_Finding of Incompetency and Order_2023-05-02_20251126184840.pdf</v>
      </c>
      <c r="H409" s="1" t="n">
        <v>9</v>
      </c>
      <c r="I409" s="1" t="s">
        <v>1366</v>
      </c>
      <c r="J409" s="1" t="n">
        <v>2</v>
      </c>
      <c r="K409" s="1" t="n">
        <v>2</v>
      </c>
      <c r="L409" s="2" t="s">
        <v>1367</v>
      </c>
      <c r="M409" s="2" t="s">
        <v>1496</v>
      </c>
      <c r="N409" s="2" t="s">
        <v>1497</v>
      </c>
      <c r="O409" s="2" t="s">
        <v>1494</v>
      </c>
      <c r="P409" s="2" t="s">
        <v>1498</v>
      </c>
      <c r="Q409" s="1" t="n">
        <v>0</v>
      </c>
      <c r="R409" s="2" t="n">
        <v>160968</v>
      </c>
      <c r="S409" s="2" t="n">
        <v>167974</v>
      </c>
      <c r="T409" s="2" t="n">
        <v>59084</v>
      </c>
      <c r="U409" s="2" t="n">
        <v>220052</v>
      </c>
      <c r="V409" s="2" t="n">
        <v>22.53</v>
      </c>
      <c r="W409" s="2" t="s">
        <v>1366</v>
      </c>
    </row>
    <row r="410" customFormat="false" ht="18.7" hidden="false" customHeight="true" outlineLevel="0" collapsed="false">
      <c r="A410" s="1" t="n">
        <v>409</v>
      </c>
      <c r="B410" s="7" t="str">
        <f aca="false">HYPERLINK("https://mncourtfraud.com/file/27-CR-22-13797.pdf","27-CR-22-13797")</f>
        <v>27-CR-22-13797</v>
      </c>
      <c r="C410" s="1" t="n">
        <v>1</v>
      </c>
      <c r="D410" s="2" t="s">
        <v>12</v>
      </c>
      <c r="E410" s="8" t="n">
        <v>45048</v>
      </c>
      <c r="F410" s="2" t="s">
        <v>80</v>
      </c>
      <c r="G410" s="7" t="str">
        <f aca="false">HYPERLINK("https://mncourtfraud.com/file/MCRO_27-CR-22-13797_Finding of Incompetency and Order_2023-05-02_20251126184840.pdf","MCRO_27-CR-22-13797_Finding of Incompetency and Order_2023-05-02_20251126184840.pdf")</f>
        <v>MCRO_27-CR-22-13797_Finding of Incompetency and Order_2023-05-02_20251126184840.pdf</v>
      </c>
      <c r="H410" s="1" t="n">
        <v>9</v>
      </c>
      <c r="I410" s="1" t="s">
        <v>1366</v>
      </c>
      <c r="J410" s="1" t="n">
        <v>3</v>
      </c>
      <c r="K410" s="1" t="n">
        <v>3</v>
      </c>
      <c r="L410" s="2" t="s">
        <v>2061</v>
      </c>
      <c r="M410" s="2" t="s">
        <v>1362</v>
      </c>
      <c r="N410" s="2" t="s">
        <v>2062</v>
      </c>
      <c r="O410" s="2" t="s">
        <v>1364</v>
      </c>
      <c r="P410" s="2" t="s">
        <v>1501</v>
      </c>
      <c r="Q410" s="1" t="n">
        <v>0</v>
      </c>
      <c r="R410" s="2" t="n">
        <v>954855</v>
      </c>
      <c r="S410" s="2" t="n">
        <v>971241</v>
      </c>
      <c r="T410" s="2" t="n">
        <v>5307</v>
      </c>
      <c r="U410" s="2" t="n">
        <v>960162</v>
      </c>
      <c r="V410" s="2" t="n">
        <v>98.32</v>
      </c>
      <c r="W410" s="2" t="s">
        <v>1360</v>
      </c>
    </row>
    <row r="411" customFormat="false" ht="18.7" hidden="false" customHeight="true" outlineLevel="0" collapsed="false">
      <c r="A411" s="1" t="n">
        <v>410</v>
      </c>
      <c r="B411" s="7" t="str">
        <f aca="false">HYPERLINK("https://mncourtfraud.com/file/27-CR-22-13797.pdf","27-CR-22-13797")</f>
        <v>27-CR-22-13797</v>
      </c>
      <c r="C411" s="1" t="n">
        <v>1</v>
      </c>
      <c r="D411" s="2" t="s">
        <v>12</v>
      </c>
      <c r="E411" s="8" t="n">
        <v>44761</v>
      </c>
      <c r="F411" s="2" t="s">
        <v>15</v>
      </c>
      <c r="G411" s="7" t="str">
        <f aca="false">HYPERLINK("https://mncourtfraud.com/file/MCRO_27-CR-22-13797_Order-Evaluation for Competency to Proceed (Rule 20.01)_2022-07-19_20251126185033.pdf","MCRO_27-CR-22-13797_Order-Evaluation for Competency to Proceed (Rule 20.01)_2022-07-19_20251126185033.pdf")</f>
        <v>MCRO_27-CR-22-13797_Order-Evaluation for Competency to Proceed (Rule 20.01)_2022-07-19_20251126185033.pdf</v>
      </c>
      <c r="H411" s="1" t="n">
        <v>4</v>
      </c>
      <c r="I411" s="1" t="s">
        <v>1360</v>
      </c>
      <c r="J411" s="1" t="n">
        <v>1</v>
      </c>
      <c r="K411" s="1" t="n">
        <v>1</v>
      </c>
      <c r="L411" s="2" t="s">
        <v>2063</v>
      </c>
      <c r="M411" s="2" t="s">
        <v>1362</v>
      </c>
      <c r="N411" s="2" t="s">
        <v>2064</v>
      </c>
      <c r="O411" s="2" t="s">
        <v>1364</v>
      </c>
      <c r="P411" s="2" t="s">
        <v>1536</v>
      </c>
      <c r="Q411" s="1" t="n">
        <v>0</v>
      </c>
      <c r="R411" s="2" t="n">
        <v>199673</v>
      </c>
      <c r="S411" s="2" t="n">
        <v>216059</v>
      </c>
      <c r="T411" s="2" t="n">
        <v>4453</v>
      </c>
      <c r="U411" s="2" t="n">
        <v>204126</v>
      </c>
      <c r="V411" s="2" t="n">
        <v>92.57</v>
      </c>
      <c r="W411" s="2" t="s">
        <v>1360</v>
      </c>
    </row>
    <row r="412" customFormat="false" ht="18.7" hidden="false" customHeight="true" outlineLevel="0" collapsed="false">
      <c r="A412" s="1" t="n">
        <v>411</v>
      </c>
      <c r="B412" s="7" t="str">
        <f aca="false">HYPERLINK("https://mncourtfraud.com/file/27-CR-22-13797.pdf","27-CR-22-13797")</f>
        <v>27-CR-22-13797</v>
      </c>
      <c r="C412" s="1" t="n">
        <v>1</v>
      </c>
      <c r="D412" s="2" t="s">
        <v>12</v>
      </c>
      <c r="E412" s="8" t="n">
        <v>44895</v>
      </c>
      <c r="F412" s="2" t="s">
        <v>15</v>
      </c>
      <c r="G412" s="7" t="str">
        <f aca="false">HYPERLINK("https://mncourtfraud.com/file/MCRO_27-CR-22-13797_Order-Evaluation for Competency to Proceed (Rule 20.01)_2022-11-30_20251126185022.pdf","MCRO_27-CR-22-13797_Order-Evaluation for Competency to Proceed (Rule 20.01)_2022-11-30_20251126185022.pdf")</f>
        <v>MCRO_27-CR-22-13797_Order-Evaluation for Competency to Proceed (Rule 20.01)_2022-11-30_20251126185022.pdf</v>
      </c>
      <c r="H412" s="1" t="n">
        <v>4</v>
      </c>
      <c r="I412" s="1" t="s">
        <v>1360</v>
      </c>
      <c r="J412" s="1" t="n">
        <v>1</v>
      </c>
      <c r="K412" s="1" t="n">
        <v>1</v>
      </c>
      <c r="L412" s="2" t="s">
        <v>2065</v>
      </c>
      <c r="M412" s="2" t="s">
        <v>1362</v>
      </c>
      <c r="N412" s="2" t="s">
        <v>2066</v>
      </c>
      <c r="O412" s="2" t="s">
        <v>1364</v>
      </c>
      <c r="P412" s="2" t="s">
        <v>1402</v>
      </c>
      <c r="Q412" s="1" t="n">
        <v>0</v>
      </c>
      <c r="R412" s="2" t="n">
        <v>795532</v>
      </c>
      <c r="S412" s="2" t="n">
        <v>811918</v>
      </c>
      <c r="T412" s="2" t="n">
        <v>5078</v>
      </c>
      <c r="U412" s="2" t="n">
        <v>800610</v>
      </c>
      <c r="V412" s="2" t="n">
        <v>97.99</v>
      </c>
      <c r="W412" s="2" t="s">
        <v>1360</v>
      </c>
    </row>
    <row r="413" customFormat="false" ht="18.7" hidden="false" customHeight="true" outlineLevel="0" collapsed="false">
      <c r="A413" s="1" t="n">
        <v>412</v>
      </c>
      <c r="B413" s="7" t="str">
        <f aca="false">HYPERLINK("https://mncourtfraud.com/file/27-CR-22-14239.pdf","27-CR-22-14239")</f>
        <v>27-CR-22-14239</v>
      </c>
      <c r="C413" s="1" t="n">
        <v>5</v>
      </c>
      <c r="D413" s="2" t="s">
        <v>267</v>
      </c>
      <c r="E413" s="8" t="n">
        <v>44873</v>
      </c>
      <c r="F413" s="2" t="s">
        <v>15</v>
      </c>
      <c r="G413" s="7" t="str">
        <f aca="false">HYPERLINK("https://mncourtfraud.com/file/MCRO_27-CR-22-14239_Order-Evaluation for Competency to Proceed (Rule 20.01)_2022-11-08_20251126165804.pdf","MCRO_27-CR-22-14239_Order-Evaluation for Competency to Proceed (Rule 20.01)_2022-11-08_20251126165804.pdf")</f>
        <v>MCRO_27-CR-22-14239_Order-Evaluation for Competency to Proceed (Rule 20.01)_2022-11-08_20251126165804.pdf</v>
      </c>
      <c r="H413" s="1" t="n">
        <v>4</v>
      </c>
      <c r="I413" s="1" t="s">
        <v>1360</v>
      </c>
      <c r="J413" s="1" t="n">
        <v>1</v>
      </c>
      <c r="K413" s="1" t="n">
        <v>1</v>
      </c>
      <c r="L413" s="2" t="s">
        <v>2067</v>
      </c>
      <c r="M413" s="2" t="s">
        <v>1362</v>
      </c>
      <c r="N413" s="2" t="s">
        <v>2068</v>
      </c>
      <c r="O413" s="2" t="s">
        <v>1364</v>
      </c>
      <c r="P413" s="2" t="s">
        <v>1390</v>
      </c>
      <c r="Q413" s="1" t="n">
        <v>0</v>
      </c>
      <c r="R413" s="2" t="n">
        <v>825185</v>
      </c>
      <c r="S413" s="2" t="n">
        <v>841571</v>
      </c>
      <c r="T413" s="2" t="n">
        <v>4525</v>
      </c>
      <c r="U413" s="2" t="n">
        <v>829710</v>
      </c>
      <c r="V413" s="2" t="n">
        <v>98.06</v>
      </c>
      <c r="W413" s="2" t="s">
        <v>1360</v>
      </c>
    </row>
    <row r="414" customFormat="false" ht="18.7" hidden="false" customHeight="true" outlineLevel="0" collapsed="false">
      <c r="A414" s="1" t="n">
        <v>413</v>
      </c>
      <c r="B414" s="7" t="str">
        <f aca="false">HYPERLINK("https://mncourtfraud.com/file/27-CR-22-14239.pdf","27-CR-22-14239")</f>
        <v>27-CR-22-14239</v>
      </c>
      <c r="C414" s="1" t="n">
        <v>5</v>
      </c>
      <c r="D414" s="2" t="s">
        <v>267</v>
      </c>
      <c r="E414" s="8" t="n">
        <v>45023</v>
      </c>
      <c r="F414" s="2" t="s">
        <v>15</v>
      </c>
      <c r="G414" s="7" t="str">
        <f aca="false">HYPERLINK("https://mncourtfraud.com/file/MCRO_27-CR-22-14239_Order-Evaluation for Competency to Proceed (Rule 20.01)_2023-04-07_20251126165814.pdf","MCRO_27-CR-22-14239_Order-Evaluation for Competency to Proceed (Rule 20.01)_2023-04-07_20251126165814.pdf")</f>
        <v>MCRO_27-CR-22-14239_Order-Evaluation for Competency to Proceed (Rule 20.01)_2023-04-07_20251126165814.pdf</v>
      </c>
      <c r="H414" s="1" t="n">
        <v>4</v>
      </c>
      <c r="I414" s="1" t="s">
        <v>1360</v>
      </c>
      <c r="J414" s="1" t="n">
        <v>1</v>
      </c>
      <c r="K414" s="1" t="n">
        <v>1</v>
      </c>
      <c r="L414" s="2" t="s">
        <v>2069</v>
      </c>
      <c r="M414" s="2" t="s">
        <v>1362</v>
      </c>
      <c r="N414" s="2" t="s">
        <v>2070</v>
      </c>
      <c r="O414" s="2" t="s">
        <v>1364</v>
      </c>
      <c r="P414" s="2" t="s">
        <v>1384</v>
      </c>
      <c r="Q414" s="1" t="n">
        <v>0</v>
      </c>
      <c r="R414" s="2" t="n">
        <v>1102254</v>
      </c>
      <c r="S414" s="2" t="n">
        <v>1118640</v>
      </c>
      <c r="T414" s="2" t="n">
        <v>8533</v>
      </c>
      <c r="U414" s="2" t="n">
        <v>1110787</v>
      </c>
      <c r="V414" s="2" t="n">
        <v>98.55</v>
      </c>
      <c r="W414" s="2" t="s">
        <v>1360</v>
      </c>
    </row>
    <row r="415" customFormat="false" ht="18.7" hidden="false" customHeight="true" outlineLevel="0" collapsed="false">
      <c r="A415" s="1" t="n">
        <v>414</v>
      </c>
      <c r="B415" s="7" t="str">
        <f aca="false">HYPERLINK("https://mncourtfraud.com/file/27-CR-22-14239.pdf","27-CR-22-14239")</f>
        <v>27-CR-22-14239</v>
      </c>
      <c r="C415" s="1" t="n">
        <v>5</v>
      </c>
      <c r="D415" s="2" t="s">
        <v>267</v>
      </c>
      <c r="E415" s="8" t="n">
        <v>45194</v>
      </c>
      <c r="F415" s="2" t="s">
        <v>15</v>
      </c>
      <c r="G415" s="7" t="str">
        <f aca="false">HYPERLINK("https://mncourtfraud.com/file/MCRO_27-CR-22-14239_Order-Evaluation for Competency to Proceed (Rule 20.01)_2023-09-25_20251126165753.pdf","MCRO_27-CR-22-14239_Order-Evaluation for Competency to Proceed (Rule 20.01)_2023-09-25_20251126165753.pdf")</f>
        <v>MCRO_27-CR-22-14239_Order-Evaluation for Competency to Proceed (Rule 20.01)_2023-09-25_20251126165753.pdf</v>
      </c>
      <c r="H415" s="1" t="n">
        <v>4</v>
      </c>
      <c r="I415" s="1" t="s">
        <v>1360</v>
      </c>
      <c r="J415" s="1" t="n">
        <v>1</v>
      </c>
      <c r="K415" s="1" t="n">
        <v>1</v>
      </c>
      <c r="L415" s="2" t="s">
        <v>2071</v>
      </c>
      <c r="M415" s="2" t="s">
        <v>1362</v>
      </c>
      <c r="N415" s="2" t="s">
        <v>2072</v>
      </c>
      <c r="O415" s="2" t="s">
        <v>1364</v>
      </c>
      <c r="P415" s="2" t="s">
        <v>1536</v>
      </c>
      <c r="Q415" s="1" t="n">
        <v>0</v>
      </c>
      <c r="R415" s="2" t="n">
        <v>145788</v>
      </c>
      <c r="S415" s="2" t="n">
        <v>162174</v>
      </c>
      <c r="T415" s="2" t="n">
        <v>4468</v>
      </c>
      <c r="U415" s="2" t="n">
        <v>150256</v>
      </c>
      <c r="V415" s="2" t="n">
        <v>90.17</v>
      </c>
      <c r="W415" s="2" t="s">
        <v>1360</v>
      </c>
    </row>
    <row r="416" customFormat="false" ht="18.7" hidden="false" customHeight="true" outlineLevel="0" collapsed="false">
      <c r="A416" s="1" t="n">
        <v>415</v>
      </c>
      <c r="B416" s="7" t="str">
        <f aca="false">HYPERLINK("https://mncourtfraud.com/file/27-CR-22-14239.pdf","27-CR-22-14239")</f>
        <v>27-CR-22-14239</v>
      </c>
      <c r="C416" s="1" t="n">
        <v>5</v>
      </c>
      <c r="D416" s="2" t="s">
        <v>267</v>
      </c>
      <c r="E416" s="8" t="n">
        <v>44837</v>
      </c>
      <c r="F416" s="2" t="s">
        <v>17</v>
      </c>
      <c r="G416" s="7" t="str">
        <f aca="false">HYPERLINK("https://mncourtfraud.com/file/MCRO_27-CR-22-14239_Returned Mail_2022-10-03_20251126165740.pdf","MCRO_27-CR-22-14239_Returned Mail_2022-10-03_20251126165740.pdf")</f>
        <v>MCRO_27-CR-22-14239_Returned Mail_2022-10-03_20251126165740.pdf</v>
      </c>
      <c r="H416" s="1" t="n">
        <v>4</v>
      </c>
      <c r="I416" s="1" t="s">
        <v>1360</v>
      </c>
      <c r="J416" s="1" t="n">
        <v>1</v>
      </c>
      <c r="K416" s="1" t="n">
        <v>1</v>
      </c>
      <c r="L416" s="2" t="s">
        <v>2073</v>
      </c>
      <c r="M416" s="2" t="s">
        <v>1362</v>
      </c>
      <c r="N416" s="2" t="s">
        <v>2074</v>
      </c>
      <c r="O416" s="2" t="s">
        <v>1364</v>
      </c>
      <c r="P416" s="2" t="s">
        <v>1907</v>
      </c>
      <c r="Q416" s="1" t="n">
        <v>0</v>
      </c>
      <c r="R416" s="2" t="n">
        <v>360313</v>
      </c>
      <c r="S416" s="2" t="n">
        <v>376699</v>
      </c>
      <c r="T416" s="2" t="n">
        <v>4520</v>
      </c>
      <c r="U416" s="2" t="n">
        <v>364833</v>
      </c>
      <c r="V416" s="2" t="n">
        <v>95.7</v>
      </c>
      <c r="W416" s="2" t="s">
        <v>1360</v>
      </c>
    </row>
    <row r="417" customFormat="false" ht="18.7" hidden="false" customHeight="true" outlineLevel="0" collapsed="false">
      <c r="A417" s="1" t="n">
        <v>416</v>
      </c>
      <c r="B417" s="7" t="str">
        <f aca="false">HYPERLINK("https://mncourtfraud.com/file/27-CR-22-1664.pdf","27-CR-22-1664")</f>
        <v>27-CR-22-1664</v>
      </c>
      <c r="C417" s="1" t="n">
        <v>5</v>
      </c>
      <c r="D417" s="2" t="s">
        <v>267</v>
      </c>
      <c r="E417" s="8" t="n">
        <v>44873</v>
      </c>
      <c r="F417" s="2" t="s">
        <v>15</v>
      </c>
      <c r="G417" s="7" t="str">
        <f aca="false">HYPERLINK("https://mncourtfraud.com/file/MCRO_27-CR-22-1664_Order-Evaluation for Competency to Proceed (Rule 20.01)_2022-11-08_20251126165858.pdf","MCRO_27-CR-22-1664_Order-Evaluation for Competency to Proceed (Rule 20.01)_2022-11-08_20251126165858.pdf")</f>
        <v>MCRO_27-CR-22-1664_Order-Evaluation for Competency to Proceed (Rule 20.01)_2022-11-08_20251126165858.pdf</v>
      </c>
      <c r="H417" s="1" t="n">
        <v>4</v>
      </c>
      <c r="I417" s="1" t="s">
        <v>1360</v>
      </c>
      <c r="J417" s="1" t="n">
        <v>1</v>
      </c>
      <c r="K417" s="1" t="n">
        <v>1</v>
      </c>
      <c r="L417" s="2" t="s">
        <v>2075</v>
      </c>
      <c r="M417" s="2" t="s">
        <v>1362</v>
      </c>
      <c r="N417" s="2" t="s">
        <v>2076</v>
      </c>
      <c r="O417" s="2" t="s">
        <v>1364</v>
      </c>
      <c r="P417" s="2" t="s">
        <v>1390</v>
      </c>
      <c r="Q417" s="1" t="n">
        <v>0</v>
      </c>
      <c r="R417" s="2" t="n">
        <v>825181</v>
      </c>
      <c r="S417" s="2" t="n">
        <v>841567</v>
      </c>
      <c r="T417" s="2" t="n">
        <v>4525</v>
      </c>
      <c r="U417" s="2" t="n">
        <v>829706</v>
      </c>
      <c r="V417" s="2" t="n">
        <v>98.06</v>
      </c>
      <c r="W417" s="2" t="s">
        <v>1360</v>
      </c>
    </row>
    <row r="418" customFormat="false" ht="18.7" hidden="false" customHeight="true" outlineLevel="0" collapsed="false">
      <c r="A418" s="1" t="n">
        <v>417</v>
      </c>
      <c r="B418" s="7" t="str">
        <f aca="false">HYPERLINK("https://mncourtfraud.com/file/27-CR-22-1664.pdf","27-CR-22-1664")</f>
        <v>27-CR-22-1664</v>
      </c>
      <c r="C418" s="1" t="n">
        <v>5</v>
      </c>
      <c r="D418" s="2" t="s">
        <v>267</v>
      </c>
      <c r="E418" s="8" t="n">
        <v>45023</v>
      </c>
      <c r="F418" s="2" t="s">
        <v>15</v>
      </c>
      <c r="G418" s="7" t="str">
        <f aca="false">HYPERLINK("https://mncourtfraud.com/file/MCRO_27-CR-22-1664_Order-Evaluation for Competency to Proceed (Rule 20.01)_2023-04-07_20251126165909.pdf","MCRO_27-CR-22-1664_Order-Evaluation for Competency to Proceed (Rule 20.01)_2023-04-07_20251126165909.pdf")</f>
        <v>MCRO_27-CR-22-1664_Order-Evaluation for Competency to Proceed (Rule 20.01)_2023-04-07_20251126165909.pdf</v>
      </c>
      <c r="H418" s="1" t="n">
        <v>4</v>
      </c>
      <c r="I418" s="1" t="s">
        <v>1360</v>
      </c>
      <c r="J418" s="1" t="n">
        <v>1</v>
      </c>
      <c r="K418" s="1" t="n">
        <v>1</v>
      </c>
      <c r="L418" s="2" t="s">
        <v>2077</v>
      </c>
      <c r="M418" s="2" t="s">
        <v>1362</v>
      </c>
      <c r="N418" s="2" t="s">
        <v>2078</v>
      </c>
      <c r="O418" s="2" t="s">
        <v>1364</v>
      </c>
      <c r="P418" s="2" t="s">
        <v>1384</v>
      </c>
      <c r="Q418" s="1" t="n">
        <v>0</v>
      </c>
      <c r="R418" s="2" t="n">
        <v>1106815</v>
      </c>
      <c r="S418" s="2" t="n">
        <v>1123201</v>
      </c>
      <c r="T418" s="2" t="n">
        <v>8533</v>
      </c>
      <c r="U418" s="2" t="n">
        <v>1115348</v>
      </c>
      <c r="V418" s="2" t="n">
        <v>98.55</v>
      </c>
      <c r="W418" s="2" t="s">
        <v>1360</v>
      </c>
    </row>
    <row r="419" customFormat="false" ht="18.7" hidden="false" customHeight="true" outlineLevel="0" collapsed="false">
      <c r="A419" s="1" t="n">
        <v>418</v>
      </c>
      <c r="B419" s="7" t="str">
        <f aca="false">HYPERLINK("https://mncourtfraud.com/file/27-CR-22-1664.pdf","27-CR-22-1664")</f>
        <v>27-CR-22-1664</v>
      </c>
      <c r="C419" s="1" t="n">
        <v>5</v>
      </c>
      <c r="D419" s="2" t="s">
        <v>267</v>
      </c>
      <c r="E419" s="8" t="n">
        <v>45194</v>
      </c>
      <c r="F419" s="2" t="s">
        <v>15</v>
      </c>
      <c r="G419" s="7" t="str">
        <f aca="false">HYPERLINK("https://mncourtfraud.com/file/MCRO_27-CR-22-1664_Order-Evaluation for Competency to Proceed (Rule 20.01)_2023-09-25_20251126165920.pdf","MCRO_27-CR-22-1664_Order-Evaluation for Competency to Proceed (Rule 20.01)_2023-09-25_20251126165920.pdf")</f>
        <v>MCRO_27-CR-22-1664_Order-Evaluation for Competency to Proceed (Rule 20.01)_2023-09-25_20251126165920.pdf</v>
      </c>
      <c r="H419" s="1" t="n">
        <v>4</v>
      </c>
      <c r="I419" s="1" t="s">
        <v>1360</v>
      </c>
      <c r="J419" s="1" t="n">
        <v>1</v>
      </c>
      <c r="K419" s="1" t="n">
        <v>1</v>
      </c>
      <c r="L419" s="2" t="s">
        <v>2079</v>
      </c>
      <c r="M419" s="2" t="s">
        <v>1362</v>
      </c>
      <c r="N419" s="2" t="s">
        <v>2080</v>
      </c>
      <c r="O419" s="2" t="s">
        <v>1364</v>
      </c>
      <c r="P419" s="2" t="s">
        <v>1536</v>
      </c>
      <c r="Q419" s="1" t="n">
        <v>0</v>
      </c>
      <c r="R419" s="2" t="n">
        <v>145787</v>
      </c>
      <c r="S419" s="2" t="n">
        <v>162173</v>
      </c>
      <c r="T419" s="2" t="n">
        <v>4468</v>
      </c>
      <c r="U419" s="2" t="n">
        <v>150255</v>
      </c>
      <c r="V419" s="2" t="n">
        <v>90.17</v>
      </c>
      <c r="W419" s="2" t="s">
        <v>1360</v>
      </c>
    </row>
    <row r="420" customFormat="false" ht="18.7" hidden="false" customHeight="true" outlineLevel="0" collapsed="false">
      <c r="A420" s="1" t="n">
        <v>419</v>
      </c>
      <c r="B420" s="7" t="str">
        <f aca="false">HYPERLINK("https://mncourtfraud.com/file/27-CR-22-1664.pdf","27-CR-22-1664")</f>
        <v>27-CR-22-1664</v>
      </c>
      <c r="C420" s="1" t="n">
        <v>5</v>
      </c>
      <c r="D420" s="2" t="s">
        <v>267</v>
      </c>
      <c r="E420" s="8" t="n">
        <v>44733</v>
      </c>
      <c r="F420" s="2" t="s">
        <v>17</v>
      </c>
      <c r="G420" s="7" t="str">
        <f aca="false">HYPERLINK("https://mncourtfraud.com/file/MCRO_27-CR-22-1664_Returned Mail_2022-06-21_20251126170019.pdf","MCRO_27-CR-22-1664_Returned Mail_2022-06-21_20251126170019.pdf")</f>
        <v>MCRO_27-CR-22-1664_Returned Mail_2022-06-21_20251126170019.pdf</v>
      </c>
      <c r="H420" s="1" t="n">
        <v>4</v>
      </c>
      <c r="I420" s="1" t="s">
        <v>1360</v>
      </c>
      <c r="J420" s="1" t="n">
        <v>1</v>
      </c>
      <c r="K420" s="1" t="n">
        <v>1</v>
      </c>
      <c r="L420" s="2" t="s">
        <v>2081</v>
      </c>
      <c r="M420" s="2" t="s">
        <v>1362</v>
      </c>
      <c r="N420" s="2" t="s">
        <v>2082</v>
      </c>
      <c r="O420" s="2" t="s">
        <v>1364</v>
      </c>
      <c r="P420" s="2" t="s">
        <v>1956</v>
      </c>
      <c r="Q420" s="1" t="n">
        <v>0</v>
      </c>
      <c r="R420" s="2" t="n">
        <v>301950</v>
      </c>
      <c r="S420" s="2" t="n">
        <v>318336</v>
      </c>
      <c r="T420" s="2" t="n">
        <v>8489</v>
      </c>
      <c r="U420" s="2" t="n">
        <v>310439</v>
      </c>
      <c r="V420" s="2" t="n">
        <v>94.99</v>
      </c>
      <c r="W420" s="2" t="s">
        <v>1360</v>
      </c>
    </row>
    <row r="421" customFormat="false" ht="18.7" hidden="false" customHeight="true" outlineLevel="0" collapsed="false">
      <c r="A421" s="1" t="n">
        <v>420</v>
      </c>
      <c r="B421" s="7" t="str">
        <f aca="false">HYPERLINK("https://mncourtfraud.com/file/27-CR-22-1664.pdf","27-CR-22-1664")</f>
        <v>27-CR-22-1664</v>
      </c>
      <c r="C421" s="1" t="n">
        <v>5</v>
      </c>
      <c r="D421" s="2" t="s">
        <v>267</v>
      </c>
      <c r="E421" s="8" t="n">
        <v>44733</v>
      </c>
      <c r="F421" s="2" t="s">
        <v>17</v>
      </c>
      <c r="G421" s="7" t="str">
        <f aca="false">HYPERLINK("https://mncourtfraud.com/file/MCRO_27-CR-22-1664_Returned Mail_2022-06-21_20251126170027.pdf","MCRO_27-CR-22-1664_Returned Mail_2022-06-21_20251126170027.pdf")</f>
        <v>MCRO_27-CR-22-1664_Returned Mail_2022-06-21_20251126170027.pdf</v>
      </c>
      <c r="H421" s="1" t="n">
        <v>4</v>
      </c>
      <c r="I421" s="1" t="s">
        <v>1360</v>
      </c>
      <c r="J421" s="1" t="n">
        <v>1</v>
      </c>
      <c r="K421" s="1" t="n">
        <v>1</v>
      </c>
      <c r="L421" s="2" t="s">
        <v>2083</v>
      </c>
      <c r="M421" s="2" t="s">
        <v>1362</v>
      </c>
      <c r="N421" s="2" t="s">
        <v>2084</v>
      </c>
      <c r="O421" s="2" t="s">
        <v>1364</v>
      </c>
      <c r="P421" s="2" t="s">
        <v>1904</v>
      </c>
      <c r="Q421" s="1" t="n">
        <v>0</v>
      </c>
      <c r="R421" s="2" t="n">
        <v>233559</v>
      </c>
      <c r="S421" s="2" t="n">
        <v>249945</v>
      </c>
      <c r="T421" s="2" t="n">
        <v>4519</v>
      </c>
      <c r="U421" s="2" t="n">
        <v>238078</v>
      </c>
      <c r="V421" s="2" t="n">
        <v>93.56</v>
      </c>
      <c r="W421" s="2" t="s">
        <v>1360</v>
      </c>
    </row>
    <row r="422" customFormat="false" ht="18.7" hidden="false" customHeight="true" outlineLevel="0" collapsed="false">
      <c r="A422" s="1" t="n">
        <v>421</v>
      </c>
      <c r="B422" s="7" t="str">
        <f aca="false">HYPERLINK("https://mncourtfraud.com/file/27-CR-22-1664.pdf","27-CR-22-1664")</f>
        <v>27-CR-22-1664</v>
      </c>
      <c r="C422" s="1" t="n">
        <v>5</v>
      </c>
      <c r="D422" s="2" t="s">
        <v>267</v>
      </c>
      <c r="E422" s="8" t="n">
        <v>44733</v>
      </c>
      <c r="F422" s="2" t="s">
        <v>17</v>
      </c>
      <c r="G422" s="7" t="str">
        <f aca="false">HYPERLINK("https://mncourtfraud.com/file/MCRO_27-CR-22-1664_Returned Mail_2022-06-21_20251126170031.pdf","MCRO_27-CR-22-1664_Returned Mail_2022-06-21_20251126170031.pdf")</f>
        <v>MCRO_27-CR-22-1664_Returned Mail_2022-06-21_20251126170031.pdf</v>
      </c>
      <c r="H422" s="1" t="n">
        <v>4</v>
      </c>
      <c r="I422" s="1" t="s">
        <v>1360</v>
      </c>
      <c r="J422" s="1" t="n">
        <v>1</v>
      </c>
      <c r="K422" s="1" t="n">
        <v>1</v>
      </c>
      <c r="L422" s="2" t="s">
        <v>2085</v>
      </c>
      <c r="M422" s="2" t="s">
        <v>1362</v>
      </c>
      <c r="N422" s="2" t="s">
        <v>2086</v>
      </c>
      <c r="O422" s="2" t="s">
        <v>1364</v>
      </c>
      <c r="P422" s="2" t="s">
        <v>1956</v>
      </c>
      <c r="Q422" s="1" t="n">
        <v>0</v>
      </c>
      <c r="R422" s="2" t="n">
        <v>274321</v>
      </c>
      <c r="S422" s="2" t="n">
        <v>290707</v>
      </c>
      <c r="T422" s="2" t="n">
        <v>8489</v>
      </c>
      <c r="U422" s="2" t="n">
        <v>282810</v>
      </c>
      <c r="V422" s="2" t="n">
        <v>94.52</v>
      </c>
      <c r="W422" s="2" t="s">
        <v>1360</v>
      </c>
    </row>
    <row r="423" customFormat="false" ht="18.7" hidden="false" customHeight="true" outlineLevel="0" collapsed="false">
      <c r="A423" s="1" t="n">
        <v>422</v>
      </c>
      <c r="B423" s="7" t="str">
        <f aca="false">HYPERLINK("https://mncourtfraud.com/file/27-CR-22-1664.pdf","27-CR-22-1664")</f>
        <v>27-CR-22-1664</v>
      </c>
      <c r="C423" s="1" t="n">
        <v>5</v>
      </c>
      <c r="D423" s="2" t="s">
        <v>267</v>
      </c>
      <c r="E423" s="8" t="n">
        <v>44837</v>
      </c>
      <c r="F423" s="2" t="s">
        <v>17</v>
      </c>
      <c r="G423" s="7" t="str">
        <f aca="false">HYPERLINK("https://mncourtfraud.com/file/MCRO_27-CR-22-1664_Returned Mail_2022-10-03_20251126165936.pdf","MCRO_27-CR-22-1664_Returned Mail_2022-10-03_20251126165936.pdf")</f>
        <v>MCRO_27-CR-22-1664_Returned Mail_2022-10-03_20251126165936.pdf</v>
      </c>
      <c r="H423" s="1" t="n">
        <v>4</v>
      </c>
      <c r="I423" s="1" t="s">
        <v>1360</v>
      </c>
      <c r="J423" s="1" t="n">
        <v>1</v>
      </c>
      <c r="K423" s="1" t="n">
        <v>1</v>
      </c>
      <c r="L423" s="2" t="s">
        <v>2087</v>
      </c>
      <c r="M423" s="2" t="s">
        <v>1362</v>
      </c>
      <c r="N423" s="2" t="s">
        <v>2088</v>
      </c>
      <c r="O423" s="2" t="s">
        <v>1364</v>
      </c>
      <c r="P423" s="2" t="s">
        <v>1907</v>
      </c>
      <c r="Q423" s="1" t="n">
        <v>0</v>
      </c>
      <c r="R423" s="2" t="n">
        <v>360313</v>
      </c>
      <c r="S423" s="2" t="n">
        <v>376699</v>
      </c>
      <c r="T423" s="2" t="n">
        <v>4520</v>
      </c>
      <c r="U423" s="2" t="n">
        <v>364833</v>
      </c>
      <c r="V423" s="2" t="n">
        <v>95.7</v>
      </c>
      <c r="W423" s="2" t="s">
        <v>1360</v>
      </c>
    </row>
    <row r="424" customFormat="false" ht="18.7" hidden="false" customHeight="true" outlineLevel="0" collapsed="false">
      <c r="A424" s="1" t="n">
        <v>423</v>
      </c>
      <c r="B424" s="7" t="str">
        <f aca="false">HYPERLINK("https://mncourtfraud.com/file/27-CR-22-18472.pdf","27-CR-22-18472")</f>
        <v>27-CR-22-18472</v>
      </c>
      <c r="C424" s="1" t="n">
        <v>5</v>
      </c>
      <c r="D424" s="2" t="s">
        <v>267</v>
      </c>
      <c r="E424" s="8" t="n">
        <v>44873</v>
      </c>
      <c r="F424" s="2" t="s">
        <v>15</v>
      </c>
      <c r="G424" s="7" t="str">
        <f aca="false">HYPERLINK("https://mncourtfraud.com/file/MCRO_27-CR-22-18472_Order-Evaluation for Competency to Proceed (Rule 20.01)_2022-11-08_20251126170119.pdf","MCRO_27-CR-22-18472_Order-Evaluation for Competency to Proceed (Rule 20.01)_2022-11-08_20251126170119.pdf")</f>
        <v>MCRO_27-CR-22-18472_Order-Evaluation for Competency to Proceed (Rule 20.01)_2022-11-08_20251126170119.pdf</v>
      </c>
      <c r="H424" s="1" t="n">
        <v>4</v>
      </c>
      <c r="I424" s="1" t="s">
        <v>1360</v>
      </c>
      <c r="J424" s="1" t="n">
        <v>1</v>
      </c>
      <c r="K424" s="1" t="n">
        <v>1</v>
      </c>
      <c r="L424" s="2" t="s">
        <v>2089</v>
      </c>
      <c r="M424" s="2" t="s">
        <v>1362</v>
      </c>
      <c r="N424" s="2" t="s">
        <v>2090</v>
      </c>
      <c r="O424" s="2" t="s">
        <v>1364</v>
      </c>
      <c r="P424" s="2" t="s">
        <v>1390</v>
      </c>
      <c r="Q424" s="1" t="n">
        <v>0</v>
      </c>
      <c r="R424" s="2" t="n">
        <v>825187</v>
      </c>
      <c r="S424" s="2" t="n">
        <v>841573</v>
      </c>
      <c r="T424" s="2" t="n">
        <v>4525</v>
      </c>
      <c r="U424" s="2" t="n">
        <v>829712</v>
      </c>
      <c r="V424" s="2" t="n">
        <v>98.06</v>
      </c>
      <c r="W424" s="2" t="s">
        <v>1360</v>
      </c>
    </row>
    <row r="425" customFormat="false" ht="18.7" hidden="false" customHeight="true" outlineLevel="0" collapsed="false">
      <c r="A425" s="1" t="n">
        <v>424</v>
      </c>
      <c r="B425" s="7" t="str">
        <f aca="false">HYPERLINK("https://mncourtfraud.com/file/27-CR-22-18472.pdf","27-CR-22-18472")</f>
        <v>27-CR-22-18472</v>
      </c>
      <c r="C425" s="1" t="n">
        <v>5</v>
      </c>
      <c r="D425" s="2" t="s">
        <v>267</v>
      </c>
      <c r="E425" s="8" t="n">
        <v>45023</v>
      </c>
      <c r="F425" s="2" t="s">
        <v>15</v>
      </c>
      <c r="G425" s="7" t="str">
        <f aca="false">HYPERLINK("https://mncourtfraud.com/file/MCRO_27-CR-22-18472_Order-Evaluation for Competency to Proceed (Rule 20.01)_2023-04-07_20251126170128.pdf","MCRO_27-CR-22-18472_Order-Evaluation for Competency to Proceed (Rule 20.01)_2023-04-07_20251126170128.pdf")</f>
        <v>MCRO_27-CR-22-18472_Order-Evaluation for Competency to Proceed (Rule 20.01)_2023-04-07_20251126170128.pdf</v>
      </c>
      <c r="H425" s="1" t="n">
        <v>4</v>
      </c>
      <c r="I425" s="1" t="s">
        <v>1360</v>
      </c>
      <c r="J425" s="1" t="n">
        <v>1</v>
      </c>
      <c r="K425" s="1" t="n">
        <v>1</v>
      </c>
      <c r="L425" s="2" t="s">
        <v>2091</v>
      </c>
      <c r="M425" s="2" t="s">
        <v>1362</v>
      </c>
      <c r="N425" s="2" t="s">
        <v>2092</v>
      </c>
      <c r="O425" s="2" t="s">
        <v>1364</v>
      </c>
      <c r="P425" s="2" t="s">
        <v>1384</v>
      </c>
      <c r="Q425" s="1" t="n">
        <v>0</v>
      </c>
      <c r="R425" s="2" t="n">
        <v>1092575</v>
      </c>
      <c r="S425" s="2" t="n">
        <v>1108961</v>
      </c>
      <c r="T425" s="2" t="n">
        <v>8533</v>
      </c>
      <c r="U425" s="2" t="n">
        <v>1101108</v>
      </c>
      <c r="V425" s="2" t="n">
        <v>98.53</v>
      </c>
      <c r="W425" s="2" t="s">
        <v>1360</v>
      </c>
    </row>
    <row r="426" customFormat="false" ht="18.7" hidden="false" customHeight="true" outlineLevel="0" collapsed="false">
      <c r="A426" s="1" t="n">
        <v>425</v>
      </c>
      <c r="B426" s="7" t="str">
        <f aca="false">HYPERLINK("https://mncourtfraud.com/file/27-CR-22-18472.pdf","27-CR-22-18472")</f>
        <v>27-CR-22-18472</v>
      </c>
      <c r="C426" s="1" t="n">
        <v>5</v>
      </c>
      <c r="D426" s="2" t="s">
        <v>267</v>
      </c>
      <c r="E426" s="8" t="n">
        <v>45194</v>
      </c>
      <c r="F426" s="2" t="s">
        <v>15</v>
      </c>
      <c r="G426" s="7" t="str">
        <f aca="false">HYPERLINK("https://mncourtfraud.com/file/MCRO_27-CR-22-18472_Order-Evaluation for Competency to Proceed (Rule 20.01)_2023-09-25_20251126170110.pdf","MCRO_27-CR-22-18472_Order-Evaluation for Competency to Proceed (Rule 20.01)_2023-09-25_20251126170110.pdf")</f>
        <v>MCRO_27-CR-22-18472_Order-Evaluation for Competency to Proceed (Rule 20.01)_2023-09-25_20251126170110.pdf</v>
      </c>
      <c r="H426" s="1" t="n">
        <v>4</v>
      </c>
      <c r="I426" s="1" t="s">
        <v>1360</v>
      </c>
      <c r="J426" s="1" t="n">
        <v>1</v>
      </c>
      <c r="K426" s="1" t="n">
        <v>1</v>
      </c>
      <c r="L426" s="2" t="s">
        <v>2093</v>
      </c>
      <c r="M426" s="2" t="s">
        <v>1362</v>
      </c>
      <c r="N426" s="2" t="s">
        <v>2094</v>
      </c>
      <c r="O426" s="2" t="s">
        <v>1364</v>
      </c>
      <c r="P426" s="2" t="s">
        <v>1536</v>
      </c>
      <c r="Q426" s="1" t="n">
        <v>0</v>
      </c>
      <c r="R426" s="2" t="n">
        <v>145790</v>
      </c>
      <c r="S426" s="2" t="n">
        <v>162176</v>
      </c>
      <c r="T426" s="2" t="n">
        <v>4468</v>
      </c>
      <c r="U426" s="2" t="n">
        <v>150258</v>
      </c>
      <c r="V426" s="2" t="n">
        <v>90.17</v>
      </c>
      <c r="W426" s="2" t="s">
        <v>1360</v>
      </c>
    </row>
    <row r="427" customFormat="false" ht="18.7" hidden="false" customHeight="true" outlineLevel="0" collapsed="false">
      <c r="A427" s="1" t="n">
        <v>426</v>
      </c>
      <c r="B427" s="7" t="str">
        <f aca="false">HYPERLINK("https://mncourtfraud.com/file/27-CR-22-2444.pdf","27-CR-22-2444")</f>
        <v>27-CR-22-2444</v>
      </c>
      <c r="C427" s="1" t="n">
        <v>5</v>
      </c>
      <c r="D427" s="2" t="s">
        <v>267</v>
      </c>
      <c r="E427" s="8" t="n">
        <v>44873</v>
      </c>
      <c r="F427" s="2" t="s">
        <v>15</v>
      </c>
      <c r="G427" s="7" t="str">
        <f aca="false">HYPERLINK("https://mncourtfraud.com/file/MCRO_27-CR-22-2444_Order-Evaluation for Competency to Proceed (Rule 20.01)_2022-11-08_20251126170154.pdf","MCRO_27-CR-22-2444_Order-Evaluation for Competency to Proceed (Rule 20.01)_2022-11-08_20251126170154.pdf")</f>
        <v>MCRO_27-CR-22-2444_Order-Evaluation for Competency to Proceed (Rule 20.01)_2022-11-08_20251126170154.pdf</v>
      </c>
      <c r="H427" s="1" t="n">
        <v>4</v>
      </c>
      <c r="I427" s="1" t="s">
        <v>1360</v>
      </c>
      <c r="J427" s="1" t="n">
        <v>1</v>
      </c>
      <c r="K427" s="1" t="n">
        <v>1</v>
      </c>
      <c r="L427" s="2" t="s">
        <v>2095</v>
      </c>
      <c r="M427" s="2" t="s">
        <v>1362</v>
      </c>
      <c r="N427" s="2" t="s">
        <v>2096</v>
      </c>
      <c r="O427" s="2" t="s">
        <v>1364</v>
      </c>
      <c r="P427" s="2" t="s">
        <v>2097</v>
      </c>
      <c r="Q427" s="1" t="n">
        <v>0</v>
      </c>
      <c r="R427" s="2" t="n">
        <v>939659</v>
      </c>
      <c r="S427" s="2" t="n">
        <v>956045</v>
      </c>
      <c r="T427" s="2" t="n">
        <v>8581</v>
      </c>
      <c r="U427" s="2" t="n">
        <v>948240</v>
      </c>
      <c r="V427" s="2" t="n">
        <v>98.3</v>
      </c>
      <c r="W427" s="2" t="s">
        <v>1360</v>
      </c>
    </row>
    <row r="428" customFormat="false" ht="18.7" hidden="false" customHeight="true" outlineLevel="0" collapsed="false">
      <c r="A428" s="1" t="n">
        <v>427</v>
      </c>
      <c r="B428" s="7" t="str">
        <f aca="false">HYPERLINK("https://mncourtfraud.com/file/27-CR-22-2444.pdf","27-CR-22-2444")</f>
        <v>27-CR-22-2444</v>
      </c>
      <c r="C428" s="1" t="n">
        <v>5</v>
      </c>
      <c r="D428" s="2" t="s">
        <v>267</v>
      </c>
      <c r="E428" s="8" t="n">
        <v>45023</v>
      </c>
      <c r="F428" s="2" t="s">
        <v>15</v>
      </c>
      <c r="G428" s="7" t="str">
        <f aca="false">HYPERLINK("https://mncourtfraud.com/file/MCRO_27-CR-22-2444_Order-Evaluation for Competency to Proceed (Rule 20.01)_2023-04-07_20251126170204.pdf","MCRO_27-CR-22-2444_Order-Evaluation for Competency to Proceed (Rule 20.01)_2023-04-07_20251126170204.pdf")</f>
        <v>MCRO_27-CR-22-2444_Order-Evaluation for Competency to Proceed (Rule 20.01)_2023-04-07_20251126170204.pdf</v>
      </c>
      <c r="H428" s="1" t="n">
        <v>4</v>
      </c>
      <c r="I428" s="1" t="s">
        <v>1360</v>
      </c>
      <c r="J428" s="1" t="n">
        <v>1</v>
      </c>
      <c r="K428" s="1" t="n">
        <v>1</v>
      </c>
      <c r="L428" s="2" t="s">
        <v>2098</v>
      </c>
      <c r="M428" s="2" t="s">
        <v>1362</v>
      </c>
      <c r="N428" s="2" t="s">
        <v>2099</v>
      </c>
      <c r="O428" s="2" t="s">
        <v>1364</v>
      </c>
      <c r="P428" s="2" t="s">
        <v>1384</v>
      </c>
      <c r="Q428" s="1" t="n">
        <v>0</v>
      </c>
      <c r="R428" s="2" t="n">
        <v>1096835</v>
      </c>
      <c r="S428" s="2" t="n">
        <v>1113221</v>
      </c>
      <c r="T428" s="2" t="n">
        <v>8533</v>
      </c>
      <c r="U428" s="2" t="n">
        <v>1105368</v>
      </c>
      <c r="V428" s="2" t="n">
        <v>98.54</v>
      </c>
      <c r="W428" s="2" t="s">
        <v>1360</v>
      </c>
    </row>
    <row r="429" customFormat="false" ht="18.7" hidden="false" customHeight="true" outlineLevel="0" collapsed="false">
      <c r="A429" s="1" t="n">
        <v>428</v>
      </c>
      <c r="B429" s="7" t="str">
        <f aca="false">HYPERLINK("https://mncourtfraud.com/file/27-CR-22-2444.pdf","27-CR-22-2444")</f>
        <v>27-CR-22-2444</v>
      </c>
      <c r="C429" s="1" t="n">
        <v>5</v>
      </c>
      <c r="D429" s="2" t="s">
        <v>267</v>
      </c>
      <c r="E429" s="8" t="n">
        <v>45194</v>
      </c>
      <c r="F429" s="2" t="s">
        <v>15</v>
      </c>
      <c r="G429" s="7" t="str">
        <f aca="false">HYPERLINK("https://mncourtfraud.com/file/MCRO_27-CR-22-2444_Order-Evaluation for Competency to Proceed (Rule 20.01)_2023-09-25_20251126170213.pdf","MCRO_27-CR-22-2444_Order-Evaluation for Competency to Proceed (Rule 20.01)_2023-09-25_20251126170213.pdf")</f>
        <v>MCRO_27-CR-22-2444_Order-Evaluation for Competency to Proceed (Rule 20.01)_2023-09-25_20251126170213.pdf</v>
      </c>
      <c r="H429" s="1" t="n">
        <v>4</v>
      </c>
      <c r="I429" s="1" t="s">
        <v>1360</v>
      </c>
      <c r="J429" s="1" t="n">
        <v>1</v>
      </c>
      <c r="K429" s="1" t="n">
        <v>1</v>
      </c>
      <c r="L429" s="2" t="s">
        <v>2100</v>
      </c>
      <c r="M429" s="2" t="s">
        <v>1362</v>
      </c>
      <c r="N429" s="2" t="s">
        <v>2101</v>
      </c>
      <c r="O429" s="2" t="s">
        <v>1364</v>
      </c>
      <c r="P429" s="2" t="s">
        <v>1536</v>
      </c>
      <c r="Q429" s="1" t="n">
        <v>0</v>
      </c>
      <c r="R429" s="2" t="n">
        <v>145789</v>
      </c>
      <c r="S429" s="2" t="n">
        <v>162175</v>
      </c>
      <c r="T429" s="2" t="n">
        <v>4468</v>
      </c>
      <c r="U429" s="2" t="n">
        <v>150257</v>
      </c>
      <c r="V429" s="2" t="n">
        <v>90.17</v>
      </c>
      <c r="W429" s="2" t="s">
        <v>1360</v>
      </c>
    </row>
    <row r="430" customFormat="false" ht="18.7" hidden="false" customHeight="true" outlineLevel="0" collapsed="false">
      <c r="A430" s="1" t="n">
        <v>429</v>
      </c>
      <c r="B430" s="7" t="str">
        <f aca="false">HYPERLINK("https://mncourtfraud.com/file/27-CR-22-2444.pdf","27-CR-22-2444")</f>
        <v>27-CR-22-2444</v>
      </c>
      <c r="C430" s="1" t="n">
        <v>5</v>
      </c>
      <c r="D430" s="2" t="s">
        <v>267</v>
      </c>
      <c r="E430" s="8" t="n">
        <v>44733</v>
      </c>
      <c r="F430" s="2" t="s">
        <v>17</v>
      </c>
      <c r="G430" s="7" t="str">
        <f aca="false">HYPERLINK("https://mncourtfraud.com/file/MCRO_27-CR-22-2444_Returned Mail_2022-06-21_20251126170235.pdf","MCRO_27-CR-22-2444_Returned Mail_2022-06-21_20251126170235.pdf")</f>
        <v>MCRO_27-CR-22-2444_Returned Mail_2022-06-21_20251126170235.pdf</v>
      </c>
      <c r="H430" s="1" t="n">
        <v>4</v>
      </c>
      <c r="I430" s="1" t="s">
        <v>1360</v>
      </c>
      <c r="J430" s="1" t="n">
        <v>1</v>
      </c>
      <c r="K430" s="1" t="n">
        <v>1</v>
      </c>
      <c r="L430" s="2" t="s">
        <v>2102</v>
      </c>
      <c r="M430" s="2" t="s">
        <v>1362</v>
      </c>
      <c r="N430" s="2" t="s">
        <v>2103</v>
      </c>
      <c r="O430" s="2" t="s">
        <v>1364</v>
      </c>
      <c r="P430" s="2" t="s">
        <v>1904</v>
      </c>
      <c r="Q430" s="1" t="n">
        <v>0</v>
      </c>
      <c r="R430" s="2" t="n">
        <v>233560</v>
      </c>
      <c r="S430" s="2" t="n">
        <v>249946</v>
      </c>
      <c r="T430" s="2" t="n">
        <v>4519</v>
      </c>
      <c r="U430" s="2" t="n">
        <v>238079</v>
      </c>
      <c r="V430" s="2" t="n">
        <v>93.56</v>
      </c>
      <c r="W430" s="2" t="s">
        <v>1360</v>
      </c>
    </row>
    <row r="431" customFormat="false" ht="18.7" hidden="false" customHeight="true" outlineLevel="0" collapsed="false">
      <c r="A431" s="1" t="n">
        <v>430</v>
      </c>
      <c r="B431" s="7" t="str">
        <f aca="false">HYPERLINK("https://mncourtfraud.com/file/27-CR-22-2444.pdf","27-CR-22-2444")</f>
        <v>27-CR-22-2444</v>
      </c>
      <c r="C431" s="1" t="n">
        <v>5</v>
      </c>
      <c r="D431" s="2" t="s">
        <v>267</v>
      </c>
      <c r="E431" s="8" t="n">
        <v>44837</v>
      </c>
      <c r="F431" s="2" t="s">
        <v>17</v>
      </c>
      <c r="G431" s="7" t="str">
        <f aca="false">HYPERLINK("https://mncourtfraud.com/file/MCRO_27-CR-22-2444_Returned Mail_2022-10-03_20251126170225.pdf","MCRO_27-CR-22-2444_Returned Mail_2022-10-03_20251126170225.pdf")</f>
        <v>MCRO_27-CR-22-2444_Returned Mail_2022-10-03_20251126170225.pdf</v>
      </c>
      <c r="H431" s="1" t="n">
        <v>4</v>
      </c>
      <c r="I431" s="1" t="s">
        <v>1360</v>
      </c>
      <c r="J431" s="1" t="n">
        <v>1</v>
      </c>
      <c r="K431" s="1" t="n">
        <v>1</v>
      </c>
      <c r="L431" s="2" t="s">
        <v>2104</v>
      </c>
      <c r="M431" s="2" t="s">
        <v>1362</v>
      </c>
      <c r="N431" s="2" t="s">
        <v>2105</v>
      </c>
      <c r="O431" s="2" t="s">
        <v>1364</v>
      </c>
      <c r="P431" s="2" t="s">
        <v>1907</v>
      </c>
      <c r="Q431" s="1" t="n">
        <v>0</v>
      </c>
      <c r="R431" s="2" t="n">
        <v>360313</v>
      </c>
      <c r="S431" s="2" t="n">
        <v>376699</v>
      </c>
      <c r="T431" s="2" t="n">
        <v>4520</v>
      </c>
      <c r="U431" s="2" t="n">
        <v>364833</v>
      </c>
      <c r="V431" s="2" t="n">
        <v>95.7</v>
      </c>
      <c r="W431" s="2" t="s">
        <v>1360</v>
      </c>
    </row>
    <row r="432" customFormat="false" ht="18.7" hidden="false" customHeight="true" outlineLevel="0" collapsed="false">
      <c r="A432" s="1" t="n">
        <v>431</v>
      </c>
      <c r="B432" s="7" t="str">
        <f aca="false">HYPERLINK("https://mncourtfraud.com/file/27-CR-22-25069.pdf","27-CR-22-25069")</f>
        <v>27-CR-22-25069</v>
      </c>
      <c r="C432" s="1" t="n">
        <v>1</v>
      </c>
      <c r="D432" s="2" t="s">
        <v>12</v>
      </c>
      <c r="E432" s="8" t="n">
        <v>45048</v>
      </c>
      <c r="F432" s="2" t="s">
        <v>80</v>
      </c>
      <c r="G432" s="7" t="str">
        <f aca="false">HYPERLINK("https://mncourtfraud.com/file/MCRO_27-CR-22-25069_Finding of Incompetency and Order_2023-05-02_20251126185303.pdf","MCRO_27-CR-22-25069_Finding of Incompetency and Order_2023-05-02_20251126185303.pdf")</f>
        <v>MCRO_27-CR-22-25069_Finding of Incompetency and Order_2023-05-02_20251126185303.pdf</v>
      </c>
      <c r="H432" s="1" t="n">
        <v>9</v>
      </c>
      <c r="I432" s="1" t="s">
        <v>1366</v>
      </c>
      <c r="J432" s="1" t="n">
        <v>1</v>
      </c>
      <c r="K432" s="1" t="n">
        <v>1</v>
      </c>
      <c r="L432" s="2" t="s">
        <v>1491</v>
      </c>
      <c r="M432" s="2" t="s">
        <v>1492</v>
      </c>
      <c r="N432" s="2" t="s">
        <v>1493</v>
      </c>
      <c r="O432" s="2" t="s">
        <v>1494</v>
      </c>
      <c r="P432" s="2" t="s">
        <v>1495</v>
      </c>
      <c r="Q432" s="1" t="n">
        <v>0</v>
      </c>
      <c r="R432" s="2" t="n">
        <v>100288</v>
      </c>
      <c r="S432" s="2" t="n">
        <v>112370</v>
      </c>
      <c r="T432" s="2" t="n">
        <v>48200</v>
      </c>
      <c r="U432" s="2" t="n">
        <v>148488</v>
      </c>
      <c r="V432" s="2" t="n">
        <v>15.21</v>
      </c>
      <c r="W432" s="2" t="s">
        <v>1366</v>
      </c>
    </row>
    <row r="433" customFormat="false" ht="18.7" hidden="false" customHeight="true" outlineLevel="0" collapsed="false">
      <c r="A433" s="1" t="n">
        <v>432</v>
      </c>
      <c r="B433" s="7" t="str">
        <f aca="false">HYPERLINK("https://mncourtfraud.com/file/27-CR-22-25069.pdf","27-CR-22-25069")</f>
        <v>27-CR-22-25069</v>
      </c>
      <c r="C433" s="1" t="n">
        <v>1</v>
      </c>
      <c r="D433" s="2" t="s">
        <v>12</v>
      </c>
      <c r="E433" s="8" t="n">
        <v>45048</v>
      </c>
      <c r="F433" s="2" t="s">
        <v>80</v>
      </c>
      <c r="G433" s="7" t="str">
        <f aca="false">HYPERLINK("https://mncourtfraud.com/file/MCRO_27-CR-22-25069_Finding of Incompetency and Order_2023-05-02_20251126185303.pdf","MCRO_27-CR-22-25069_Finding of Incompetency and Order_2023-05-02_20251126185303.pdf")</f>
        <v>MCRO_27-CR-22-25069_Finding of Incompetency and Order_2023-05-02_20251126185303.pdf</v>
      </c>
      <c r="H433" s="1" t="n">
        <v>9</v>
      </c>
      <c r="I433" s="1" t="s">
        <v>1366</v>
      </c>
      <c r="J433" s="1" t="n">
        <v>2</v>
      </c>
      <c r="K433" s="1" t="n">
        <v>2</v>
      </c>
      <c r="L433" s="2" t="s">
        <v>1367</v>
      </c>
      <c r="M433" s="2" t="s">
        <v>1496</v>
      </c>
      <c r="N433" s="2" t="s">
        <v>1497</v>
      </c>
      <c r="O433" s="2" t="s">
        <v>1494</v>
      </c>
      <c r="P433" s="2" t="s">
        <v>1498</v>
      </c>
      <c r="Q433" s="1" t="n">
        <v>0</v>
      </c>
      <c r="R433" s="2" t="n">
        <v>160968</v>
      </c>
      <c r="S433" s="2" t="n">
        <v>167974</v>
      </c>
      <c r="T433" s="2" t="n">
        <v>59084</v>
      </c>
      <c r="U433" s="2" t="n">
        <v>220052</v>
      </c>
      <c r="V433" s="2" t="n">
        <v>22.53</v>
      </c>
      <c r="W433" s="2" t="s">
        <v>1366</v>
      </c>
    </row>
    <row r="434" customFormat="false" ht="18.7" hidden="false" customHeight="true" outlineLevel="0" collapsed="false">
      <c r="A434" s="1" t="n">
        <v>433</v>
      </c>
      <c r="B434" s="7" t="str">
        <f aca="false">HYPERLINK("https://mncourtfraud.com/file/27-CR-22-25069.pdf","27-CR-22-25069")</f>
        <v>27-CR-22-25069</v>
      </c>
      <c r="C434" s="1" t="n">
        <v>1</v>
      </c>
      <c r="D434" s="2" t="s">
        <v>12</v>
      </c>
      <c r="E434" s="8" t="n">
        <v>45048</v>
      </c>
      <c r="F434" s="2" t="s">
        <v>80</v>
      </c>
      <c r="G434" s="7" t="str">
        <f aca="false">HYPERLINK("https://mncourtfraud.com/file/MCRO_27-CR-22-25069_Finding of Incompetency and Order_2023-05-02_20251126185303.pdf","MCRO_27-CR-22-25069_Finding of Incompetency and Order_2023-05-02_20251126185303.pdf")</f>
        <v>MCRO_27-CR-22-25069_Finding of Incompetency and Order_2023-05-02_20251126185303.pdf</v>
      </c>
      <c r="H434" s="1" t="n">
        <v>9</v>
      </c>
      <c r="I434" s="1" t="s">
        <v>1366</v>
      </c>
      <c r="J434" s="1" t="n">
        <v>3</v>
      </c>
      <c r="K434" s="1" t="n">
        <v>3</v>
      </c>
      <c r="L434" s="2" t="s">
        <v>2106</v>
      </c>
      <c r="M434" s="2" t="s">
        <v>1362</v>
      </c>
      <c r="N434" s="2" t="s">
        <v>2107</v>
      </c>
      <c r="O434" s="2" t="s">
        <v>1364</v>
      </c>
      <c r="P434" s="2" t="s">
        <v>1501</v>
      </c>
      <c r="Q434" s="1" t="n">
        <v>0</v>
      </c>
      <c r="R434" s="2" t="n">
        <v>954849</v>
      </c>
      <c r="S434" s="2" t="n">
        <v>971235</v>
      </c>
      <c r="T434" s="2" t="n">
        <v>5306</v>
      </c>
      <c r="U434" s="2" t="n">
        <v>960155</v>
      </c>
      <c r="V434" s="2" t="n">
        <v>98.32</v>
      </c>
      <c r="W434" s="2" t="s">
        <v>1360</v>
      </c>
    </row>
    <row r="435" customFormat="false" ht="18.7" hidden="false" customHeight="true" outlineLevel="0" collapsed="false">
      <c r="A435" s="1" t="n">
        <v>434</v>
      </c>
      <c r="B435" s="7" t="str">
        <f aca="false">HYPERLINK("https://mncourtfraud.com/file/27-CR-22-25069.pdf","27-CR-22-25069")</f>
        <v>27-CR-22-25069</v>
      </c>
      <c r="C435" s="1" t="n">
        <v>1</v>
      </c>
      <c r="D435" s="2" t="s">
        <v>12</v>
      </c>
      <c r="E435" s="8" t="n">
        <v>45093</v>
      </c>
      <c r="F435" s="2" t="s">
        <v>82</v>
      </c>
      <c r="G435" s="7" t="str">
        <f aca="false">HYPERLINK("https://mncourtfraud.com/file/MCRO_27-CR-22-25069_Notice of Case Reassignment_2023-06-16_20251126185315.pdf","MCRO_27-CR-22-25069_Notice of Case Reassignment_2023-06-16_20251126185315.pdf")</f>
        <v>MCRO_27-CR-22-25069_Notice of Case Reassignment_2023-06-16_20251126185315.pdf</v>
      </c>
      <c r="H435" s="1" t="n">
        <v>3</v>
      </c>
      <c r="I435" s="1" t="s">
        <v>1360</v>
      </c>
      <c r="J435" s="1" t="n">
        <v>1</v>
      </c>
      <c r="K435" s="1" t="n">
        <v>1</v>
      </c>
      <c r="L435" s="2" t="s">
        <v>2108</v>
      </c>
      <c r="M435" s="2" t="s">
        <v>1362</v>
      </c>
      <c r="N435" s="2" t="s">
        <v>2109</v>
      </c>
      <c r="O435" s="2" t="s">
        <v>1364</v>
      </c>
      <c r="P435" s="2" t="s">
        <v>1508</v>
      </c>
      <c r="Q435" s="1" t="n">
        <v>0</v>
      </c>
      <c r="R435" s="2" t="n">
        <v>92691</v>
      </c>
      <c r="S435" s="2" t="n">
        <v>109077</v>
      </c>
      <c r="T435" s="2" t="n">
        <v>4553</v>
      </c>
      <c r="U435" s="2" t="n">
        <v>97244</v>
      </c>
      <c r="V435" s="2" t="n">
        <v>85.58</v>
      </c>
      <c r="W435" s="2" t="s">
        <v>1360</v>
      </c>
    </row>
    <row r="436" customFormat="false" ht="18.7" hidden="false" customHeight="true" outlineLevel="0" collapsed="false">
      <c r="A436" s="1" t="n">
        <v>435</v>
      </c>
      <c r="B436" s="7" t="str">
        <f aca="false">HYPERLINK("https://mncourtfraud.com/file/27-CR-22-25069.pdf","27-CR-22-25069")</f>
        <v>27-CR-22-25069</v>
      </c>
      <c r="C436" s="1" t="n">
        <v>1</v>
      </c>
      <c r="D436" s="2" t="s">
        <v>12</v>
      </c>
      <c r="E436" s="8" t="n">
        <v>45160</v>
      </c>
      <c r="F436" s="2" t="s">
        <v>15</v>
      </c>
      <c r="G436" s="7" t="str">
        <f aca="false">HYPERLINK("https://mncourtfraud.com/file/MCRO_27-CR-22-25069_Order-Evaluation for Competency to Proceed (Rule 20.01)_2023-08-22_20251126185424.pdf","MCRO_27-CR-22-25069_Order-Evaluation for Competency to Proceed (Rule 20.01)_2023-08-22_20251126185424.pdf")</f>
        <v>MCRO_27-CR-22-25069_Order-Evaluation for Competency to Proceed (Rule 20.01)_2023-08-22_20251126185424.pdf</v>
      </c>
      <c r="H436" s="1" t="n">
        <v>6</v>
      </c>
      <c r="I436" s="1" t="s">
        <v>1366</v>
      </c>
      <c r="J436" s="1" t="n">
        <v>1</v>
      </c>
      <c r="K436" s="1" t="n">
        <v>1</v>
      </c>
      <c r="L436" s="2" t="s">
        <v>1367</v>
      </c>
      <c r="M436" s="2" t="s">
        <v>1519</v>
      </c>
      <c r="N436" s="2" t="s">
        <v>1520</v>
      </c>
      <c r="O436" s="2" t="s">
        <v>1494</v>
      </c>
      <c r="P436" s="2" t="s">
        <v>1521</v>
      </c>
      <c r="Q436" s="1" t="n">
        <v>0</v>
      </c>
      <c r="R436" s="2" t="n">
        <v>122115</v>
      </c>
      <c r="S436" s="2" t="n">
        <v>129143</v>
      </c>
      <c r="T436" s="2" t="n">
        <v>87775</v>
      </c>
      <c r="U436" s="2" t="n">
        <v>209890</v>
      </c>
      <c r="V436" s="2" t="n">
        <v>23.95</v>
      </c>
      <c r="W436" s="2" t="s">
        <v>1366</v>
      </c>
    </row>
    <row r="437" customFormat="false" ht="18.7" hidden="false" customHeight="true" outlineLevel="0" collapsed="false">
      <c r="A437" s="1" t="n">
        <v>436</v>
      </c>
      <c r="B437" s="7" t="str">
        <f aca="false">HYPERLINK("https://mncourtfraud.com/file/27-CR-22-25069.pdf","27-CR-22-25069")</f>
        <v>27-CR-22-25069</v>
      </c>
      <c r="C437" s="1" t="n">
        <v>1</v>
      </c>
      <c r="D437" s="2" t="s">
        <v>12</v>
      </c>
      <c r="E437" s="8" t="n">
        <v>45160</v>
      </c>
      <c r="F437" s="2" t="s">
        <v>15</v>
      </c>
      <c r="G437" s="7" t="str">
        <f aca="false">HYPERLINK("https://mncourtfraud.com/file/MCRO_27-CR-22-25069_Order-Evaluation for Competency to Proceed (Rule 20.01)_2023-08-22_20251126185424.pdf","MCRO_27-CR-22-25069_Order-Evaluation for Competency to Proceed (Rule 20.01)_2023-08-22_20251126185424.pdf")</f>
        <v>MCRO_27-CR-22-25069_Order-Evaluation for Competency to Proceed (Rule 20.01)_2023-08-22_20251126185424.pdf</v>
      </c>
      <c r="H437" s="1" t="n">
        <v>6</v>
      </c>
      <c r="I437" s="1" t="s">
        <v>1366</v>
      </c>
      <c r="J437" s="1" t="n">
        <v>2</v>
      </c>
      <c r="K437" s="1" t="n">
        <v>2</v>
      </c>
      <c r="L437" s="2" t="s">
        <v>2110</v>
      </c>
      <c r="M437" s="2" t="s">
        <v>1362</v>
      </c>
      <c r="N437" s="2" t="s">
        <v>2111</v>
      </c>
      <c r="O437" s="2" t="s">
        <v>1364</v>
      </c>
      <c r="P437" s="2" t="s">
        <v>1524</v>
      </c>
      <c r="Q437" s="1" t="n">
        <v>0</v>
      </c>
      <c r="R437" s="2" t="n">
        <v>855043</v>
      </c>
      <c r="S437" s="2" t="n">
        <v>871429</v>
      </c>
      <c r="T437" s="2" t="n">
        <v>4973</v>
      </c>
      <c r="U437" s="2" t="n">
        <v>860016</v>
      </c>
      <c r="V437" s="2" t="n">
        <v>98.13</v>
      </c>
      <c r="W437" s="2" t="s">
        <v>1360</v>
      </c>
    </row>
    <row r="438" customFormat="false" ht="18.7" hidden="false" customHeight="true" outlineLevel="0" collapsed="false">
      <c r="A438" s="1" t="n">
        <v>437</v>
      </c>
      <c r="B438" s="7" t="str">
        <f aca="false">HYPERLINK("https://mncourtfraud.com/file/27-CR-22-25069.pdf","27-CR-22-25069")</f>
        <v>27-CR-22-25069</v>
      </c>
      <c r="C438" s="1" t="n">
        <v>1</v>
      </c>
      <c r="D438" s="2" t="s">
        <v>12</v>
      </c>
      <c r="E438" s="8" t="n">
        <v>45412</v>
      </c>
      <c r="F438" s="2" t="s">
        <v>15</v>
      </c>
      <c r="G438" s="7" t="str">
        <f aca="false">HYPERLINK("https://mncourtfraud.com/file/MCRO_27-CR-22-25069_Order-Evaluation for Competency to Proceed (Rule 20.01)_2024-04-30_20251126185403.pdf","MCRO_27-CR-22-25069_Order-Evaluation for Competency to Proceed (Rule 20.01)_2024-04-30_20251126185403.pdf")</f>
        <v>MCRO_27-CR-22-25069_Order-Evaluation for Competency to Proceed (Rule 20.01)_2024-04-30_20251126185403.pdf</v>
      </c>
      <c r="H438" s="1" t="n">
        <v>4</v>
      </c>
      <c r="I438" s="1" t="s">
        <v>1360</v>
      </c>
      <c r="J438" s="1" t="n">
        <v>1</v>
      </c>
      <c r="K438" s="1" t="n">
        <v>1</v>
      </c>
      <c r="L438" s="2" t="s">
        <v>2112</v>
      </c>
      <c r="M438" s="2" t="s">
        <v>1362</v>
      </c>
      <c r="N438" s="2" t="s">
        <v>2113</v>
      </c>
      <c r="O438" s="2" t="s">
        <v>1364</v>
      </c>
      <c r="P438" s="2" t="s">
        <v>1390</v>
      </c>
      <c r="Q438" s="1" t="n">
        <v>0</v>
      </c>
      <c r="R438" s="2" t="n">
        <v>198662</v>
      </c>
      <c r="S438" s="2" t="n">
        <v>215048</v>
      </c>
      <c r="T438" s="2" t="n">
        <v>4474</v>
      </c>
      <c r="U438" s="2" t="n">
        <v>203136</v>
      </c>
      <c r="V438" s="2" t="n">
        <v>92.54</v>
      </c>
      <c r="W438" s="2" t="s">
        <v>1360</v>
      </c>
    </row>
    <row r="439" customFormat="false" ht="18.7" hidden="false" customHeight="true" outlineLevel="0" collapsed="false">
      <c r="A439" s="1" t="n">
        <v>438</v>
      </c>
      <c r="B439" s="7" t="str">
        <f aca="false">HYPERLINK("https://mncourtfraud.com/file/27-CR-22-25069.pdf","27-CR-22-25069")</f>
        <v>27-CR-22-25069</v>
      </c>
      <c r="C439" s="1" t="n">
        <v>1</v>
      </c>
      <c r="D439" s="2" t="s">
        <v>12</v>
      </c>
      <c r="E439" s="8" t="n">
        <v>45412</v>
      </c>
      <c r="F439" s="2" t="s">
        <v>24</v>
      </c>
      <c r="G439" s="7" t="str">
        <f aca="false">HYPERLINK("https://mncourtfraud.com/file/MCRO_27-CR-22-25069_Order for Conditional Release_2024-04-30_20251126185327.pdf","MCRO_27-CR-22-25069_Order for Conditional Release_2024-04-30_20251126185327.pdf")</f>
        <v>MCRO_27-CR-22-25069_Order for Conditional Release_2024-04-30_20251126185327.pdf</v>
      </c>
      <c r="H439" s="1" t="n">
        <v>4</v>
      </c>
      <c r="I439" s="1" t="s">
        <v>1360</v>
      </c>
      <c r="J439" s="1" t="n">
        <v>1</v>
      </c>
      <c r="K439" s="1" t="n">
        <v>1</v>
      </c>
      <c r="L439" s="2" t="s">
        <v>2114</v>
      </c>
      <c r="M439" s="2" t="s">
        <v>1362</v>
      </c>
      <c r="N439" s="2" t="s">
        <v>2115</v>
      </c>
      <c r="O439" s="2" t="s">
        <v>1364</v>
      </c>
      <c r="P439" s="2" t="s">
        <v>1536</v>
      </c>
      <c r="Q439" s="1" t="n">
        <v>0</v>
      </c>
      <c r="R439" s="2" t="n">
        <v>129681</v>
      </c>
      <c r="S439" s="2" t="n">
        <v>146067</v>
      </c>
      <c r="T439" s="2" t="n">
        <v>4468</v>
      </c>
      <c r="U439" s="2" t="n">
        <v>134149</v>
      </c>
      <c r="V439" s="2" t="n">
        <v>89.11</v>
      </c>
      <c r="W439" s="2" t="s">
        <v>1360</v>
      </c>
    </row>
    <row r="440" customFormat="false" ht="18.7" hidden="false" customHeight="true" outlineLevel="0" collapsed="false">
      <c r="A440" s="1" t="n">
        <v>439</v>
      </c>
      <c r="B440" s="7" t="str">
        <f aca="false">HYPERLINK("https://mncourtfraud.com/file/27-CR-22-25069.pdf","27-CR-22-25069")</f>
        <v>27-CR-22-25069</v>
      </c>
      <c r="C440" s="1" t="n">
        <v>1</v>
      </c>
      <c r="D440" s="2" t="s">
        <v>12</v>
      </c>
      <c r="E440" s="8" t="n">
        <v>44999</v>
      </c>
      <c r="F440" s="2" t="s">
        <v>17</v>
      </c>
      <c r="G440" s="7" t="str">
        <f aca="false">HYPERLINK("https://mncourtfraud.com/file/MCRO_27-CR-22-25069_Returned Mail_2023-03-14_20251126185437.pdf","MCRO_27-CR-22-25069_Returned Mail_2023-03-14_20251126185437.pdf")</f>
        <v>MCRO_27-CR-22-25069_Returned Mail_2023-03-14_20251126185437.pdf</v>
      </c>
      <c r="H440" s="1" t="n">
        <v>4</v>
      </c>
      <c r="I440" s="1" t="s">
        <v>1360</v>
      </c>
      <c r="J440" s="1" t="n">
        <v>1</v>
      </c>
      <c r="K440" s="1" t="n">
        <v>1</v>
      </c>
      <c r="L440" s="2" t="s">
        <v>2116</v>
      </c>
      <c r="M440" s="2" t="s">
        <v>1362</v>
      </c>
      <c r="N440" s="2" t="s">
        <v>2117</v>
      </c>
      <c r="O440" s="2" t="s">
        <v>1364</v>
      </c>
      <c r="P440" s="2" t="s">
        <v>1800</v>
      </c>
      <c r="Q440" s="1" t="n">
        <v>0</v>
      </c>
      <c r="R440" s="2" t="n">
        <v>252062</v>
      </c>
      <c r="S440" s="2" t="n">
        <v>268448</v>
      </c>
      <c r="T440" s="2" t="n">
        <v>8487</v>
      </c>
      <c r="U440" s="2" t="n">
        <v>260549</v>
      </c>
      <c r="V440" s="2" t="n">
        <v>94.08</v>
      </c>
      <c r="W440" s="2" t="s">
        <v>1360</v>
      </c>
    </row>
    <row r="441" customFormat="false" ht="18.7" hidden="false" customHeight="true" outlineLevel="0" collapsed="false">
      <c r="A441" s="1" t="n">
        <v>440</v>
      </c>
      <c r="B441" s="7" t="str">
        <f aca="false">HYPERLINK("https://mncourtfraud.com/file/27-CR-22-3864.pdf","27-CR-22-3864")</f>
        <v>27-CR-22-3864</v>
      </c>
      <c r="C441" s="1" t="n">
        <v>1</v>
      </c>
      <c r="D441" s="2" t="s">
        <v>12</v>
      </c>
      <c r="E441" s="8" t="n">
        <v>45048</v>
      </c>
      <c r="F441" s="2" t="s">
        <v>80</v>
      </c>
      <c r="G441" s="7" t="str">
        <f aca="false">HYPERLINK("https://mncourtfraud.com/file/MCRO_27-CR-22-3864_Finding of Incompetency and Order_2023-05-02_20251126185519.pdf","MCRO_27-CR-22-3864_Finding of Incompetency and Order_2023-05-02_20251126185519.pdf")</f>
        <v>MCRO_27-CR-22-3864_Finding of Incompetency and Order_2023-05-02_20251126185519.pdf</v>
      </c>
      <c r="H441" s="1" t="n">
        <v>9</v>
      </c>
      <c r="I441" s="1" t="s">
        <v>1366</v>
      </c>
      <c r="J441" s="1" t="n">
        <v>1</v>
      </c>
      <c r="K441" s="1" t="n">
        <v>1</v>
      </c>
      <c r="L441" s="2" t="s">
        <v>1491</v>
      </c>
      <c r="M441" s="2" t="s">
        <v>1492</v>
      </c>
      <c r="N441" s="2" t="s">
        <v>1493</v>
      </c>
      <c r="O441" s="2" t="s">
        <v>1494</v>
      </c>
      <c r="P441" s="2" t="s">
        <v>1495</v>
      </c>
      <c r="Q441" s="1" t="n">
        <v>0</v>
      </c>
      <c r="R441" s="2" t="n">
        <v>100288</v>
      </c>
      <c r="S441" s="2" t="n">
        <v>112370</v>
      </c>
      <c r="T441" s="2" t="n">
        <v>48200</v>
      </c>
      <c r="U441" s="2" t="n">
        <v>148488</v>
      </c>
      <c r="V441" s="2" t="n">
        <v>15.21</v>
      </c>
      <c r="W441" s="2" t="s">
        <v>1366</v>
      </c>
    </row>
    <row r="442" customFormat="false" ht="18.7" hidden="false" customHeight="true" outlineLevel="0" collapsed="false">
      <c r="A442" s="1" t="n">
        <v>441</v>
      </c>
      <c r="B442" s="7" t="str">
        <f aca="false">HYPERLINK("https://mncourtfraud.com/file/27-CR-22-3864.pdf","27-CR-22-3864")</f>
        <v>27-CR-22-3864</v>
      </c>
      <c r="C442" s="1" t="n">
        <v>1</v>
      </c>
      <c r="D442" s="2" t="s">
        <v>12</v>
      </c>
      <c r="E442" s="8" t="n">
        <v>45048</v>
      </c>
      <c r="F442" s="2" t="s">
        <v>80</v>
      </c>
      <c r="G442" s="7" t="str">
        <f aca="false">HYPERLINK("https://mncourtfraud.com/file/MCRO_27-CR-22-3864_Finding of Incompetency and Order_2023-05-02_20251126185519.pdf","MCRO_27-CR-22-3864_Finding of Incompetency and Order_2023-05-02_20251126185519.pdf")</f>
        <v>MCRO_27-CR-22-3864_Finding of Incompetency and Order_2023-05-02_20251126185519.pdf</v>
      </c>
      <c r="H442" s="1" t="n">
        <v>9</v>
      </c>
      <c r="I442" s="1" t="s">
        <v>1366</v>
      </c>
      <c r="J442" s="1" t="n">
        <v>2</v>
      </c>
      <c r="K442" s="1" t="n">
        <v>2</v>
      </c>
      <c r="L442" s="2" t="s">
        <v>1367</v>
      </c>
      <c r="M442" s="2" t="s">
        <v>1496</v>
      </c>
      <c r="N442" s="2" t="s">
        <v>1497</v>
      </c>
      <c r="O442" s="2" t="s">
        <v>1494</v>
      </c>
      <c r="P442" s="2" t="s">
        <v>1498</v>
      </c>
      <c r="Q442" s="1" t="n">
        <v>0</v>
      </c>
      <c r="R442" s="2" t="n">
        <v>160968</v>
      </c>
      <c r="S442" s="2" t="n">
        <v>167974</v>
      </c>
      <c r="T442" s="2" t="n">
        <v>59084</v>
      </c>
      <c r="U442" s="2" t="n">
        <v>220052</v>
      </c>
      <c r="V442" s="2" t="n">
        <v>22.53</v>
      </c>
      <c r="W442" s="2" t="s">
        <v>1366</v>
      </c>
    </row>
    <row r="443" customFormat="false" ht="18.7" hidden="false" customHeight="true" outlineLevel="0" collapsed="false">
      <c r="A443" s="1" t="n">
        <v>442</v>
      </c>
      <c r="B443" s="7" t="str">
        <f aca="false">HYPERLINK("https://mncourtfraud.com/file/27-CR-22-3864.pdf","27-CR-22-3864")</f>
        <v>27-CR-22-3864</v>
      </c>
      <c r="C443" s="1" t="n">
        <v>1</v>
      </c>
      <c r="D443" s="2" t="s">
        <v>12</v>
      </c>
      <c r="E443" s="8" t="n">
        <v>45048</v>
      </c>
      <c r="F443" s="2" t="s">
        <v>80</v>
      </c>
      <c r="G443" s="7" t="str">
        <f aca="false">HYPERLINK("https://mncourtfraud.com/file/MCRO_27-CR-22-3864_Finding of Incompetency and Order_2023-05-02_20251126185519.pdf","MCRO_27-CR-22-3864_Finding of Incompetency and Order_2023-05-02_20251126185519.pdf")</f>
        <v>MCRO_27-CR-22-3864_Finding of Incompetency and Order_2023-05-02_20251126185519.pdf</v>
      </c>
      <c r="H443" s="1" t="n">
        <v>9</v>
      </c>
      <c r="I443" s="1" t="s">
        <v>1366</v>
      </c>
      <c r="J443" s="1" t="n">
        <v>3</v>
      </c>
      <c r="K443" s="1" t="n">
        <v>3</v>
      </c>
      <c r="L443" s="2" t="s">
        <v>2118</v>
      </c>
      <c r="M443" s="2" t="s">
        <v>1362</v>
      </c>
      <c r="N443" s="2" t="s">
        <v>2119</v>
      </c>
      <c r="O443" s="2" t="s">
        <v>1364</v>
      </c>
      <c r="P443" s="2" t="s">
        <v>1501</v>
      </c>
      <c r="Q443" s="1" t="n">
        <v>0</v>
      </c>
      <c r="R443" s="2" t="n">
        <v>954855</v>
      </c>
      <c r="S443" s="2" t="n">
        <v>971241</v>
      </c>
      <c r="T443" s="2" t="n">
        <v>5308</v>
      </c>
      <c r="U443" s="2" t="n">
        <v>960163</v>
      </c>
      <c r="V443" s="2" t="n">
        <v>98.32</v>
      </c>
      <c r="W443" s="2" t="s">
        <v>1360</v>
      </c>
    </row>
    <row r="444" customFormat="false" ht="18.7" hidden="false" customHeight="true" outlineLevel="0" collapsed="false">
      <c r="A444" s="1" t="n">
        <v>443</v>
      </c>
      <c r="B444" s="7" t="str">
        <f aca="false">HYPERLINK("https://mncourtfraud.com/file/27-CR-22-3864.pdf","27-CR-22-3864")</f>
        <v>27-CR-22-3864</v>
      </c>
      <c r="C444" s="1" t="n">
        <v>1</v>
      </c>
      <c r="D444" s="2" t="s">
        <v>12</v>
      </c>
      <c r="E444" s="8" t="n">
        <v>44761</v>
      </c>
      <c r="F444" s="2" t="s">
        <v>15</v>
      </c>
      <c r="G444" s="7" t="str">
        <f aca="false">HYPERLINK("https://mncourtfraud.com/file/MCRO_27-CR-22-3864_Order-Evaluation for Competency to Proceed (Rule 20.01)_2022-07-19_20251126185540.pdf","MCRO_27-CR-22-3864_Order-Evaluation for Competency to Proceed (Rule 20.01)_2022-07-19_20251126185540.pdf")</f>
        <v>MCRO_27-CR-22-3864_Order-Evaluation for Competency to Proceed (Rule 20.01)_2022-07-19_20251126185540.pdf</v>
      </c>
      <c r="H444" s="1" t="n">
        <v>4</v>
      </c>
      <c r="I444" s="1" t="s">
        <v>1360</v>
      </c>
      <c r="J444" s="1" t="n">
        <v>1</v>
      </c>
      <c r="K444" s="1" t="n">
        <v>1</v>
      </c>
      <c r="L444" s="2" t="s">
        <v>2120</v>
      </c>
      <c r="M444" s="2" t="s">
        <v>1362</v>
      </c>
      <c r="N444" s="2" t="s">
        <v>2121</v>
      </c>
      <c r="O444" s="2" t="s">
        <v>1364</v>
      </c>
      <c r="P444" s="2" t="s">
        <v>1536</v>
      </c>
      <c r="Q444" s="1" t="n">
        <v>0</v>
      </c>
      <c r="R444" s="2" t="n">
        <v>199673</v>
      </c>
      <c r="S444" s="2" t="n">
        <v>216059</v>
      </c>
      <c r="T444" s="2" t="n">
        <v>4453</v>
      </c>
      <c r="U444" s="2" t="n">
        <v>204126</v>
      </c>
      <c r="V444" s="2" t="n">
        <v>92.57</v>
      </c>
      <c r="W444" s="2" t="s">
        <v>1360</v>
      </c>
    </row>
    <row r="445" customFormat="false" ht="18.7" hidden="false" customHeight="true" outlineLevel="0" collapsed="false">
      <c r="A445" s="1" t="n">
        <v>444</v>
      </c>
      <c r="B445" s="7" t="str">
        <f aca="false">HYPERLINK("https://mncourtfraud.com/file/27-CR-22-3864.pdf","27-CR-22-3864")</f>
        <v>27-CR-22-3864</v>
      </c>
      <c r="C445" s="1" t="n">
        <v>1</v>
      </c>
      <c r="D445" s="2" t="s">
        <v>12</v>
      </c>
      <c r="E445" s="8" t="n">
        <v>44895</v>
      </c>
      <c r="F445" s="2" t="s">
        <v>15</v>
      </c>
      <c r="G445" s="7" t="str">
        <f aca="false">HYPERLINK("https://mncourtfraud.com/file/MCRO_27-CR-22-3864_Order-Evaluation for Competency to Proceed (Rule 20.01)_2022-11-30_20251126185532.pdf","MCRO_27-CR-22-3864_Order-Evaluation for Competency to Proceed (Rule 20.01)_2022-11-30_20251126185532.pdf")</f>
        <v>MCRO_27-CR-22-3864_Order-Evaluation for Competency to Proceed (Rule 20.01)_2022-11-30_20251126185532.pdf</v>
      </c>
      <c r="H445" s="1" t="n">
        <v>4</v>
      </c>
      <c r="I445" s="1" t="s">
        <v>1360</v>
      </c>
      <c r="J445" s="1" t="n">
        <v>1</v>
      </c>
      <c r="K445" s="1" t="n">
        <v>1</v>
      </c>
      <c r="L445" s="2" t="s">
        <v>2122</v>
      </c>
      <c r="M445" s="2" t="s">
        <v>1362</v>
      </c>
      <c r="N445" s="2" t="s">
        <v>2123</v>
      </c>
      <c r="O445" s="2" t="s">
        <v>1364</v>
      </c>
      <c r="P445" s="2" t="s">
        <v>1402</v>
      </c>
      <c r="Q445" s="1" t="n">
        <v>0</v>
      </c>
      <c r="R445" s="2" t="n">
        <v>795532</v>
      </c>
      <c r="S445" s="2" t="n">
        <v>811918</v>
      </c>
      <c r="T445" s="2" t="n">
        <v>5079</v>
      </c>
      <c r="U445" s="2" t="n">
        <v>800611</v>
      </c>
      <c r="V445" s="2" t="n">
        <v>97.99</v>
      </c>
      <c r="W445" s="2" t="s">
        <v>1360</v>
      </c>
    </row>
    <row r="446" customFormat="false" ht="18.7" hidden="false" customHeight="true" outlineLevel="0" collapsed="false">
      <c r="A446" s="1" t="n">
        <v>445</v>
      </c>
      <c r="B446" s="7" t="str">
        <f aca="false">HYPERLINK("https://mncourtfraud.com/file/27-CR-22-3864.pdf","27-CR-22-3864")</f>
        <v>27-CR-22-3864</v>
      </c>
      <c r="C446" s="1" t="n">
        <v>1</v>
      </c>
      <c r="D446" s="2" t="s">
        <v>12</v>
      </c>
      <c r="E446" s="8" t="n">
        <v>44999</v>
      </c>
      <c r="F446" s="2" t="s">
        <v>17</v>
      </c>
      <c r="G446" s="7" t="str">
        <f aca="false">HYPERLINK("https://mncourtfraud.com/file/MCRO_27-CR-22-3864_Returned Mail_2023-03-14_20251126185557.pdf","MCRO_27-CR-22-3864_Returned Mail_2023-03-14_20251126185557.pdf")</f>
        <v>MCRO_27-CR-22-3864_Returned Mail_2023-03-14_20251126185557.pdf</v>
      </c>
      <c r="H446" s="1" t="n">
        <v>4</v>
      </c>
      <c r="I446" s="1" t="s">
        <v>1360</v>
      </c>
      <c r="J446" s="1" t="n">
        <v>1</v>
      </c>
      <c r="K446" s="1" t="n">
        <v>1</v>
      </c>
      <c r="L446" s="2" t="s">
        <v>2124</v>
      </c>
      <c r="M446" s="2" t="s">
        <v>1362</v>
      </c>
      <c r="N446" s="2" t="s">
        <v>2125</v>
      </c>
      <c r="O446" s="2" t="s">
        <v>1364</v>
      </c>
      <c r="P446" s="2" t="s">
        <v>1800</v>
      </c>
      <c r="Q446" s="1" t="n">
        <v>0</v>
      </c>
      <c r="R446" s="2" t="n">
        <v>240157</v>
      </c>
      <c r="S446" s="2" t="n">
        <v>256543</v>
      </c>
      <c r="T446" s="2" t="n">
        <v>8487</v>
      </c>
      <c r="U446" s="2" t="n">
        <v>248644</v>
      </c>
      <c r="V446" s="2" t="n">
        <v>93.82</v>
      </c>
      <c r="W446" s="2" t="s">
        <v>1360</v>
      </c>
    </row>
    <row r="447" customFormat="false" ht="18.7" hidden="false" customHeight="true" outlineLevel="0" collapsed="false">
      <c r="A447" s="1" t="n">
        <v>446</v>
      </c>
      <c r="B447" s="7" t="str">
        <f aca="false">HYPERLINK("https://mncourtfraud.com/file/27-CR-22-6512.pdf","27-CR-22-6512")</f>
        <v>27-CR-22-6512</v>
      </c>
      <c r="C447" s="1" t="n">
        <v>5</v>
      </c>
      <c r="D447" s="2" t="s">
        <v>267</v>
      </c>
      <c r="E447" s="8" t="n">
        <v>44873</v>
      </c>
      <c r="F447" s="2" t="s">
        <v>15</v>
      </c>
      <c r="G447" s="7" t="str">
        <f aca="false">HYPERLINK("https://mncourtfraud.com/file/MCRO_27-CR-22-6512_Order-Evaluation for Competency to Proceed (Rule 20.01)_2022-11-08_20251126170328.pdf","MCRO_27-CR-22-6512_Order-Evaluation for Competency to Proceed (Rule 20.01)_2022-11-08_20251126170328.pdf")</f>
        <v>MCRO_27-CR-22-6512_Order-Evaluation for Competency to Proceed (Rule 20.01)_2022-11-08_20251126170328.pdf</v>
      </c>
      <c r="H447" s="1" t="n">
        <v>4</v>
      </c>
      <c r="I447" s="1" t="s">
        <v>1360</v>
      </c>
      <c r="J447" s="1" t="n">
        <v>1</v>
      </c>
      <c r="K447" s="1" t="n">
        <v>1</v>
      </c>
      <c r="L447" s="2" t="s">
        <v>2126</v>
      </c>
      <c r="M447" s="2" t="s">
        <v>1362</v>
      </c>
      <c r="N447" s="2" t="s">
        <v>2127</v>
      </c>
      <c r="O447" s="2" t="s">
        <v>1364</v>
      </c>
      <c r="P447" s="2" t="s">
        <v>1390</v>
      </c>
      <c r="Q447" s="1" t="n">
        <v>0</v>
      </c>
      <c r="R447" s="2" t="n">
        <v>825186</v>
      </c>
      <c r="S447" s="2" t="n">
        <v>841572</v>
      </c>
      <c r="T447" s="2" t="n">
        <v>4525</v>
      </c>
      <c r="U447" s="2" t="n">
        <v>829711</v>
      </c>
      <c r="V447" s="2" t="n">
        <v>98.06</v>
      </c>
      <c r="W447" s="2" t="s">
        <v>1360</v>
      </c>
    </row>
    <row r="448" customFormat="false" ht="18.7" hidden="false" customHeight="true" outlineLevel="0" collapsed="false">
      <c r="A448" s="1" t="n">
        <v>447</v>
      </c>
      <c r="B448" s="7" t="str">
        <f aca="false">HYPERLINK("https://mncourtfraud.com/file/27-CR-22-6512.pdf","27-CR-22-6512")</f>
        <v>27-CR-22-6512</v>
      </c>
      <c r="C448" s="1" t="n">
        <v>5</v>
      </c>
      <c r="D448" s="2" t="s">
        <v>267</v>
      </c>
      <c r="E448" s="8" t="n">
        <v>45023</v>
      </c>
      <c r="F448" s="2" t="s">
        <v>15</v>
      </c>
      <c r="G448" s="7" t="str">
        <f aca="false">HYPERLINK("https://mncourtfraud.com/file/MCRO_27-CR-22-6512_Order-Evaluation for Competency to Proceed (Rule 20.01)_2023-04-07_20251126170337.pdf","MCRO_27-CR-22-6512_Order-Evaluation for Competency to Proceed (Rule 20.01)_2023-04-07_20251126170337.pdf")</f>
        <v>MCRO_27-CR-22-6512_Order-Evaluation for Competency to Proceed (Rule 20.01)_2023-04-07_20251126170337.pdf</v>
      </c>
      <c r="H448" s="1" t="n">
        <v>4</v>
      </c>
      <c r="I448" s="1" t="s">
        <v>1360</v>
      </c>
      <c r="J448" s="1" t="n">
        <v>1</v>
      </c>
      <c r="K448" s="1" t="n">
        <v>1</v>
      </c>
      <c r="L448" s="2" t="s">
        <v>2128</v>
      </c>
      <c r="M448" s="2" t="s">
        <v>1362</v>
      </c>
      <c r="N448" s="2" t="s">
        <v>2129</v>
      </c>
      <c r="O448" s="2" t="s">
        <v>1364</v>
      </c>
      <c r="P448" s="2" t="s">
        <v>1384</v>
      </c>
      <c r="Q448" s="1" t="n">
        <v>0</v>
      </c>
      <c r="R448" s="2" t="n">
        <v>1098544</v>
      </c>
      <c r="S448" s="2" t="n">
        <v>1114930</v>
      </c>
      <c r="T448" s="2" t="n">
        <v>8533</v>
      </c>
      <c r="U448" s="2" t="n">
        <v>1107077</v>
      </c>
      <c r="V448" s="2" t="n">
        <v>98.54</v>
      </c>
      <c r="W448" s="2" t="s">
        <v>1360</v>
      </c>
    </row>
    <row r="449" customFormat="false" ht="18.7" hidden="false" customHeight="true" outlineLevel="0" collapsed="false">
      <c r="A449" s="1" t="n">
        <v>448</v>
      </c>
      <c r="B449" s="7" t="str">
        <f aca="false">HYPERLINK("https://mncourtfraud.com/file/27-CR-22-6512.pdf","27-CR-22-6512")</f>
        <v>27-CR-22-6512</v>
      </c>
      <c r="C449" s="1" t="n">
        <v>5</v>
      </c>
      <c r="D449" s="2" t="s">
        <v>267</v>
      </c>
      <c r="E449" s="8" t="n">
        <v>45194</v>
      </c>
      <c r="F449" s="2" t="s">
        <v>15</v>
      </c>
      <c r="G449" s="7" t="str">
        <f aca="false">HYPERLINK("https://mncourtfraud.com/file/MCRO_27-CR-22-6512_Order-Evaluation for Competency to Proceed (Rule 20.01)_2023-09-25_20251126170316.pdf","MCRO_27-CR-22-6512_Order-Evaluation for Competency to Proceed (Rule 20.01)_2023-09-25_20251126170316.pdf")</f>
        <v>MCRO_27-CR-22-6512_Order-Evaluation for Competency to Proceed (Rule 20.01)_2023-09-25_20251126170316.pdf</v>
      </c>
      <c r="H449" s="1" t="n">
        <v>4</v>
      </c>
      <c r="I449" s="1" t="s">
        <v>1360</v>
      </c>
      <c r="J449" s="1" t="n">
        <v>1</v>
      </c>
      <c r="K449" s="1" t="n">
        <v>1</v>
      </c>
      <c r="L449" s="2" t="s">
        <v>2130</v>
      </c>
      <c r="M449" s="2" t="s">
        <v>1362</v>
      </c>
      <c r="N449" s="2" t="s">
        <v>2131</v>
      </c>
      <c r="O449" s="2" t="s">
        <v>1364</v>
      </c>
      <c r="P449" s="2" t="s">
        <v>1536</v>
      </c>
      <c r="Q449" s="1" t="n">
        <v>0</v>
      </c>
      <c r="R449" s="2" t="n">
        <v>145789</v>
      </c>
      <c r="S449" s="2" t="n">
        <v>162175</v>
      </c>
      <c r="T449" s="2" t="n">
        <v>4468</v>
      </c>
      <c r="U449" s="2" t="n">
        <v>150257</v>
      </c>
      <c r="V449" s="2" t="n">
        <v>90.17</v>
      </c>
      <c r="W449" s="2" t="s">
        <v>1360</v>
      </c>
    </row>
    <row r="450" customFormat="false" ht="18.7" hidden="false" customHeight="true" outlineLevel="0" collapsed="false">
      <c r="A450" s="1" t="n">
        <v>449</v>
      </c>
      <c r="B450" s="7" t="str">
        <f aca="false">HYPERLINK("https://mncourtfraud.com/file/27-CR-22-6512.pdf","27-CR-22-6512")</f>
        <v>27-CR-22-6512</v>
      </c>
      <c r="C450" s="1" t="n">
        <v>5</v>
      </c>
      <c r="D450" s="2" t="s">
        <v>267</v>
      </c>
      <c r="E450" s="8" t="n">
        <v>44837</v>
      </c>
      <c r="F450" s="2" t="s">
        <v>17</v>
      </c>
      <c r="G450" s="7" t="str">
        <f aca="false">HYPERLINK("https://mncourtfraud.com/file/MCRO_27-CR-22-6512_Returned Mail_2022-10-03_20251126170305.pdf","MCRO_27-CR-22-6512_Returned Mail_2022-10-03_20251126170305.pdf")</f>
        <v>MCRO_27-CR-22-6512_Returned Mail_2022-10-03_20251126170305.pdf</v>
      </c>
      <c r="H450" s="1" t="n">
        <v>4</v>
      </c>
      <c r="I450" s="1" t="s">
        <v>1360</v>
      </c>
      <c r="J450" s="1" t="n">
        <v>1</v>
      </c>
      <c r="K450" s="1" t="n">
        <v>1</v>
      </c>
      <c r="L450" s="2" t="s">
        <v>2132</v>
      </c>
      <c r="M450" s="2" t="s">
        <v>1362</v>
      </c>
      <c r="N450" s="2" t="s">
        <v>2133</v>
      </c>
      <c r="O450" s="2" t="s">
        <v>1364</v>
      </c>
      <c r="P450" s="2" t="s">
        <v>1907</v>
      </c>
      <c r="Q450" s="1" t="n">
        <v>0</v>
      </c>
      <c r="R450" s="2" t="n">
        <v>360312</v>
      </c>
      <c r="S450" s="2" t="n">
        <v>376698</v>
      </c>
      <c r="T450" s="2" t="n">
        <v>4520</v>
      </c>
      <c r="U450" s="2" t="n">
        <v>364832</v>
      </c>
      <c r="V450" s="2" t="n">
        <v>95.7</v>
      </c>
      <c r="W450" s="2" t="s">
        <v>1360</v>
      </c>
    </row>
    <row r="451" customFormat="false" ht="18.7" hidden="false" customHeight="true" outlineLevel="0" collapsed="false">
      <c r="A451" s="1" t="n">
        <v>450</v>
      </c>
      <c r="B451" s="7" t="str">
        <f aca="false">HYPERLINK("https://mncourtfraud.com/file/27-CR-22-6895.pdf","27-CR-22-6895")</f>
        <v>27-CR-22-6895</v>
      </c>
      <c r="C451" s="1" t="n">
        <v>5</v>
      </c>
      <c r="D451" s="2" t="s">
        <v>267</v>
      </c>
      <c r="E451" s="8" t="n">
        <v>44873</v>
      </c>
      <c r="F451" s="2" t="s">
        <v>15</v>
      </c>
      <c r="G451" s="7" t="str">
        <f aca="false">HYPERLINK("https://mncourtfraud.com/file/MCRO_27-CR-22-6895_Order-Evaluation for Competency to Proceed (Rule 20.01)_2022-11-08_20251126170402.pdf","MCRO_27-CR-22-6895_Order-Evaluation for Competency to Proceed (Rule 20.01)_2022-11-08_20251126170402.pdf")</f>
        <v>MCRO_27-CR-22-6895_Order-Evaluation for Competency to Proceed (Rule 20.01)_2022-11-08_20251126170402.pdf</v>
      </c>
      <c r="H451" s="1" t="n">
        <v>4</v>
      </c>
      <c r="I451" s="1" t="s">
        <v>1360</v>
      </c>
      <c r="J451" s="1" t="n">
        <v>1</v>
      </c>
      <c r="K451" s="1" t="n">
        <v>1</v>
      </c>
      <c r="L451" s="2" t="s">
        <v>2134</v>
      </c>
      <c r="M451" s="2" t="s">
        <v>1362</v>
      </c>
      <c r="N451" s="2" t="s">
        <v>2135</v>
      </c>
      <c r="O451" s="2" t="s">
        <v>1364</v>
      </c>
      <c r="P451" s="2" t="s">
        <v>1390</v>
      </c>
      <c r="Q451" s="1" t="n">
        <v>0</v>
      </c>
      <c r="R451" s="2" t="n">
        <v>825184</v>
      </c>
      <c r="S451" s="2" t="n">
        <v>841570</v>
      </c>
      <c r="T451" s="2" t="n">
        <v>4525</v>
      </c>
      <c r="U451" s="2" t="n">
        <v>829709</v>
      </c>
      <c r="V451" s="2" t="n">
        <v>98.06</v>
      </c>
      <c r="W451" s="2" t="s">
        <v>1360</v>
      </c>
    </row>
    <row r="452" customFormat="false" ht="18.7" hidden="false" customHeight="true" outlineLevel="0" collapsed="false">
      <c r="A452" s="1" t="n">
        <v>451</v>
      </c>
      <c r="B452" s="7" t="str">
        <f aca="false">HYPERLINK("https://mncourtfraud.com/file/27-CR-22-6895.pdf","27-CR-22-6895")</f>
        <v>27-CR-22-6895</v>
      </c>
      <c r="C452" s="1" t="n">
        <v>5</v>
      </c>
      <c r="D452" s="2" t="s">
        <v>267</v>
      </c>
      <c r="E452" s="8" t="n">
        <v>45023</v>
      </c>
      <c r="F452" s="2" t="s">
        <v>15</v>
      </c>
      <c r="G452" s="7" t="str">
        <f aca="false">HYPERLINK("https://mncourtfraud.com/file/MCRO_27-CR-22-6895_Order-Evaluation for Competency to Proceed (Rule 20.01)_2023-04-07_20251126170421.pdf","MCRO_27-CR-22-6895_Order-Evaluation for Competency to Proceed (Rule 20.01)_2023-04-07_20251126170421.pdf")</f>
        <v>MCRO_27-CR-22-6895_Order-Evaluation for Competency to Proceed (Rule 20.01)_2023-04-07_20251126170421.pdf</v>
      </c>
      <c r="H452" s="1" t="n">
        <v>4</v>
      </c>
      <c r="I452" s="1" t="s">
        <v>1360</v>
      </c>
      <c r="J452" s="1" t="n">
        <v>1</v>
      </c>
      <c r="K452" s="1" t="n">
        <v>1</v>
      </c>
      <c r="L452" s="2" t="s">
        <v>2136</v>
      </c>
      <c r="M452" s="2" t="s">
        <v>1362</v>
      </c>
      <c r="N452" s="2" t="s">
        <v>2137</v>
      </c>
      <c r="O452" s="2" t="s">
        <v>1364</v>
      </c>
      <c r="P452" s="2" t="s">
        <v>1384</v>
      </c>
      <c r="Q452" s="1" t="n">
        <v>0</v>
      </c>
      <c r="R452" s="2" t="n">
        <v>1100774</v>
      </c>
      <c r="S452" s="2" t="n">
        <v>1117160</v>
      </c>
      <c r="T452" s="2" t="n">
        <v>8533</v>
      </c>
      <c r="U452" s="2" t="n">
        <v>1109307</v>
      </c>
      <c r="V452" s="2" t="n">
        <v>98.54</v>
      </c>
      <c r="W452" s="2" t="s">
        <v>1360</v>
      </c>
    </row>
    <row r="453" customFormat="false" ht="18.7" hidden="false" customHeight="true" outlineLevel="0" collapsed="false">
      <c r="A453" s="1" t="n">
        <v>452</v>
      </c>
      <c r="B453" s="7" t="str">
        <f aca="false">HYPERLINK("https://mncourtfraud.com/file/27-CR-22-6895.pdf","27-CR-22-6895")</f>
        <v>27-CR-22-6895</v>
      </c>
      <c r="C453" s="1" t="n">
        <v>5</v>
      </c>
      <c r="D453" s="2" t="s">
        <v>267</v>
      </c>
      <c r="E453" s="8" t="n">
        <v>45194</v>
      </c>
      <c r="F453" s="2" t="s">
        <v>15</v>
      </c>
      <c r="G453" s="7" t="str">
        <f aca="false">HYPERLINK("https://mncourtfraud.com/file/MCRO_27-CR-22-6895_Order-Evaluation for Competency to Proceed (Rule 20.01)_2023-09-25_20251126170434.pdf","MCRO_27-CR-22-6895_Order-Evaluation for Competency to Proceed (Rule 20.01)_2023-09-25_20251126170434.pdf")</f>
        <v>MCRO_27-CR-22-6895_Order-Evaluation for Competency to Proceed (Rule 20.01)_2023-09-25_20251126170434.pdf</v>
      </c>
      <c r="H453" s="1" t="n">
        <v>4</v>
      </c>
      <c r="I453" s="1" t="s">
        <v>1360</v>
      </c>
      <c r="J453" s="1" t="n">
        <v>1</v>
      </c>
      <c r="K453" s="1" t="n">
        <v>1</v>
      </c>
      <c r="L453" s="2" t="s">
        <v>2138</v>
      </c>
      <c r="M453" s="2" t="s">
        <v>1362</v>
      </c>
      <c r="N453" s="2" t="s">
        <v>2139</v>
      </c>
      <c r="O453" s="2" t="s">
        <v>1364</v>
      </c>
      <c r="P453" s="2" t="s">
        <v>1536</v>
      </c>
      <c r="Q453" s="1" t="n">
        <v>0</v>
      </c>
      <c r="R453" s="2" t="n">
        <v>145788</v>
      </c>
      <c r="S453" s="2" t="n">
        <v>162174</v>
      </c>
      <c r="T453" s="2" t="n">
        <v>4468</v>
      </c>
      <c r="U453" s="2" t="n">
        <v>150256</v>
      </c>
      <c r="V453" s="2" t="n">
        <v>90.17</v>
      </c>
      <c r="W453" s="2" t="s">
        <v>1360</v>
      </c>
    </row>
    <row r="454" customFormat="false" ht="18.7" hidden="false" customHeight="true" outlineLevel="0" collapsed="false">
      <c r="A454" s="1" t="n">
        <v>453</v>
      </c>
      <c r="B454" s="7" t="str">
        <f aca="false">HYPERLINK("https://mncourtfraud.com/file/27-CR-22-6895.pdf","27-CR-22-6895")</f>
        <v>27-CR-22-6895</v>
      </c>
      <c r="C454" s="1" t="n">
        <v>5</v>
      </c>
      <c r="D454" s="2" t="s">
        <v>267</v>
      </c>
      <c r="E454" s="8" t="n">
        <v>44837</v>
      </c>
      <c r="F454" s="2" t="s">
        <v>17</v>
      </c>
      <c r="G454" s="7" t="str">
        <f aca="false">HYPERLINK("https://mncourtfraud.com/file/MCRO_27-CR-22-6895_Returned Mail_2022-10-03_20251126170447.pdf","MCRO_27-CR-22-6895_Returned Mail_2022-10-03_20251126170447.pdf")</f>
        <v>MCRO_27-CR-22-6895_Returned Mail_2022-10-03_20251126170447.pdf</v>
      </c>
      <c r="H454" s="1" t="n">
        <v>4</v>
      </c>
      <c r="I454" s="1" t="s">
        <v>1360</v>
      </c>
      <c r="J454" s="1" t="n">
        <v>1</v>
      </c>
      <c r="K454" s="1" t="n">
        <v>1</v>
      </c>
      <c r="L454" s="2" t="s">
        <v>2140</v>
      </c>
      <c r="M454" s="2" t="s">
        <v>1362</v>
      </c>
      <c r="N454" s="2" t="s">
        <v>2141</v>
      </c>
      <c r="O454" s="2" t="s">
        <v>1364</v>
      </c>
      <c r="P454" s="2" t="s">
        <v>1907</v>
      </c>
      <c r="Q454" s="1" t="n">
        <v>0</v>
      </c>
      <c r="R454" s="2" t="n">
        <v>360313</v>
      </c>
      <c r="S454" s="2" t="n">
        <v>376699</v>
      </c>
      <c r="T454" s="2" t="n">
        <v>4520</v>
      </c>
      <c r="U454" s="2" t="n">
        <v>364833</v>
      </c>
      <c r="V454" s="2" t="n">
        <v>95.7</v>
      </c>
      <c r="W454" s="2" t="s">
        <v>1360</v>
      </c>
    </row>
    <row r="455" customFormat="false" ht="18.7" hidden="false" customHeight="true" outlineLevel="0" collapsed="false">
      <c r="A455" s="1" t="n">
        <v>454</v>
      </c>
      <c r="B455" s="7" t="str">
        <f aca="false">HYPERLINK("https://mncourtfraud.com/file/27-CR-22-7520.pdf","27-CR-22-7520")</f>
        <v>27-CR-22-7520</v>
      </c>
      <c r="C455" s="1" t="n">
        <v>5</v>
      </c>
      <c r="D455" s="2" t="s">
        <v>267</v>
      </c>
      <c r="E455" s="8" t="n">
        <v>44873</v>
      </c>
      <c r="F455" s="2" t="s">
        <v>15</v>
      </c>
      <c r="G455" s="7" t="str">
        <f aca="false">HYPERLINK("https://mncourtfraud.com/file/MCRO_27-CR-22-7520_Order-Evaluation for Competency to Proceed (Rule 20.01)_2022-11-08_20251126170532.pdf","MCRO_27-CR-22-7520_Order-Evaluation for Competency to Proceed (Rule 20.01)_2022-11-08_20251126170532.pdf")</f>
        <v>MCRO_27-CR-22-7520_Order-Evaluation for Competency to Proceed (Rule 20.01)_2022-11-08_20251126170532.pdf</v>
      </c>
      <c r="H455" s="1" t="n">
        <v>4</v>
      </c>
      <c r="I455" s="1" t="s">
        <v>1360</v>
      </c>
      <c r="J455" s="1" t="n">
        <v>1</v>
      </c>
      <c r="K455" s="1" t="n">
        <v>1</v>
      </c>
      <c r="L455" s="2" t="s">
        <v>2142</v>
      </c>
      <c r="M455" s="2" t="s">
        <v>1362</v>
      </c>
      <c r="N455" s="2" t="s">
        <v>2143</v>
      </c>
      <c r="O455" s="2" t="s">
        <v>1364</v>
      </c>
      <c r="P455" s="2" t="s">
        <v>1390</v>
      </c>
      <c r="Q455" s="1" t="n">
        <v>0</v>
      </c>
      <c r="R455" s="2" t="n">
        <v>825184</v>
      </c>
      <c r="S455" s="2" t="n">
        <v>841570</v>
      </c>
      <c r="T455" s="2" t="n">
        <v>4525</v>
      </c>
      <c r="U455" s="2" t="n">
        <v>829709</v>
      </c>
      <c r="V455" s="2" t="n">
        <v>98.06</v>
      </c>
      <c r="W455" s="2" t="s">
        <v>1360</v>
      </c>
    </row>
    <row r="456" customFormat="false" ht="18.7" hidden="false" customHeight="true" outlineLevel="0" collapsed="false">
      <c r="A456" s="1" t="n">
        <v>455</v>
      </c>
      <c r="B456" s="7" t="str">
        <f aca="false">HYPERLINK("https://mncourtfraud.com/file/27-CR-22-7520.pdf","27-CR-22-7520")</f>
        <v>27-CR-22-7520</v>
      </c>
      <c r="C456" s="1" t="n">
        <v>5</v>
      </c>
      <c r="D456" s="2" t="s">
        <v>267</v>
      </c>
      <c r="E456" s="8" t="n">
        <v>45023</v>
      </c>
      <c r="F456" s="2" t="s">
        <v>15</v>
      </c>
      <c r="G456" s="7" t="str">
        <f aca="false">HYPERLINK("https://mncourtfraud.com/file/MCRO_27-CR-22-7520_Order-Evaluation for Competency to Proceed (Rule 20.01)_2023-04-07_20251126170542.pdf","MCRO_27-CR-22-7520_Order-Evaluation for Competency to Proceed (Rule 20.01)_2023-04-07_20251126170542.pdf")</f>
        <v>MCRO_27-CR-22-7520_Order-Evaluation for Competency to Proceed (Rule 20.01)_2023-04-07_20251126170542.pdf</v>
      </c>
      <c r="H456" s="1" t="n">
        <v>4</v>
      </c>
      <c r="I456" s="1" t="s">
        <v>1360</v>
      </c>
      <c r="J456" s="1" t="n">
        <v>1</v>
      </c>
      <c r="K456" s="1" t="n">
        <v>1</v>
      </c>
      <c r="L456" s="2" t="s">
        <v>2144</v>
      </c>
      <c r="M456" s="2" t="s">
        <v>1362</v>
      </c>
      <c r="N456" s="2" t="s">
        <v>2145</v>
      </c>
      <c r="O456" s="2" t="s">
        <v>1364</v>
      </c>
      <c r="P456" s="2" t="s">
        <v>1384</v>
      </c>
      <c r="Q456" s="1" t="n">
        <v>0</v>
      </c>
      <c r="R456" s="2" t="n">
        <v>1105608</v>
      </c>
      <c r="S456" s="2" t="n">
        <v>1121994</v>
      </c>
      <c r="T456" s="2" t="n">
        <v>8533</v>
      </c>
      <c r="U456" s="2" t="n">
        <v>1114141</v>
      </c>
      <c r="V456" s="2" t="n">
        <v>98.55</v>
      </c>
      <c r="W456" s="2" t="s">
        <v>1360</v>
      </c>
    </row>
    <row r="457" customFormat="false" ht="18.7" hidden="false" customHeight="true" outlineLevel="0" collapsed="false">
      <c r="A457" s="1" t="n">
        <v>456</v>
      </c>
      <c r="B457" s="7" t="str">
        <f aca="false">HYPERLINK("https://mncourtfraud.com/file/27-CR-22-7520.pdf","27-CR-22-7520")</f>
        <v>27-CR-22-7520</v>
      </c>
      <c r="C457" s="1" t="n">
        <v>5</v>
      </c>
      <c r="D457" s="2" t="s">
        <v>267</v>
      </c>
      <c r="E457" s="8" t="n">
        <v>45194</v>
      </c>
      <c r="F457" s="2" t="s">
        <v>15</v>
      </c>
      <c r="G457" s="7" t="str">
        <f aca="false">HYPERLINK("https://mncourtfraud.com/file/MCRO_27-CR-22-7520_Order-Evaluation for Competency to Proceed (Rule 20.01)_2023-09-25_20251126170523.pdf","MCRO_27-CR-22-7520_Order-Evaluation for Competency to Proceed (Rule 20.01)_2023-09-25_20251126170523.pdf")</f>
        <v>MCRO_27-CR-22-7520_Order-Evaluation for Competency to Proceed (Rule 20.01)_2023-09-25_20251126170523.pdf</v>
      </c>
      <c r="H457" s="1" t="n">
        <v>4</v>
      </c>
      <c r="I457" s="1" t="s">
        <v>1360</v>
      </c>
      <c r="J457" s="1" t="n">
        <v>1</v>
      </c>
      <c r="K457" s="1" t="n">
        <v>1</v>
      </c>
      <c r="L457" s="2" t="s">
        <v>2146</v>
      </c>
      <c r="M457" s="2" t="s">
        <v>1362</v>
      </c>
      <c r="N457" s="2" t="s">
        <v>2147</v>
      </c>
      <c r="O457" s="2" t="s">
        <v>1364</v>
      </c>
      <c r="P457" s="2" t="s">
        <v>1536</v>
      </c>
      <c r="Q457" s="1" t="n">
        <v>0</v>
      </c>
      <c r="R457" s="2" t="n">
        <v>145789</v>
      </c>
      <c r="S457" s="2" t="n">
        <v>162175</v>
      </c>
      <c r="T457" s="2" t="n">
        <v>4468</v>
      </c>
      <c r="U457" s="2" t="n">
        <v>150257</v>
      </c>
      <c r="V457" s="2" t="n">
        <v>90.17</v>
      </c>
      <c r="W457" s="2" t="s">
        <v>1360</v>
      </c>
    </row>
    <row r="458" customFormat="false" ht="18.7" hidden="false" customHeight="true" outlineLevel="0" collapsed="false">
      <c r="A458" s="1" t="n">
        <v>457</v>
      </c>
      <c r="B458" s="7" t="str">
        <f aca="false">HYPERLINK("https://mncourtfraud.com/file/27-CR-22-7520.pdf","27-CR-22-7520")</f>
        <v>27-CR-22-7520</v>
      </c>
      <c r="C458" s="1" t="n">
        <v>5</v>
      </c>
      <c r="D458" s="2" t="s">
        <v>267</v>
      </c>
      <c r="E458" s="8" t="n">
        <v>44837</v>
      </c>
      <c r="F458" s="2" t="s">
        <v>17</v>
      </c>
      <c r="G458" s="7" t="str">
        <f aca="false">HYPERLINK("https://mncourtfraud.com/file/MCRO_27-CR-22-7520_Returned Mail_2022-10-03_20251126170511.pdf","MCRO_27-CR-22-7520_Returned Mail_2022-10-03_20251126170511.pdf")</f>
        <v>MCRO_27-CR-22-7520_Returned Mail_2022-10-03_20251126170511.pdf</v>
      </c>
      <c r="H458" s="1" t="n">
        <v>4</v>
      </c>
      <c r="I458" s="1" t="s">
        <v>1360</v>
      </c>
      <c r="J458" s="1" t="n">
        <v>1</v>
      </c>
      <c r="K458" s="1" t="n">
        <v>1</v>
      </c>
      <c r="L458" s="2" t="s">
        <v>2148</v>
      </c>
      <c r="M458" s="2" t="s">
        <v>1362</v>
      </c>
      <c r="N458" s="2" t="s">
        <v>2149</v>
      </c>
      <c r="O458" s="2" t="s">
        <v>1364</v>
      </c>
      <c r="P458" s="2" t="s">
        <v>1800</v>
      </c>
      <c r="Q458" s="1" t="n">
        <v>0</v>
      </c>
      <c r="R458" s="2" t="n">
        <v>383472</v>
      </c>
      <c r="S458" s="2" t="n">
        <v>399858</v>
      </c>
      <c r="T458" s="2" t="n">
        <v>8487</v>
      </c>
      <c r="U458" s="2" t="n">
        <v>391959</v>
      </c>
      <c r="V458" s="2" t="n">
        <v>95.99</v>
      </c>
      <c r="W458" s="2" t="s">
        <v>1360</v>
      </c>
    </row>
    <row r="459" customFormat="false" ht="18.7" hidden="false" customHeight="true" outlineLevel="0" collapsed="false">
      <c r="A459" s="1" t="n">
        <v>458</v>
      </c>
      <c r="B459" s="7" t="str">
        <f aca="false">HYPERLINK("https://mncourtfraud.com/file/27-CR-22-8126.pdf","27-CR-22-8126")</f>
        <v>27-CR-22-8126</v>
      </c>
      <c r="C459" s="1" t="n">
        <v>1</v>
      </c>
      <c r="D459" s="2" t="s">
        <v>12</v>
      </c>
      <c r="E459" s="8" t="n">
        <v>45048</v>
      </c>
      <c r="F459" s="2" t="s">
        <v>80</v>
      </c>
      <c r="G459" s="7" t="str">
        <f aca="false">HYPERLINK("https://mncourtfraud.com/file/MCRO_27-CR-22-8126_Finding of Incompetency and Order_2023-05-02_20251126185621.pdf","MCRO_27-CR-22-8126_Finding of Incompetency and Order_2023-05-02_20251126185621.pdf")</f>
        <v>MCRO_27-CR-22-8126_Finding of Incompetency and Order_2023-05-02_20251126185621.pdf</v>
      </c>
      <c r="H459" s="1" t="n">
        <v>9</v>
      </c>
      <c r="I459" s="1" t="s">
        <v>1366</v>
      </c>
      <c r="J459" s="1" t="n">
        <v>1</v>
      </c>
      <c r="K459" s="1" t="n">
        <v>1</v>
      </c>
      <c r="L459" s="2" t="s">
        <v>1491</v>
      </c>
      <c r="M459" s="2" t="s">
        <v>1492</v>
      </c>
      <c r="N459" s="2" t="s">
        <v>1493</v>
      </c>
      <c r="O459" s="2" t="s">
        <v>1494</v>
      </c>
      <c r="P459" s="2" t="s">
        <v>1495</v>
      </c>
      <c r="Q459" s="1" t="n">
        <v>0</v>
      </c>
      <c r="R459" s="2" t="n">
        <v>100288</v>
      </c>
      <c r="S459" s="2" t="n">
        <v>112370</v>
      </c>
      <c r="T459" s="2" t="n">
        <v>48200</v>
      </c>
      <c r="U459" s="2" t="n">
        <v>148488</v>
      </c>
      <c r="V459" s="2" t="n">
        <v>15.21</v>
      </c>
      <c r="W459" s="2" t="s">
        <v>1366</v>
      </c>
    </row>
    <row r="460" customFormat="false" ht="18.7" hidden="false" customHeight="true" outlineLevel="0" collapsed="false">
      <c r="A460" s="1" t="n">
        <v>459</v>
      </c>
      <c r="B460" s="7" t="str">
        <f aca="false">HYPERLINK("https://mncourtfraud.com/file/27-CR-22-8126.pdf","27-CR-22-8126")</f>
        <v>27-CR-22-8126</v>
      </c>
      <c r="C460" s="1" t="n">
        <v>1</v>
      </c>
      <c r="D460" s="2" t="s">
        <v>12</v>
      </c>
      <c r="E460" s="8" t="n">
        <v>45048</v>
      </c>
      <c r="F460" s="2" t="s">
        <v>80</v>
      </c>
      <c r="G460" s="7" t="str">
        <f aca="false">HYPERLINK("https://mncourtfraud.com/file/MCRO_27-CR-22-8126_Finding of Incompetency and Order_2023-05-02_20251126185621.pdf","MCRO_27-CR-22-8126_Finding of Incompetency and Order_2023-05-02_20251126185621.pdf")</f>
        <v>MCRO_27-CR-22-8126_Finding of Incompetency and Order_2023-05-02_20251126185621.pdf</v>
      </c>
      <c r="H460" s="1" t="n">
        <v>9</v>
      </c>
      <c r="I460" s="1" t="s">
        <v>1366</v>
      </c>
      <c r="J460" s="1" t="n">
        <v>2</v>
      </c>
      <c r="K460" s="1" t="n">
        <v>2</v>
      </c>
      <c r="L460" s="2" t="s">
        <v>1367</v>
      </c>
      <c r="M460" s="2" t="s">
        <v>1496</v>
      </c>
      <c r="N460" s="2" t="s">
        <v>1497</v>
      </c>
      <c r="O460" s="2" t="s">
        <v>1494</v>
      </c>
      <c r="P460" s="2" t="s">
        <v>1498</v>
      </c>
      <c r="Q460" s="1" t="n">
        <v>0</v>
      </c>
      <c r="R460" s="2" t="n">
        <v>160968</v>
      </c>
      <c r="S460" s="2" t="n">
        <v>167974</v>
      </c>
      <c r="T460" s="2" t="n">
        <v>59084</v>
      </c>
      <c r="U460" s="2" t="n">
        <v>220052</v>
      </c>
      <c r="V460" s="2" t="n">
        <v>22.53</v>
      </c>
      <c r="W460" s="2" t="s">
        <v>1366</v>
      </c>
    </row>
    <row r="461" customFormat="false" ht="18.7" hidden="false" customHeight="true" outlineLevel="0" collapsed="false">
      <c r="A461" s="1" t="n">
        <v>460</v>
      </c>
      <c r="B461" s="7" t="str">
        <f aca="false">HYPERLINK("https://mncourtfraud.com/file/27-CR-22-8126.pdf","27-CR-22-8126")</f>
        <v>27-CR-22-8126</v>
      </c>
      <c r="C461" s="1" t="n">
        <v>1</v>
      </c>
      <c r="D461" s="2" t="s">
        <v>12</v>
      </c>
      <c r="E461" s="8" t="n">
        <v>45048</v>
      </c>
      <c r="F461" s="2" t="s">
        <v>80</v>
      </c>
      <c r="G461" s="7" t="str">
        <f aca="false">HYPERLINK("https://mncourtfraud.com/file/MCRO_27-CR-22-8126_Finding of Incompetency and Order_2023-05-02_20251126185621.pdf","MCRO_27-CR-22-8126_Finding of Incompetency and Order_2023-05-02_20251126185621.pdf")</f>
        <v>MCRO_27-CR-22-8126_Finding of Incompetency and Order_2023-05-02_20251126185621.pdf</v>
      </c>
      <c r="H461" s="1" t="n">
        <v>9</v>
      </c>
      <c r="I461" s="1" t="s">
        <v>1366</v>
      </c>
      <c r="J461" s="1" t="n">
        <v>3</v>
      </c>
      <c r="K461" s="1" t="n">
        <v>3</v>
      </c>
      <c r="L461" s="2" t="s">
        <v>2150</v>
      </c>
      <c r="M461" s="2" t="s">
        <v>1362</v>
      </c>
      <c r="N461" s="2" t="s">
        <v>2151</v>
      </c>
      <c r="O461" s="2" t="s">
        <v>1364</v>
      </c>
      <c r="P461" s="2" t="s">
        <v>1501</v>
      </c>
      <c r="Q461" s="1" t="n">
        <v>0</v>
      </c>
      <c r="R461" s="2" t="n">
        <v>954849</v>
      </c>
      <c r="S461" s="2" t="n">
        <v>971235</v>
      </c>
      <c r="T461" s="2" t="n">
        <v>5308</v>
      </c>
      <c r="U461" s="2" t="n">
        <v>960157</v>
      </c>
      <c r="V461" s="2" t="n">
        <v>98.32</v>
      </c>
      <c r="W461" s="2" t="s">
        <v>1360</v>
      </c>
    </row>
    <row r="462" customFormat="false" ht="18.7" hidden="false" customHeight="true" outlineLevel="0" collapsed="false">
      <c r="A462" s="1" t="n">
        <v>461</v>
      </c>
      <c r="B462" s="7" t="str">
        <f aca="false">HYPERLINK("https://mncourtfraud.com/file/27-CR-22-8126.pdf","27-CR-22-8126")</f>
        <v>27-CR-22-8126</v>
      </c>
      <c r="C462" s="1" t="n">
        <v>1</v>
      </c>
      <c r="D462" s="2" t="s">
        <v>12</v>
      </c>
      <c r="E462" s="8" t="n">
        <v>45093</v>
      </c>
      <c r="F462" s="2" t="s">
        <v>82</v>
      </c>
      <c r="G462" s="7" t="str">
        <f aca="false">HYPERLINK("https://mncourtfraud.com/file/MCRO_27-CR-22-8126_Notice of Case Reassignment_2023-06-16_20251126185641.pdf","MCRO_27-CR-22-8126_Notice of Case Reassignment_2023-06-16_20251126185641.pdf")</f>
        <v>MCRO_27-CR-22-8126_Notice of Case Reassignment_2023-06-16_20251126185641.pdf</v>
      </c>
      <c r="H462" s="1" t="n">
        <v>3</v>
      </c>
      <c r="I462" s="1" t="s">
        <v>1360</v>
      </c>
      <c r="J462" s="1" t="n">
        <v>1</v>
      </c>
      <c r="K462" s="1" t="n">
        <v>1</v>
      </c>
      <c r="L462" s="2" t="s">
        <v>2152</v>
      </c>
      <c r="M462" s="2" t="s">
        <v>1362</v>
      </c>
      <c r="N462" s="2" t="s">
        <v>2153</v>
      </c>
      <c r="O462" s="2" t="s">
        <v>1364</v>
      </c>
      <c r="P462" s="2" t="s">
        <v>1508</v>
      </c>
      <c r="Q462" s="1" t="n">
        <v>0</v>
      </c>
      <c r="R462" s="2" t="n">
        <v>92688</v>
      </c>
      <c r="S462" s="2" t="n">
        <v>109074</v>
      </c>
      <c r="T462" s="2" t="n">
        <v>4554</v>
      </c>
      <c r="U462" s="2" t="n">
        <v>97242</v>
      </c>
      <c r="V462" s="2" t="n">
        <v>85.58</v>
      </c>
      <c r="W462" s="2" t="s">
        <v>1360</v>
      </c>
    </row>
    <row r="463" customFormat="false" ht="18.7" hidden="false" customHeight="true" outlineLevel="0" collapsed="false">
      <c r="A463" s="1" t="n">
        <v>462</v>
      </c>
      <c r="B463" s="7" t="str">
        <f aca="false">HYPERLINK("https://mncourtfraud.com/file/27-CR-22-8126.pdf","27-CR-22-8126")</f>
        <v>27-CR-22-8126</v>
      </c>
      <c r="C463" s="1" t="n">
        <v>1</v>
      </c>
      <c r="D463" s="2" t="s">
        <v>12</v>
      </c>
      <c r="E463" s="8" t="n">
        <v>44761</v>
      </c>
      <c r="F463" s="2" t="s">
        <v>15</v>
      </c>
      <c r="G463" s="7" t="str">
        <f aca="false">HYPERLINK("https://mncourtfraud.com/file/MCRO_27-CR-22-8126_Order-Evaluation for Competency to Proceed (Rule 20.01)_2022-07-19_20251126185733.pdf","MCRO_27-CR-22-8126_Order-Evaluation for Competency to Proceed (Rule 20.01)_2022-07-19_20251126185733.pdf")</f>
        <v>MCRO_27-CR-22-8126_Order-Evaluation for Competency to Proceed (Rule 20.01)_2022-07-19_20251126185733.pdf</v>
      </c>
      <c r="H463" s="1" t="n">
        <v>4</v>
      </c>
      <c r="I463" s="1" t="s">
        <v>1360</v>
      </c>
      <c r="J463" s="1" t="n">
        <v>1</v>
      </c>
      <c r="K463" s="1" t="n">
        <v>1</v>
      </c>
      <c r="L463" s="2" t="s">
        <v>2154</v>
      </c>
      <c r="M463" s="2" t="s">
        <v>1362</v>
      </c>
      <c r="N463" s="2" t="s">
        <v>2155</v>
      </c>
      <c r="O463" s="2" t="s">
        <v>1364</v>
      </c>
      <c r="P463" s="2" t="s">
        <v>1536</v>
      </c>
      <c r="Q463" s="1" t="n">
        <v>0</v>
      </c>
      <c r="R463" s="2" t="n">
        <v>199673</v>
      </c>
      <c r="S463" s="2" t="n">
        <v>216059</v>
      </c>
      <c r="T463" s="2" t="n">
        <v>4453</v>
      </c>
      <c r="U463" s="2" t="n">
        <v>204126</v>
      </c>
      <c r="V463" s="2" t="n">
        <v>92.57</v>
      </c>
      <c r="W463" s="2" t="s">
        <v>1360</v>
      </c>
    </row>
    <row r="464" customFormat="false" ht="18.7" hidden="false" customHeight="true" outlineLevel="0" collapsed="false">
      <c r="A464" s="1" t="n">
        <v>463</v>
      </c>
      <c r="B464" s="7" t="str">
        <f aca="false">HYPERLINK("https://mncourtfraud.com/file/27-CR-22-8126.pdf","27-CR-22-8126")</f>
        <v>27-CR-22-8126</v>
      </c>
      <c r="C464" s="1" t="n">
        <v>1</v>
      </c>
      <c r="D464" s="2" t="s">
        <v>12</v>
      </c>
      <c r="E464" s="8" t="n">
        <v>44895</v>
      </c>
      <c r="F464" s="2" t="s">
        <v>15</v>
      </c>
      <c r="G464" s="7" t="str">
        <f aca="false">HYPERLINK("https://mncourtfraud.com/file/MCRO_27-CR-22-8126_Order-Evaluation for Competency to Proceed (Rule 20.01)_2022-11-30_20251126185703.pdf","MCRO_27-CR-22-8126_Order-Evaluation for Competency to Proceed (Rule 20.01)_2022-11-30_20251126185703.pdf")</f>
        <v>MCRO_27-CR-22-8126_Order-Evaluation for Competency to Proceed (Rule 20.01)_2022-11-30_20251126185703.pdf</v>
      </c>
      <c r="H464" s="1" t="n">
        <v>4</v>
      </c>
      <c r="I464" s="1" t="s">
        <v>1360</v>
      </c>
      <c r="J464" s="1" t="n">
        <v>1</v>
      </c>
      <c r="K464" s="1" t="n">
        <v>1</v>
      </c>
      <c r="L464" s="2" t="s">
        <v>2156</v>
      </c>
      <c r="M464" s="2" t="s">
        <v>1362</v>
      </c>
      <c r="N464" s="2" t="s">
        <v>2157</v>
      </c>
      <c r="O464" s="2" t="s">
        <v>1364</v>
      </c>
      <c r="P464" s="2" t="s">
        <v>1402</v>
      </c>
      <c r="Q464" s="1" t="n">
        <v>0</v>
      </c>
      <c r="R464" s="2" t="n">
        <v>795532</v>
      </c>
      <c r="S464" s="2" t="n">
        <v>811918</v>
      </c>
      <c r="T464" s="2" t="n">
        <v>5078</v>
      </c>
      <c r="U464" s="2" t="n">
        <v>800610</v>
      </c>
      <c r="V464" s="2" t="n">
        <v>97.99</v>
      </c>
      <c r="W464" s="2" t="s">
        <v>1360</v>
      </c>
    </row>
    <row r="465" customFormat="false" ht="18.7" hidden="false" customHeight="true" outlineLevel="0" collapsed="false">
      <c r="A465" s="1" t="n">
        <v>464</v>
      </c>
      <c r="B465" s="7" t="str">
        <f aca="false">HYPERLINK("https://mncourtfraud.com/file/27-CR-22-8126.pdf","27-CR-22-8126")</f>
        <v>27-CR-22-8126</v>
      </c>
      <c r="C465" s="1" t="n">
        <v>1</v>
      </c>
      <c r="D465" s="2" t="s">
        <v>12</v>
      </c>
      <c r="E465" s="8" t="n">
        <v>45160</v>
      </c>
      <c r="F465" s="2" t="s">
        <v>15</v>
      </c>
      <c r="G465" s="7" t="str">
        <f aca="false">HYPERLINK("https://mncourtfraud.com/file/MCRO_27-CR-22-8126_Order-Evaluation for Competency to Proceed (Rule 20.01)_2023-08-22_20251126185711.pdf","MCRO_27-CR-22-8126_Order-Evaluation for Competency to Proceed (Rule 20.01)_2023-08-22_20251126185711.pdf")</f>
        <v>MCRO_27-CR-22-8126_Order-Evaluation for Competency to Proceed (Rule 20.01)_2023-08-22_20251126185711.pdf</v>
      </c>
      <c r="H465" s="1" t="n">
        <v>6</v>
      </c>
      <c r="I465" s="1" t="s">
        <v>1366</v>
      </c>
      <c r="J465" s="1" t="n">
        <v>1</v>
      </c>
      <c r="K465" s="1" t="n">
        <v>1</v>
      </c>
      <c r="L465" s="2" t="s">
        <v>1367</v>
      </c>
      <c r="M465" s="2" t="s">
        <v>1519</v>
      </c>
      <c r="N465" s="2" t="s">
        <v>1520</v>
      </c>
      <c r="O465" s="2" t="s">
        <v>1494</v>
      </c>
      <c r="P465" s="2" t="s">
        <v>1521</v>
      </c>
      <c r="Q465" s="1" t="n">
        <v>0</v>
      </c>
      <c r="R465" s="2" t="n">
        <v>122115</v>
      </c>
      <c r="S465" s="2" t="n">
        <v>129143</v>
      </c>
      <c r="T465" s="2" t="n">
        <v>87775</v>
      </c>
      <c r="U465" s="2" t="n">
        <v>209890</v>
      </c>
      <c r="V465" s="2" t="n">
        <v>23.95</v>
      </c>
      <c r="W465" s="2" t="s">
        <v>1366</v>
      </c>
    </row>
    <row r="466" customFormat="false" ht="18.7" hidden="false" customHeight="true" outlineLevel="0" collapsed="false">
      <c r="A466" s="1" t="n">
        <v>465</v>
      </c>
      <c r="B466" s="7" t="str">
        <f aca="false">HYPERLINK("https://mncourtfraud.com/file/27-CR-22-8126.pdf","27-CR-22-8126")</f>
        <v>27-CR-22-8126</v>
      </c>
      <c r="C466" s="1" t="n">
        <v>1</v>
      </c>
      <c r="D466" s="2" t="s">
        <v>12</v>
      </c>
      <c r="E466" s="8" t="n">
        <v>45160</v>
      </c>
      <c r="F466" s="2" t="s">
        <v>15</v>
      </c>
      <c r="G466" s="7" t="str">
        <f aca="false">HYPERLINK("https://mncourtfraud.com/file/MCRO_27-CR-22-8126_Order-Evaluation for Competency to Proceed (Rule 20.01)_2023-08-22_20251126185711.pdf","MCRO_27-CR-22-8126_Order-Evaluation for Competency to Proceed (Rule 20.01)_2023-08-22_20251126185711.pdf")</f>
        <v>MCRO_27-CR-22-8126_Order-Evaluation for Competency to Proceed (Rule 20.01)_2023-08-22_20251126185711.pdf</v>
      </c>
      <c r="H466" s="1" t="n">
        <v>6</v>
      </c>
      <c r="I466" s="1" t="s">
        <v>1366</v>
      </c>
      <c r="J466" s="1" t="n">
        <v>2</v>
      </c>
      <c r="K466" s="1" t="n">
        <v>2</v>
      </c>
      <c r="L466" s="2" t="s">
        <v>2158</v>
      </c>
      <c r="M466" s="2" t="s">
        <v>1362</v>
      </c>
      <c r="N466" s="2" t="s">
        <v>2159</v>
      </c>
      <c r="O466" s="2" t="s">
        <v>1364</v>
      </c>
      <c r="P466" s="2" t="s">
        <v>1524</v>
      </c>
      <c r="Q466" s="1" t="n">
        <v>0</v>
      </c>
      <c r="R466" s="2" t="n">
        <v>855042</v>
      </c>
      <c r="S466" s="2" t="n">
        <v>871428</v>
      </c>
      <c r="T466" s="2" t="n">
        <v>4972</v>
      </c>
      <c r="U466" s="2" t="n">
        <v>860014</v>
      </c>
      <c r="V466" s="2" t="n">
        <v>98.13</v>
      </c>
      <c r="W466" s="2" t="s">
        <v>1360</v>
      </c>
    </row>
    <row r="467" customFormat="false" ht="18.7" hidden="false" customHeight="true" outlineLevel="0" collapsed="false">
      <c r="A467" s="1" t="n">
        <v>466</v>
      </c>
      <c r="B467" s="7" t="str">
        <f aca="false">HYPERLINK("https://mncourtfraud.com/file/27-CR-22-8126.pdf","27-CR-22-8126")</f>
        <v>27-CR-22-8126</v>
      </c>
      <c r="C467" s="1" t="n">
        <v>1</v>
      </c>
      <c r="D467" s="2" t="s">
        <v>12</v>
      </c>
      <c r="E467" s="8" t="n">
        <v>45412</v>
      </c>
      <c r="F467" s="2" t="s">
        <v>15</v>
      </c>
      <c r="G467" s="7" t="str">
        <f aca="false">HYPERLINK("https://mncourtfraud.com/file/MCRO_27-CR-22-8126_Order-Evaluation for Competency to Proceed (Rule 20.01)_2024-04-30_20251126185722.pdf","MCRO_27-CR-22-8126_Order-Evaluation for Competency to Proceed (Rule 20.01)_2024-04-30_20251126185722.pdf")</f>
        <v>MCRO_27-CR-22-8126_Order-Evaluation for Competency to Proceed (Rule 20.01)_2024-04-30_20251126185722.pdf</v>
      </c>
      <c r="H467" s="1" t="n">
        <v>4</v>
      </c>
      <c r="I467" s="1" t="s">
        <v>1360</v>
      </c>
      <c r="J467" s="1" t="n">
        <v>1</v>
      </c>
      <c r="K467" s="1" t="n">
        <v>1</v>
      </c>
      <c r="L467" s="2" t="s">
        <v>2160</v>
      </c>
      <c r="M467" s="2" t="s">
        <v>1362</v>
      </c>
      <c r="N467" s="2" t="s">
        <v>2161</v>
      </c>
      <c r="O467" s="2" t="s">
        <v>1364</v>
      </c>
      <c r="P467" s="2" t="s">
        <v>1390</v>
      </c>
      <c r="Q467" s="1" t="n">
        <v>0</v>
      </c>
      <c r="R467" s="2" t="n">
        <v>198663</v>
      </c>
      <c r="S467" s="2" t="n">
        <v>215049</v>
      </c>
      <c r="T467" s="2" t="n">
        <v>4474</v>
      </c>
      <c r="U467" s="2" t="n">
        <v>203137</v>
      </c>
      <c r="V467" s="2" t="n">
        <v>92.54</v>
      </c>
      <c r="W467" s="2" t="s">
        <v>1360</v>
      </c>
    </row>
    <row r="468" customFormat="false" ht="18.7" hidden="false" customHeight="true" outlineLevel="0" collapsed="false">
      <c r="A468" s="1" t="n">
        <v>467</v>
      </c>
      <c r="B468" s="7" t="str">
        <f aca="false">HYPERLINK("https://mncourtfraud.com/file/27-CR-22-8126.pdf","27-CR-22-8126")</f>
        <v>27-CR-22-8126</v>
      </c>
      <c r="C468" s="1" t="n">
        <v>1</v>
      </c>
      <c r="D468" s="2" t="s">
        <v>12</v>
      </c>
      <c r="E468" s="8" t="n">
        <v>45412</v>
      </c>
      <c r="F468" s="2" t="s">
        <v>24</v>
      </c>
      <c r="G468" s="7" t="str">
        <f aca="false">HYPERLINK("https://mncourtfraud.com/file/MCRO_27-CR-22-8126_Order for Conditional Release_2024-04-30_20251126185651.pdf","MCRO_27-CR-22-8126_Order for Conditional Release_2024-04-30_20251126185651.pdf")</f>
        <v>MCRO_27-CR-22-8126_Order for Conditional Release_2024-04-30_20251126185651.pdf</v>
      </c>
      <c r="H468" s="1" t="n">
        <v>4</v>
      </c>
      <c r="I468" s="1" t="s">
        <v>1360</v>
      </c>
      <c r="J468" s="1" t="n">
        <v>1</v>
      </c>
      <c r="K468" s="1" t="n">
        <v>1</v>
      </c>
      <c r="L468" s="2" t="s">
        <v>2162</v>
      </c>
      <c r="M468" s="2" t="s">
        <v>1362</v>
      </c>
      <c r="N468" s="2" t="s">
        <v>2163</v>
      </c>
      <c r="O468" s="2" t="s">
        <v>1364</v>
      </c>
      <c r="P468" s="2" t="s">
        <v>1536</v>
      </c>
      <c r="Q468" s="1" t="n">
        <v>0</v>
      </c>
      <c r="R468" s="2" t="n">
        <v>129679</v>
      </c>
      <c r="S468" s="2" t="n">
        <v>146065</v>
      </c>
      <c r="T468" s="2" t="n">
        <v>4468</v>
      </c>
      <c r="U468" s="2" t="n">
        <v>134147</v>
      </c>
      <c r="V468" s="2" t="n">
        <v>89.11</v>
      </c>
      <c r="W468" s="2" t="s">
        <v>1360</v>
      </c>
    </row>
    <row r="469" customFormat="false" ht="18.7" hidden="false" customHeight="true" outlineLevel="0" collapsed="false">
      <c r="A469" s="1" t="n">
        <v>468</v>
      </c>
      <c r="B469" s="7" t="str">
        <f aca="false">HYPERLINK("https://mncourtfraud.com/file/27-CR-22-8126.pdf","27-CR-22-8126")</f>
        <v>27-CR-22-8126</v>
      </c>
      <c r="C469" s="1" t="n">
        <v>1</v>
      </c>
      <c r="D469" s="2" t="s">
        <v>12</v>
      </c>
      <c r="E469" s="8" t="n">
        <v>44999</v>
      </c>
      <c r="F469" s="2" t="s">
        <v>17</v>
      </c>
      <c r="G469" s="7" t="str">
        <f aca="false">HYPERLINK("https://mncourtfraud.com/file/MCRO_27-CR-22-8126_Returned Mail_2023-03-14_20251126185747.pdf","MCRO_27-CR-22-8126_Returned Mail_2023-03-14_20251126185747.pdf")</f>
        <v>MCRO_27-CR-22-8126_Returned Mail_2023-03-14_20251126185747.pdf</v>
      </c>
      <c r="H469" s="1" t="n">
        <v>4</v>
      </c>
      <c r="I469" s="1" t="s">
        <v>1360</v>
      </c>
      <c r="J469" s="1" t="n">
        <v>1</v>
      </c>
      <c r="K469" s="1" t="n">
        <v>1</v>
      </c>
      <c r="L469" s="2" t="s">
        <v>2164</v>
      </c>
      <c r="M469" s="2" t="s">
        <v>1362</v>
      </c>
      <c r="N469" s="2" t="s">
        <v>2165</v>
      </c>
      <c r="O469" s="2" t="s">
        <v>1364</v>
      </c>
      <c r="P469" s="2" t="s">
        <v>1800</v>
      </c>
      <c r="Q469" s="1" t="n">
        <v>0</v>
      </c>
      <c r="R469" s="2" t="n">
        <v>243024</v>
      </c>
      <c r="S469" s="2" t="n">
        <v>259410</v>
      </c>
      <c r="T469" s="2" t="n">
        <v>8487</v>
      </c>
      <c r="U469" s="2" t="n">
        <v>251511</v>
      </c>
      <c r="V469" s="2" t="n">
        <v>93.88</v>
      </c>
      <c r="W469" s="2" t="s">
        <v>1360</v>
      </c>
    </row>
    <row r="470" customFormat="false" ht="18.7" hidden="false" customHeight="true" outlineLevel="0" collapsed="false">
      <c r="A470" s="1" t="n">
        <v>469</v>
      </c>
      <c r="B470" s="7" t="str">
        <f aca="false">HYPERLINK("https://mncourtfraud.com/file/27-CR-22-8226.pdf","27-CR-22-8226")</f>
        <v>27-CR-22-8226</v>
      </c>
      <c r="C470" s="1" t="n">
        <v>5</v>
      </c>
      <c r="D470" s="2" t="s">
        <v>267</v>
      </c>
      <c r="E470" s="8" t="n">
        <v>44873</v>
      </c>
      <c r="F470" s="2" t="s">
        <v>15</v>
      </c>
      <c r="G470" s="7" t="str">
        <f aca="false">HYPERLINK("https://mncourtfraud.com/file/MCRO_27-CR-22-8226_Order-Evaluation for Competency to Proceed (Rule 20.01)_2022-11-08_20251126170603.pdf","MCRO_27-CR-22-8226_Order-Evaluation for Competency to Proceed (Rule 20.01)_2022-11-08_20251126170603.pdf")</f>
        <v>MCRO_27-CR-22-8226_Order-Evaluation for Competency to Proceed (Rule 20.01)_2022-11-08_20251126170603.pdf</v>
      </c>
      <c r="H470" s="1" t="n">
        <v>4</v>
      </c>
      <c r="I470" s="1" t="s">
        <v>1360</v>
      </c>
      <c r="J470" s="1" t="n">
        <v>1</v>
      </c>
      <c r="K470" s="1" t="n">
        <v>1</v>
      </c>
      <c r="L470" s="2" t="s">
        <v>2166</v>
      </c>
      <c r="M470" s="2" t="s">
        <v>1362</v>
      </c>
      <c r="N470" s="2" t="s">
        <v>2167</v>
      </c>
      <c r="O470" s="2" t="s">
        <v>1364</v>
      </c>
      <c r="P470" s="2" t="s">
        <v>1390</v>
      </c>
      <c r="Q470" s="1" t="n">
        <v>0</v>
      </c>
      <c r="R470" s="2" t="n">
        <v>825187</v>
      </c>
      <c r="S470" s="2" t="n">
        <v>841573</v>
      </c>
      <c r="T470" s="2" t="n">
        <v>4525</v>
      </c>
      <c r="U470" s="2" t="n">
        <v>829712</v>
      </c>
      <c r="V470" s="2" t="n">
        <v>98.06</v>
      </c>
      <c r="W470" s="2" t="s">
        <v>1360</v>
      </c>
    </row>
    <row r="471" customFormat="false" ht="18.7" hidden="false" customHeight="true" outlineLevel="0" collapsed="false">
      <c r="A471" s="1" t="n">
        <v>470</v>
      </c>
      <c r="B471" s="7" t="str">
        <f aca="false">HYPERLINK("https://mncourtfraud.com/file/27-CR-22-8226.pdf","27-CR-22-8226")</f>
        <v>27-CR-22-8226</v>
      </c>
      <c r="C471" s="1" t="n">
        <v>5</v>
      </c>
      <c r="D471" s="2" t="s">
        <v>267</v>
      </c>
      <c r="E471" s="8" t="n">
        <v>45023</v>
      </c>
      <c r="F471" s="2" t="s">
        <v>15</v>
      </c>
      <c r="G471" s="7" t="str">
        <f aca="false">HYPERLINK("https://mncourtfraud.com/file/MCRO_27-CR-22-8226_Order-Evaluation for Competency to Proceed (Rule 20.01)_2023-04-07_20251126170613.pdf","MCRO_27-CR-22-8226_Order-Evaluation for Competency to Proceed (Rule 20.01)_2023-04-07_20251126170613.pdf")</f>
        <v>MCRO_27-CR-22-8226_Order-Evaluation for Competency to Proceed (Rule 20.01)_2023-04-07_20251126170613.pdf</v>
      </c>
      <c r="H471" s="1" t="n">
        <v>4</v>
      </c>
      <c r="I471" s="1" t="s">
        <v>1360</v>
      </c>
      <c r="J471" s="1" t="n">
        <v>1</v>
      </c>
      <c r="K471" s="1" t="n">
        <v>1</v>
      </c>
      <c r="L471" s="2" t="s">
        <v>2168</v>
      </c>
      <c r="M471" s="2" t="s">
        <v>1362</v>
      </c>
      <c r="N471" s="2" t="s">
        <v>2169</v>
      </c>
      <c r="O471" s="2" t="s">
        <v>1364</v>
      </c>
      <c r="P471" s="2" t="s">
        <v>1384</v>
      </c>
      <c r="Q471" s="1" t="n">
        <v>0</v>
      </c>
      <c r="R471" s="2" t="n">
        <v>1101144</v>
      </c>
      <c r="S471" s="2" t="n">
        <v>1117530</v>
      </c>
      <c r="T471" s="2" t="n">
        <v>8533</v>
      </c>
      <c r="U471" s="2" t="n">
        <v>1109677</v>
      </c>
      <c r="V471" s="2" t="n">
        <v>98.54</v>
      </c>
      <c r="W471" s="2" t="s">
        <v>1360</v>
      </c>
    </row>
    <row r="472" customFormat="false" ht="18.7" hidden="false" customHeight="true" outlineLevel="0" collapsed="false">
      <c r="A472" s="1" t="n">
        <v>471</v>
      </c>
      <c r="B472" s="7" t="str">
        <f aca="false">HYPERLINK("https://mncourtfraud.com/file/27-CR-22-8226.pdf","27-CR-22-8226")</f>
        <v>27-CR-22-8226</v>
      </c>
      <c r="C472" s="1" t="n">
        <v>5</v>
      </c>
      <c r="D472" s="2" t="s">
        <v>267</v>
      </c>
      <c r="E472" s="8" t="n">
        <v>45194</v>
      </c>
      <c r="F472" s="2" t="s">
        <v>15</v>
      </c>
      <c r="G472" s="7" t="str">
        <f aca="false">HYPERLINK("https://mncourtfraud.com/file/MCRO_27-CR-22-8226_Order-Evaluation for Competency to Proceed (Rule 20.01)_2023-09-25_20251126170623.pdf","MCRO_27-CR-22-8226_Order-Evaluation for Competency to Proceed (Rule 20.01)_2023-09-25_20251126170623.pdf")</f>
        <v>MCRO_27-CR-22-8226_Order-Evaluation for Competency to Proceed (Rule 20.01)_2023-09-25_20251126170623.pdf</v>
      </c>
      <c r="H472" s="1" t="n">
        <v>4</v>
      </c>
      <c r="I472" s="1" t="s">
        <v>1360</v>
      </c>
      <c r="J472" s="1" t="n">
        <v>1</v>
      </c>
      <c r="K472" s="1" t="n">
        <v>1</v>
      </c>
      <c r="L472" s="2" t="s">
        <v>2170</v>
      </c>
      <c r="M472" s="2" t="s">
        <v>1362</v>
      </c>
      <c r="N472" s="2" t="s">
        <v>2171</v>
      </c>
      <c r="O472" s="2" t="s">
        <v>1364</v>
      </c>
      <c r="P472" s="2" t="s">
        <v>1536</v>
      </c>
      <c r="Q472" s="1" t="n">
        <v>0</v>
      </c>
      <c r="R472" s="2" t="n">
        <v>145789</v>
      </c>
      <c r="S472" s="2" t="n">
        <v>162175</v>
      </c>
      <c r="T472" s="2" t="n">
        <v>4468</v>
      </c>
      <c r="U472" s="2" t="n">
        <v>150257</v>
      </c>
      <c r="V472" s="2" t="n">
        <v>90.17</v>
      </c>
      <c r="W472" s="2" t="s">
        <v>1360</v>
      </c>
    </row>
    <row r="473" customFormat="false" ht="18.7" hidden="false" customHeight="true" outlineLevel="0" collapsed="false">
      <c r="A473" s="1" t="n">
        <v>472</v>
      </c>
      <c r="B473" s="7" t="str">
        <f aca="false">HYPERLINK("https://mncourtfraud.com/file/27-CR-22-8226.pdf","27-CR-22-8226")</f>
        <v>27-CR-22-8226</v>
      </c>
      <c r="C473" s="1" t="n">
        <v>5</v>
      </c>
      <c r="D473" s="2" t="s">
        <v>267</v>
      </c>
      <c r="E473" s="8" t="n">
        <v>44837</v>
      </c>
      <c r="F473" s="2" t="s">
        <v>17</v>
      </c>
      <c r="G473" s="7" t="str">
        <f aca="false">HYPERLINK("https://mncourtfraud.com/file/MCRO_27-CR-22-8226_Returned Mail_2022-10-03_20251126170634.pdf","MCRO_27-CR-22-8226_Returned Mail_2022-10-03_20251126170634.pdf")</f>
        <v>MCRO_27-CR-22-8226_Returned Mail_2022-10-03_20251126170634.pdf</v>
      </c>
      <c r="H473" s="1" t="n">
        <v>4</v>
      </c>
      <c r="I473" s="1" t="s">
        <v>1360</v>
      </c>
      <c r="J473" s="1" t="n">
        <v>1</v>
      </c>
      <c r="K473" s="1" t="n">
        <v>1</v>
      </c>
      <c r="L473" s="2" t="s">
        <v>2172</v>
      </c>
      <c r="M473" s="2" t="s">
        <v>1362</v>
      </c>
      <c r="N473" s="2" t="s">
        <v>2173</v>
      </c>
      <c r="O473" s="2" t="s">
        <v>1364</v>
      </c>
      <c r="P473" s="2" t="s">
        <v>1907</v>
      </c>
      <c r="Q473" s="1" t="n">
        <v>0</v>
      </c>
      <c r="R473" s="2" t="n">
        <v>360313</v>
      </c>
      <c r="S473" s="2" t="n">
        <v>376699</v>
      </c>
      <c r="T473" s="2" t="n">
        <v>4520</v>
      </c>
      <c r="U473" s="2" t="n">
        <v>364833</v>
      </c>
      <c r="V473" s="2" t="n">
        <v>95.7</v>
      </c>
      <c r="W473" s="2" t="s">
        <v>1360</v>
      </c>
    </row>
    <row r="474" customFormat="false" ht="18.7" hidden="false" customHeight="true" outlineLevel="0" collapsed="false">
      <c r="A474" s="1" t="n">
        <v>473</v>
      </c>
      <c r="B474" s="7" t="str">
        <f aca="false">HYPERLINK("https://mncourtfraud.com/file/27-CR-22-8378.pdf","27-CR-22-8378")</f>
        <v>27-CR-22-8378</v>
      </c>
      <c r="C474" s="1" t="n">
        <v>1</v>
      </c>
      <c r="D474" s="2" t="s">
        <v>12</v>
      </c>
      <c r="E474" s="8" t="n">
        <v>45048</v>
      </c>
      <c r="F474" s="2" t="s">
        <v>80</v>
      </c>
      <c r="G474" s="7" t="str">
        <f aca="false">HYPERLINK("https://mncourtfraud.com/file/MCRO_27-CR-22-8378_Finding of Incompetency and Order_2023-05-02_20251126185812.pdf","MCRO_27-CR-22-8378_Finding of Incompetency and Order_2023-05-02_20251126185812.pdf")</f>
        <v>MCRO_27-CR-22-8378_Finding of Incompetency and Order_2023-05-02_20251126185812.pdf</v>
      </c>
      <c r="H474" s="1" t="n">
        <v>9</v>
      </c>
      <c r="I474" s="1" t="s">
        <v>1366</v>
      </c>
      <c r="J474" s="1" t="n">
        <v>1</v>
      </c>
      <c r="K474" s="1" t="n">
        <v>1</v>
      </c>
      <c r="L474" s="2" t="s">
        <v>1491</v>
      </c>
      <c r="M474" s="2" t="s">
        <v>1492</v>
      </c>
      <c r="N474" s="2" t="s">
        <v>1493</v>
      </c>
      <c r="O474" s="2" t="s">
        <v>1494</v>
      </c>
      <c r="P474" s="2" t="s">
        <v>1495</v>
      </c>
      <c r="Q474" s="1" t="n">
        <v>0</v>
      </c>
      <c r="R474" s="2" t="n">
        <v>100288</v>
      </c>
      <c r="S474" s="2" t="n">
        <v>112370</v>
      </c>
      <c r="T474" s="2" t="n">
        <v>48200</v>
      </c>
      <c r="U474" s="2" t="n">
        <v>148488</v>
      </c>
      <c r="V474" s="2" t="n">
        <v>15.21</v>
      </c>
      <c r="W474" s="2" t="s">
        <v>1366</v>
      </c>
    </row>
    <row r="475" customFormat="false" ht="18.7" hidden="false" customHeight="true" outlineLevel="0" collapsed="false">
      <c r="A475" s="1" t="n">
        <v>474</v>
      </c>
      <c r="B475" s="7" t="str">
        <f aca="false">HYPERLINK("https://mncourtfraud.com/file/27-CR-22-8378.pdf","27-CR-22-8378")</f>
        <v>27-CR-22-8378</v>
      </c>
      <c r="C475" s="1" t="n">
        <v>1</v>
      </c>
      <c r="D475" s="2" t="s">
        <v>12</v>
      </c>
      <c r="E475" s="8" t="n">
        <v>45048</v>
      </c>
      <c r="F475" s="2" t="s">
        <v>80</v>
      </c>
      <c r="G475" s="7" t="str">
        <f aca="false">HYPERLINK("https://mncourtfraud.com/file/MCRO_27-CR-22-8378_Finding of Incompetency and Order_2023-05-02_20251126185812.pdf","MCRO_27-CR-22-8378_Finding of Incompetency and Order_2023-05-02_20251126185812.pdf")</f>
        <v>MCRO_27-CR-22-8378_Finding of Incompetency and Order_2023-05-02_20251126185812.pdf</v>
      </c>
      <c r="H475" s="1" t="n">
        <v>9</v>
      </c>
      <c r="I475" s="1" t="s">
        <v>1366</v>
      </c>
      <c r="J475" s="1" t="n">
        <v>2</v>
      </c>
      <c r="K475" s="1" t="n">
        <v>2</v>
      </c>
      <c r="L475" s="2" t="s">
        <v>1367</v>
      </c>
      <c r="M475" s="2" t="s">
        <v>1496</v>
      </c>
      <c r="N475" s="2" t="s">
        <v>1497</v>
      </c>
      <c r="O475" s="2" t="s">
        <v>1494</v>
      </c>
      <c r="P475" s="2" t="s">
        <v>1498</v>
      </c>
      <c r="Q475" s="1" t="n">
        <v>0</v>
      </c>
      <c r="R475" s="2" t="n">
        <v>160968</v>
      </c>
      <c r="S475" s="2" t="n">
        <v>167974</v>
      </c>
      <c r="T475" s="2" t="n">
        <v>59084</v>
      </c>
      <c r="U475" s="2" t="n">
        <v>220052</v>
      </c>
      <c r="V475" s="2" t="n">
        <v>22.53</v>
      </c>
      <c r="W475" s="2" t="s">
        <v>1366</v>
      </c>
    </row>
    <row r="476" customFormat="false" ht="18.7" hidden="false" customHeight="true" outlineLevel="0" collapsed="false">
      <c r="A476" s="1" t="n">
        <v>475</v>
      </c>
      <c r="B476" s="7" t="str">
        <f aca="false">HYPERLINK("https://mncourtfraud.com/file/27-CR-22-8378.pdf","27-CR-22-8378")</f>
        <v>27-CR-22-8378</v>
      </c>
      <c r="C476" s="1" t="n">
        <v>1</v>
      </c>
      <c r="D476" s="2" t="s">
        <v>12</v>
      </c>
      <c r="E476" s="8" t="n">
        <v>45048</v>
      </c>
      <c r="F476" s="2" t="s">
        <v>80</v>
      </c>
      <c r="G476" s="7" t="str">
        <f aca="false">HYPERLINK("https://mncourtfraud.com/file/MCRO_27-CR-22-8378_Finding of Incompetency and Order_2023-05-02_20251126185812.pdf","MCRO_27-CR-22-8378_Finding of Incompetency and Order_2023-05-02_20251126185812.pdf")</f>
        <v>MCRO_27-CR-22-8378_Finding of Incompetency and Order_2023-05-02_20251126185812.pdf</v>
      </c>
      <c r="H476" s="1" t="n">
        <v>9</v>
      </c>
      <c r="I476" s="1" t="s">
        <v>1366</v>
      </c>
      <c r="J476" s="1" t="n">
        <v>3</v>
      </c>
      <c r="K476" s="1" t="n">
        <v>3</v>
      </c>
      <c r="L476" s="2" t="s">
        <v>2174</v>
      </c>
      <c r="M476" s="2" t="s">
        <v>1362</v>
      </c>
      <c r="N476" s="2" t="s">
        <v>2175</v>
      </c>
      <c r="O476" s="2" t="s">
        <v>1364</v>
      </c>
      <c r="P476" s="2" t="s">
        <v>1501</v>
      </c>
      <c r="Q476" s="1" t="n">
        <v>0</v>
      </c>
      <c r="R476" s="2" t="n">
        <v>954852</v>
      </c>
      <c r="S476" s="2" t="n">
        <v>971238</v>
      </c>
      <c r="T476" s="2" t="n">
        <v>5310</v>
      </c>
      <c r="U476" s="2" t="n">
        <v>960162</v>
      </c>
      <c r="V476" s="2" t="n">
        <v>98.32</v>
      </c>
      <c r="W476" s="2" t="s">
        <v>1360</v>
      </c>
    </row>
    <row r="477" customFormat="false" ht="18.7" hidden="false" customHeight="true" outlineLevel="0" collapsed="false">
      <c r="A477" s="1" t="n">
        <v>476</v>
      </c>
      <c r="B477" s="7" t="str">
        <f aca="false">HYPERLINK("https://mncourtfraud.com/file/27-CR-22-8378.pdf","27-CR-22-8378")</f>
        <v>27-CR-22-8378</v>
      </c>
      <c r="C477" s="1" t="n">
        <v>1</v>
      </c>
      <c r="D477" s="2" t="s">
        <v>12</v>
      </c>
      <c r="E477" s="8" t="n">
        <v>45093</v>
      </c>
      <c r="F477" s="2" t="s">
        <v>82</v>
      </c>
      <c r="G477" s="7" t="str">
        <f aca="false">HYPERLINK("https://mncourtfraud.com/file/MCRO_27-CR-22-8378_Notice of Case Reassignment_2023-06-16_20251126185824.pdf","MCRO_27-CR-22-8378_Notice of Case Reassignment_2023-06-16_20251126185824.pdf")</f>
        <v>MCRO_27-CR-22-8378_Notice of Case Reassignment_2023-06-16_20251126185824.pdf</v>
      </c>
      <c r="H477" s="1" t="n">
        <v>3</v>
      </c>
      <c r="I477" s="1" t="s">
        <v>1360</v>
      </c>
      <c r="J477" s="1" t="n">
        <v>1</v>
      </c>
      <c r="K477" s="1" t="n">
        <v>1</v>
      </c>
      <c r="L477" s="2" t="s">
        <v>2176</v>
      </c>
      <c r="M477" s="2" t="s">
        <v>1362</v>
      </c>
      <c r="N477" s="2" t="s">
        <v>2177</v>
      </c>
      <c r="O477" s="2" t="s">
        <v>1364</v>
      </c>
      <c r="P477" s="2" t="s">
        <v>1508</v>
      </c>
      <c r="Q477" s="1" t="n">
        <v>0</v>
      </c>
      <c r="R477" s="2" t="n">
        <v>92687</v>
      </c>
      <c r="S477" s="2" t="n">
        <v>109073</v>
      </c>
      <c r="T477" s="2" t="n">
        <v>4555</v>
      </c>
      <c r="U477" s="2" t="n">
        <v>97242</v>
      </c>
      <c r="V477" s="2" t="n">
        <v>85.58</v>
      </c>
      <c r="W477" s="2" t="s">
        <v>1360</v>
      </c>
    </row>
    <row r="478" customFormat="false" ht="18.7" hidden="false" customHeight="true" outlineLevel="0" collapsed="false">
      <c r="A478" s="1" t="n">
        <v>477</v>
      </c>
      <c r="B478" s="7" t="str">
        <f aca="false">HYPERLINK("https://mncourtfraud.com/file/27-CR-22-8378.pdf","27-CR-22-8378")</f>
        <v>27-CR-22-8378</v>
      </c>
      <c r="C478" s="1" t="n">
        <v>1</v>
      </c>
      <c r="D478" s="2" t="s">
        <v>12</v>
      </c>
      <c r="E478" s="8" t="n">
        <v>44761</v>
      </c>
      <c r="F478" s="2" t="s">
        <v>15</v>
      </c>
      <c r="G478" s="7" t="str">
        <f aca="false">HYPERLINK("https://mncourtfraud.com/file/MCRO_27-CR-22-8378_Order-Evaluation for Competency to Proceed (Rule 20.01)_2022-07-19_20251126185857.pdf","MCRO_27-CR-22-8378_Order-Evaluation for Competency to Proceed (Rule 20.01)_2022-07-19_20251126185857.pdf")</f>
        <v>MCRO_27-CR-22-8378_Order-Evaluation for Competency to Proceed (Rule 20.01)_2022-07-19_20251126185857.pdf</v>
      </c>
      <c r="H478" s="1" t="n">
        <v>4</v>
      </c>
      <c r="I478" s="1" t="s">
        <v>1360</v>
      </c>
      <c r="J478" s="1" t="n">
        <v>1</v>
      </c>
      <c r="K478" s="1" t="n">
        <v>1</v>
      </c>
      <c r="L478" s="2" t="s">
        <v>2178</v>
      </c>
      <c r="M478" s="2" t="s">
        <v>1362</v>
      </c>
      <c r="N478" s="2" t="s">
        <v>2179</v>
      </c>
      <c r="O478" s="2" t="s">
        <v>1364</v>
      </c>
      <c r="P478" s="2" t="s">
        <v>1536</v>
      </c>
      <c r="Q478" s="1" t="n">
        <v>0</v>
      </c>
      <c r="R478" s="2" t="n">
        <v>199675</v>
      </c>
      <c r="S478" s="2" t="n">
        <v>216061</v>
      </c>
      <c r="T478" s="2" t="n">
        <v>4453</v>
      </c>
      <c r="U478" s="2" t="n">
        <v>204128</v>
      </c>
      <c r="V478" s="2" t="n">
        <v>92.57</v>
      </c>
      <c r="W478" s="2" t="s">
        <v>1360</v>
      </c>
    </row>
    <row r="479" customFormat="false" ht="18.7" hidden="false" customHeight="true" outlineLevel="0" collapsed="false">
      <c r="A479" s="1" t="n">
        <v>478</v>
      </c>
      <c r="B479" s="7" t="str">
        <f aca="false">HYPERLINK("https://mncourtfraud.com/file/27-CR-22-8378.pdf","27-CR-22-8378")</f>
        <v>27-CR-22-8378</v>
      </c>
      <c r="C479" s="1" t="n">
        <v>1</v>
      </c>
      <c r="D479" s="2" t="s">
        <v>12</v>
      </c>
      <c r="E479" s="8" t="n">
        <v>44895</v>
      </c>
      <c r="F479" s="2" t="s">
        <v>15</v>
      </c>
      <c r="G479" s="7" t="str">
        <f aca="false">HYPERLINK("https://mncourtfraud.com/file/MCRO_27-CR-22-8378_Order-Evaluation for Competency to Proceed (Rule 20.01)_2022-11-30_20251126185908.pdf","MCRO_27-CR-22-8378_Order-Evaluation for Competency to Proceed (Rule 20.01)_2022-11-30_20251126185908.pdf")</f>
        <v>MCRO_27-CR-22-8378_Order-Evaluation for Competency to Proceed (Rule 20.01)_2022-11-30_20251126185908.pdf</v>
      </c>
      <c r="H479" s="1" t="n">
        <v>4</v>
      </c>
      <c r="I479" s="1" t="s">
        <v>1360</v>
      </c>
      <c r="J479" s="1" t="n">
        <v>1</v>
      </c>
      <c r="K479" s="1" t="n">
        <v>1</v>
      </c>
      <c r="L479" s="2" t="s">
        <v>2180</v>
      </c>
      <c r="M479" s="2" t="s">
        <v>1362</v>
      </c>
      <c r="N479" s="2" t="s">
        <v>2181</v>
      </c>
      <c r="O479" s="2" t="s">
        <v>1364</v>
      </c>
      <c r="P479" s="2" t="s">
        <v>1402</v>
      </c>
      <c r="Q479" s="1" t="n">
        <v>0</v>
      </c>
      <c r="R479" s="2" t="n">
        <v>795534</v>
      </c>
      <c r="S479" s="2" t="n">
        <v>811920</v>
      </c>
      <c r="T479" s="2" t="n">
        <v>5078</v>
      </c>
      <c r="U479" s="2" t="n">
        <v>800612</v>
      </c>
      <c r="V479" s="2" t="n">
        <v>97.99</v>
      </c>
      <c r="W479" s="2" t="s">
        <v>1360</v>
      </c>
    </row>
    <row r="480" customFormat="false" ht="18.7" hidden="false" customHeight="true" outlineLevel="0" collapsed="false">
      <c r="A480" s="1" t="n">
        <v>479</v>
      </c>
      <c r="B480" s="7" t="str">
        <f aca="false">HYPERLINK("https://mncourtfraud.com/file/27-CR-22-8378.pdf","27-CR-22-8378")</f>
        <v>27-CR-22-8378</v>
      </c>
      <c r="C480" s="1" t="n">
        <v>1</v>
      </c>
      <c r="D480" s="2" t="s">
        <v>12</v>
      </c>
      <c r="E480" s="8" t="n">
        <v>45160</v>
      </c>
      <c r="F480" s="2" t="s">
        <v>15</v>
      </c>
      <c r="G480" s="7" t="str">
        <f aca="false">HYPERLINK("https://mncourtfraud.com/file/MCRO_27-CR-22-8378_Order-Evaluation for Competency to Proceed (Rule 20.01)_2023-08-22_20251126185920.pdf","MCRO_27-CR-22-8378_Order-Evaluation for Competency to Proceed (Rule 20.01)_2023-08-22_20251126185920.pdf")</f>
        <v>MCRO_27-CR-22-8378_Order-Evaluation for Competency to Proceed (Rule 20.01)_2023-08-22_20251126185920.pdf</v>
      </c>
      <c r="H480" s="1" t="n">
        <v>6</v>
      </c>
      <c r="I480" s="1" t="s">
        <v>1366</v>
      </c>
      <c r="J480" s="1" t="n">
        <v>1</v>
      </c>
      <c r="K480" s="1" t="n">
        <v>1</v>
      </c>
      <c r="L480" s="2" t="s">
        <v>1367</v>
      </c>
      <c r="M480" s="2" t="s">
        <v>1519</v>
      </c>
      <c r="N480" s="2" t="s">
        <v>1520</v>
      </c>
      <c r="O480" s="2" t="s">
        <v>1494</v>
      </c>
      <c r="P480" s="2" t="s">
        <v>1521</v>
      </c>
      <c r="Q480" s="1" t="n">
        <v>0</v>
      </c>
      <c r="R480" s="2" t="n">
        <v>122115</v>
      </c>
      <c r="S480" s="2" t="n">
        <v>129143</v>
      </c>
      <c r="T480" s="2" t="n">
        <v>87775</v>
      </c>
      <c r="U480" s="2" t="n">
        <v>209890</v>
      </c>
      <c r="V480" s="2" t="n">
        <v>23.95</v>
      </c>
      <c r="W480" s="2" t="s">
        <v>1366</v>
      </c>
    </row>
    <row r="481" customFormat="false" ht="18.7" hidden="false" customHeight="true" outlineLevel="0" collapsed="false">
      <c r="A481" s="1" t="n">
        <v>480</v>
      </c>
      <c r="B481" s="7" t="str">
        <f aca="false">HYPERLINK("https://mncourtfraud.com/file/27-CR-22-8378.pdf","27-CR-22-8378")</f>
        <v>27-CR-22-8378</v>
      </c>
      <c r="C481" s="1" t="n">
        <v>1</v>
      </c>
      <c r="D481" s="2" t="s">
        <v>12</v>
      </c>
      <c r="E481" s="8" t="n">
        <v>45160</v>
      </c>
      <c r="F481" s="2" t="s">
        <v>15</v>
      </c>
      <c r="G481" s="7" t="str">
        <f aca="false">HYPERLINK("https://mncourtfraud.com/file/MCRO_27-CR-22-8378_Order-Evaluation for Competency to Proceed (Rule 20.01)_2023-08-22_20251126185920.pdf","MCRO_27-CR-22-8378_Order-Evaluation for Competency to Proceed (Rule 20.01)_2023-08-22_20251126185920.pdf")</f>
        <v>MCRO_27-CR-22-8378_Order-Evaluation for Competency to Proceed (Rule 20.01)_2023-08-22_20251126185920.pdf</v>
      </c>
      <c r="H481" s="1" t="n">
        <v>6</v>
      </c>
      <c r="I481" s="1" t="s">
        <v>1366</v>
      </c>
      <c r="J481" s="1" t="n">
        <v>2</v>
      </c>
      <c r="K481" s="1" t="n">
        <v>2</v>
      </c>
      <c r="L481" s="2" t="s">
        <v>2182</v>
      </c>
      <c r="M481" s="2" t="s">
        <v>1362</v>
      </c>
      <c r="N481" s="2" t="s">
        <v>2183</v>
      </c>
      <c r="O481" s="2" t="s">
        <v>1364</v>
      </c>
      <c r="P481" s="2" t="s">
        <v>1524</v>
      </c>
      <c r="Q481" s="1" t="n">
        <v>0</v>
      </c>
      <c r="R481" s="2" t="n">
        <v>855043</v>
      </c>
      <c r="S481" s="2" t="n">
        <v>871429</v>
      </c>
      <c r="T481" s="2" t="n">
        <v>4973</v>
      </c>
      <c r="U481" s="2" t="n">
        <v>860016</v>
      </c>
      <c r="V481" s="2" t="n">
        <v>98.13</v>
      </c>
      <c r="W481" s="2" t="s">
        <v>1360</v>
      </c>
    </row>
    <row r="482" customFormat="false" ht="18.7" hidden="false" customHeight="true" outlineLevel="0" collapsed="false">
      <c r="A482" s="1" t="n">
        <v>481</v>
      </c>
      <c r="B482" s="7" t="str">
        <f aca="false">HYPERLINK("https://mncourtfraud.com/file/27-CR-22-8378.pdf","27-CR-22-8378")</f>
        <v>27-CR-22-8378</v>
      </c>
      <c r="C482" s="1" t="n">
        <v>1</v>
      </c>
      <c r="D482" s="2" t="s">
        <v>12</v>
      </c>
      <c r="E482" s="8" t="n">
        <v>45412</v>
      </c>
      <c r="F482" s="2" t="s">
        <v>15</v>
      </c>
      <c r="G482" s="7" t="str">
        <f aca="false">HYPERLINK("https://mncourtfraud.com/file/MCRO_27-CR-22-8378_Order-Evaluation for Competency to Proceed (Rule 20.01)_2024-04-30_20251126185849.pdf","MCRO_27-CR-22-8378_Order-Evaluation for Competency to Proceed (Rule 20.01)_2024-04-30_20251126185849.pdf")</f>
        <v>MCRO_27-CR-22-8378_Order-Evaluation for Competency to Proceed (Rule 20.01)_2024-04-30_20251126185849.pdf</v>
      </c>
      <c r="H482" s="1" t="n">
        <v>4</v>
      </c>
      <c r="I482" s="1" t="s">
        <v>1360</v>
      </c>
      <c r="J482" s="1" t="n">
        <v>1</v>
      </c>
      <c r="K482" s="1" t="n">
        <v>1</v>
      </c>
      <c r="L482" s="2" t="s">
        <v>2184</v>
      </c>
      <c r="M482" s="2" t="s">
        <v>1362</v>
      </c>
      <c r="N482" s="2" t="s">
        <v>2185</v>
      </c>
      <c r="O482" s="2" t="s">
        <v>1364</v>
      </c>
      <c r="P482" s="2" t="s">
        <v>1390</v>
      </c>
      <c r="Q482" s="1" t="n">
        <v>0</v>
      </c>
      <c r="R482" s="2" t="n">
        <v>198658</v>
      </c>
      <c r="S482" s="2" t="n">
        <v>215044</v>
      </c>
      <c r="T482" s="2" t="n">
        <v>4474</v>
      </c>
      <c r="U482" s="2" t="n">
        <v>203132</v>
      </c>
      <c r="V482" s="2" t="n">
        <v>92.54</v>
      </c>
      <c r="W482" s="2" t="s">
        <v>1360</v>
      </c>
    </row>
    <row r="483" customFormat="false" ht="18.7" hidden="false" customHeight="true" outlineLevel="0" collapsed="false">
      <c r="A483" s="1" t="n">
        <v>482</v>
      </c>
      <c r="B483" s="7" t="str">
        <f aca="false">HYPERLINK("https://mncourtfraud.com/file/27-CR-22-8378.pdf","27-CR-22-8378")</f>
        <v>27-CR-22-8378</v>
      </c>
      <c r="C483" s="1" t="n">
        <v>1</v>
      </c>
      <c r="D483" s="2" t="s">
        <v>12</v>
      </c>
      <c r="E483" s="8" t="n">
        <v>45412</v>
      </c>
      <c r="F483" s="2" t="s">
        <v>24</v>
      </c>
      <c r="G483" s="7" t="str">
        <f aca="false">HYPERLINK("https://mncourtfraud.com/file/MCRO_27-CR-22-8378_Order for Conditional Release_2024-04-30_20251126185838.pdf","MCRO_27-CR-22-8378_Order for Conditional Release_2024-04-30_20251126185838.pdf")</f>
        <v>MCRO_27-CR-22-8378_Order for Conditional Release_2024-04-30_20251126185838.pdf</v>
      </c>
      <c r="H483" s="1" t="n">
        <v>4</v>
      </c>
      <c r="I483" s="1" t="s">
        <v>1360</v>
      </c>
      <c r="J483" s="1" t="n">
        <v>1</v>
      </c>
      <c r="K483" s="1" t="n">
        <v>1</v>
      </c>
      <c r="L483" s="2" t="s">
        <v>2186</v>
      </c>
      <c r="M483" s="2" t="s">
        <v>1362</v>
      </c>
      <c r="N483" s="2" t="s">
        <v>2187</v>
      </c>
      <c r="O483" s="2" t="s">
        <v>1364</v>
      </c>
      <c r="P483" s="2" t="s">
        <v>1536</v>
      </c>
      <c r="Q483" s="1" t="n">
        <v>0</v>
      </c>
      <c r="R483" s="2" t="n">
        <v>129678</v>
      </c>
      <c r="S483" s="2" t="n">
        <v>146064</v>
      </c>
      <c r="T483" s="2" t="n">
        <v>4468</v>
      </c>
      <c r="U483" s="2" t="n">
        <v>134146</v>
      </c>
      <c r="V483" s="2" t="n">
        <v>89.11</v>
      </c>
      <c r="W483" s="2" t="s">
        <v>1360</v>
      </c>
    </row>
    <row r="484" customFormat="false" ht="18.7" hidden="false" customHeight="true" outlineLevel="0" collapsed="false">
      <c r="A484" s="1" t="n">
        <v>483</v>
      </c>
      <c r="B484" s="7" t="str">
        <f aca="false">HYPERLINK("https://mncourtfraud.com/file/27-CR-22-9930.pdf","27-CR-22-9930")</f>
        <v>27-CR-22-9930</v>
      </c>
      <c r="C484" s="1" t="n">
        <v>1</v>
      </c>
      <c r="D484" s="2" t="s">
        <v>12</v>
      </c>
      <c r="E484" s="8" t="n">
        <v>45048</v>
      </c>
      <c r="F484" s="2" t="s">
        <v>80</v>
      </c>
      <c r="G484" s="7" t="str">
        <f aca="false">HYPERLINK("https://mncourtfraud.com/file/MCRO_27-CR-22-9930_Finding of Incompetency and Order_2023-05-02_20251126185948.pdf","MCRO_27-CR-22-9930_Finding of Incompetency and Order_2023-05-02_20251126185948.pdf")</f>
        <v>MCRO_27-CR-22-9930_Finding of Incompetency and Order_2023-05-02_20251126185948.pdf</v>
      </c>
      <c r="H484" s="1" t="n">
        <v>9</v>
      </c>
      <c r="I484" s="1" t="s">
        <v>1366</v>
      </c>
      <c r="J484" s="1" t="n">
        <v>1</v>
      </c>
      <c r="K484" s="1" t="n">
        <v>1</v>
      </c>
      <c r="L484" s="2" t="s">
        <v>1491</v>
      </c>
      <c r="M484" s="2" t="s">
        <v>1492</v>
      </c>
      <c r="N484" s="2" t="s">
        <v>1493</v>
      </c>
      <c r="O484" s="2" t="s">
        <v>1494</v>
      </c>
      <c r="P484" s="2" t="s">
        <v>1495</v>
      </c>
      <c r="Q484" s="1" t="n">
        <v>0</v>
      </c>
      <c r="R484" s="2" t="n">
        <v>100288</v>
      </c>
      <c r="S484" s="2" t="n">
        <v>112370</v>
      </c>
      <c r="T484" s="2" t="n">
        <v>48200</v>
      </c>
      <c r="U484" s="2" t="n">
        <v>148488</v>
      </c>
      <c r="V484" s="2" t="n">
        <v>15.21</v>
      </c>
      <c r="W484" s="2" t="s">
        <v>1366</v>
      </c>
    </row>
    <row r="485" customFormat="false" ht="18.7" hidden="false" customHeight="true" outlineLevel="0" collapsed="false">
      <c r="A485" s="1" t="n">
        <v>484</v>
      </c>
      <c r="B485" s="7" t="str">
        <f aca="false">HYPERLINK("https://mncourtfraud.com/file/27-CR-22-9930.pdf","27-CR-22-9930")</f>
        <v>27-CR-22-9930</v>
      </c>
      <c r="C485" s="1" t="n">
        <v>1</v>
      </c>
      <c r="D485" s="2" t="s">
        <v>12</v>
      </c>
      <c r="E485" s="8" t="n">
        <v>45048</v>
      </c>
      <c r="F485" s="2" t="s">
        <v>80</v>
      </c>
      <c r="G485" s="7" t="str">
        <f aca="false">HYPERLINK("https://mncourtfraud.com/file/MCRO_27-CR-22-9930_Finding of Incompetency and Order_2023-05-02_20251126185948.pdf","MCRO_27-CR-22-9930_Finding of Incompetency and Order_2023-05-02_20251126185948.pdf")</f>
        <v>MCRO_27-CR-22-9930_Finding of Incompetency and Order_2023-05-02_20251126185948.pdf</v>
      </c>
      <c r="H485" s="1" t="n">
        <v>9</v>
      </c>
      <c r="I485" s="1" t="s">
        <v>1366</v>
      </c>
      <c r="J485" s="1" t="n">
        <v>2</v>
      </c>
      <c r="K485" s="1" t="n">
        <v>2</v>
      </c>
      <c r="L485" s="2" t="s">
        <v>1367</v>
      </c>
      <c r="M485" s="2" t="s">
        <v>1496</v>
      </c>
      <c r="N485" s="2" t="s">
        <v>1497</v>
      </c>
      <c r="O485" s="2" t="s">
        <v>1494</v>
      </c>
      <c r="P485" s="2" t="s">
        <v>1498</v>
      </c>
      <c r="Q485" s="1" t="n">
        <v>0</v>
      </c>
      <c r="R485" s="2" t="n">
        <v>160968</v>
      </c>
      <c r="S485" s="2" t="n">
        <v>167974</v>
      </c>
      <c r="T485" s="2" t="n">
        <v>59084</v>
      </c>
      <c r="U485" s="2" t="n">
        <v>220052</v>
      </c>
      <c r="V485" s="2" t="n">
        <v>22.53</v>
      </c>
      <c r="W485" s="2" t="s">
        <v>1366</v>
      </c>
    </row>
    <row r="486" customFormat="false" ht="18.7" hidden="false" customHeight="true" outlineLevel="0" collapsed="false">
      <c r="A486" s="1" t="n">
        <v>485</v>
      </c>
      <c r="B486" s="7" t="str">
        <f aca="false">HYPERLINK("https://mncourtfraud.com/file/27-CR-22-9930.pdf","27-CR-22-9930")</f>
        <v>27-CR-22-9930</v>
      </c>
      <c r="C486" s="1" t="n">
        <v>1</v>
      </c>
      <c r="D486" s="2" t="s">
        <v>12</v>
      </c>
      <c r="E486" s="8" t="n">
        <v>45048</v>
      </c>
      <c r="F486" s="2" t="s">
        <v>80</v>
      </c>
      <c r="G486" s="7" t="str">
        <f aca="false">HYPERLINK("https://mncourtfraud.com/file/MCRO_27-CR-22-9930_Finding of Incompetency and Order_2023-05-02_20251126185948.pdf","MCRO_27-CR-22-9930_Finding of Incompetency and Order_2023-05-02_20251126185948.pdf")</f>
        <v>MCRO_27-CR-22-9930_Finding of Incompetency and Order_2023-05-02_20251126185948.pdf</v>
      </c>
      <c r="H486" s="1" t="n">
        <v>9</v>
      </c>
      <c r="I486" s="1" t="s">
        <v>1366</v>
      </c>
      <c r="J486" s="1" t="n">
        <v>3</v>
      </c>
      <c r="K486" s="1" t="n">
        <v>3</v>
      </c>
      <c r="L486" s="2" t="s">
        <v>2188</v>
      </c>
      <c r="M486" s="2" t="s">
        <v>1362</v>
      </c>
      <c r="N486" s="2" t="s">
        <v>2189</v>
      </c>
      <c r="O486" s="2" t="s">
        <v>1364</v>
      </c>
      <c r="P486" s="2" t="s">
        <v>1501</v>
      </c>
      <c r="Q486" s="1" t="n">
        <v>0</v>
      </c>
      <c r="R486" s="2" t="n">
        <v>954850</v>
      </c>
      <c r="S486" s="2" t="n">
        <v>971236</v>
      </c>
      <c r="T486" s="2" t="n">
        <v>5306</v>
      </c>
      <c r="U486" s="2" t="n">
        <v>960156</v>
      </c>
      <c r="V486" s="2" t="n">
        <v>98.32</v>
      </c>
      <c r="W486" s="2" t="s">
        <v>1360</v>
      </c>
    </row>
    <row r="487" customFormat="false" ht="18.7" hidden="false" customHeight="true" outlineLevel="0" collapsed="false">
      <c r="A487" s="1" t="n">
        <v>486</v>
      </c>
      <c r="B487" s="7" t="str">
        <f aca="false">HYPERLINK("https://mncourtfraud.com/file/27-CR-22-9930.pdf","27-CR-22-9930")</f>
        <v>27-CR-22-9930</v>
      </c>
      <c r="C487" s="1" t="n">
        <v>1</v>
      </c>
      <c r="D487" s="2" t="s">
        <v>12</v>
      </c>
      <c r="E487" s="8" t="n">
        <v>44761</v>
      </c>
      <c r="F487" s="2" t="s">
        <v>15</v>
      </c>
      <c r="G487" s="7" t="str">
        <f aca="false">HYPERLINK("https://mncourtfraud.com/file/MCRO_27-CR-22-9930_Order-Evaluation for Competency to Proceed (Rule 20.01)_2022-07-19_20251126190007.pdf","MCRO_27-CR-22-9930_Order-Evaluation for Competency to Proceed (Rule 20.01)_2022-07-19_20251126190007.pdf")</f>
        <v>MCRO_27-CR-22-9930_Order-Evaluation for Competency to Proceed (Rule 20.01)_2022-07-19_20251126190007.pdf</v>
      </c>
      <c r="H487" s="1" t="n">
        <v>4</v>
      </c>
      <c r="I487" s="1" t="s">
        <v>1360</v>
      </c>
      <c r="J487" s="1" t="n">
        <v>1</v>
      </c>
      <c r="K487" s="1" t="n">
        <v>1</v>
      </c>
      <c r="L487" s="2" t="s">
        <v>2190</v>
      </c>
      <c r="M487" s="2" t="s">
        <v>1362</v>
      </c>
      <c r="N487" s="2" t="s">
        <v>2191</v>
      </c>
      <c r="O487" s="2" t="s">
        <v>1364</v>
      </c>
      <c r="P487" s="2" t="s">
        <v>1536</v>
      </c>
      <c r="Q487" s="1" t="n">
        <v>0</v>
      </c>
      <c r="R487" s="2" t="n">
        <v>199675</v>
      </c>
      <c r="S487" s="2" t="n">
        <v>216061</v>
      </c>
      <c r="T487" s="2" t="n">
        <v>4453</v>
      </c>
      <c r="U487" s="2" t="n">
        <v>204128</v>
      </c>
      <c r="V487" s="2" t="n">
        <v>92.57</v>
      </c>
      <c r="W487" s="2" t="s">
        <v>1360</v>
      </c>
    </row>
    <row r="488" customFormat="false" ht="18.7" hidden="false" customHeight="true" outlineLevel="0" collapsed="false">
      <c r="A488" s="1" t="n">
        <v>487</v>
      </c>
      <c r="B488" s="7" t="str">
        <f aca="false">HYPERLINK("https://mncourtfraud.com/file/27-CR-22-9930.pdf","27-CR-22-9930")</f>
        <v>27-CR-22-9930</v>
      </c>
      <c r="C488" s="1" t="n">
        <v>1</v>
      </c>
      <c r="D488" s="2" t="s">
        <v>12</v>
      </c>
      <c r="E488" s="8" t="n">
        <v>44895</v>
      </c>
      <c r="F488" s="2" t="s">
        <v>15</v>
      </c>
      <c r="G488" s="7" t="str">
        <f aca="false">HYPERLINK("https://mncourtfraud.com/file/MCRO_27-CR-22-9930_Order-Evaluation for Competency to Proceed (Rule 20.01)_2022-11-30_20251126185959.pdf","MCRO_27-CR-22-9930_Order-Evaluation for Competency to Proceed (Rule 20.01)_2022-11-30_20251126185959.pdf")</f>
        <v>MCRO_27-CR-22-9930_Order-Evaluation for Competency to Proceed (Rule 20.01)_2022-11-30_20251126185959.pdf</v>
      </c>
      <c r="H488" s="1" t="n">
        <v>4</v>
      </c>
      <c r="I488" s="1" t="s">
        <v>1360</v>
      </c>
      <c r="J488" s="1" t="n">
        <v>1</v>
      </c>
      <c r="K488" s="1" t="n">
        <v>1</v>
      </c>
      <c r="L488" s="2" t="s">
        <v>2192</v>
      </c>
      <c r="M488" s="2" t="s">
        <v>1362</v>
      </c>
      <c r="N488" s="2" t="s">
        <v>2193</v>
      </c>
      <c r="O488" s="2" t="s">
        <v>1364</v>
      </c>
      <c r="P488" s="2" t="s">
        <v>1402</v>
      </c>
      <c r="Q488" s="1" t="n">
        <v>0</v>
      </c>
      <c r="R488" s="2" t="n">
        <v>795532</v>
      </c>
      <c r="S488" s="2" t="n">
        <v>811918</v>
      </c>
      <c r="T488" s="2" t="n">
        <v>5079</v>
      </c>
      <c r="U488" s="2" t="n">
        <v>800611</v>
      </c>
      <c r="V488" s="2" t="n">
        <v>97.99</v>
      </c>
      <c r="W488" s="2" t="s">
        <v>1360</v>
      </c>
    </row>
    <row r="489" customFormat="false" ht="18.7" hidden="false" customHeight="true" outlineLevel="0" collapsed="false">
      <c r="A489" s="1" t="n">
        <v>488</v>
      </c>
      <c r="B489" s="7" t="str">
        <f aca="false">HYPERLINK("https://mncourtfraud.com/file/27-CR-23-1583.pdf","27-CR-23-1583")</f>
        <v>27-CR-23-1583</v>
      </c>
      <c r="C489" s="1" t="n">
        <v>1</v>
      </c>
      <c r="D489" s="2" t="s">
        <v>12</v>
      </c>
      <c r="E489" s="8" t="n">
        <v>45048</v>
      </c>
      <c r="F489" s="2" t="s">
        <v>80</v>
      </c>
      <c r="G489" s="7" t="str">
        <f aca="false">HYPERLINK("https://mncourtfraud.com/file/MCRO_27-CR-23-1583_Finding of Incompetency and Order_2023-05-02_20251126190033.pdf","MCRO_27-CR-23-1583_Finding of Incompetency and Order_2023-05-02_20251126190033.pdf")</f>
        <v>MCRO_27-CR-23-1583_Finding of Incompetency and Order_2023-05-02_20251126190033.pdf</v>
      </c>
      <c r="H489" s="1" t="n">
        <v>9</v>
      </c>
      <c r="I489" s="1" t="s">
        <v>1366</v>
      </c>
      <c r="J489" s="1" t="n">
        <v>1</v>
      </c>
      <c r="K489" s="1" t="n">
        <v>1</v>
      </c>
      <c r="L489" s="2" t="s">
        <v>1491</v>
      </c>
      <c r="M489" s="2" t="s">
        <v>1492</v>
      </c>
      <c r="N489" s="2" t="s">
        <v>1493</v>
      </c>
      <c r="O489" s="2" t="s">
        <v>1494</v>
      </c>
      <c r="P489" s="2" t="s">
        <v>1495</v>
      </c>
      <c r="Q489" s="1" t="n">
        <v>0</v>
      </c>
      <c r="R489" s="2" t="n">
        <v>100288</v>
      </c>
      <c r="S489" s="2" t="n">
        <v>112370</v>
      </c>
      <c r="T489" s="2" t="n">
        <v>48200</v>
      </c>
      <c r="U489" s="2" t="n">
        <v>148488</v>
      </c>
      <c r="V489" s="2" t="n">
        <v>15.21</v>
      </c>
      <c r="W489" s="2" t="s">
        <v>1366</v>
      </c>
    </row>
    <row r="490" customFormat="false" ht="18.7" hidden="false" customHeight="true" outlineLevel="0" collapsed="false">
      <c r="A490" s="1" t="n">
        <v>489</v>
      </c>
      <c r="B490" s="7" t="str">
        <f aca="false">HYPERLINK("https://mncourtfraud.com/file/27-CR-23-1583.pdf","27-CR-23-1583")</f>
        <v>27-CR-23-1583</v>
      </c>
      <c r="C490" s="1" t="n">
        <v>1</v>
      </c>
      <c r="D490" s="2" t="s">
        <v>12</v>
      </c>
      <c r="E490" s="8" t="n">
        <v>45048</v>
      </c>
      <c r="F490" s="2" t="s">
        <v>80</v>
      </c>
      <c r="G490" s="7" t="str">
        <f aca="false">HYPERLINK("https://mncourtfraud.com/file/MCRO_27-CR-23-1583_Finding of Incompetency and Order_2023-05-02_20251126190033.pdf","MCRO_27-CR-23-1583_Finding of Incompetency and Order_2023-05-02_20251126190033.pdf")</f>
        <v>MCRO_27-CR-23-1583_Finding of Incompetency and Order_2023-05-02_20251126190033.pdf</v>
      </c>
      <c r="H490" s="1" t="n">
        <v>9</v>
      </c>
      <c r="I490" s="1" t="s">
        <v>1366</v>
      </c>
      <c r="J490" s="1" t="n">
        <v>2</v>
      </c>
      <c r="K490" s="1" t="n">
        <v>2</v>
      </c>
      <c r="L490" s="2" t="s">
        <v>1367</v>
      </c>
      <c r="M490" s="2" t="s">
        <v>1496</v>
      </c>
      <c r="N490" s="2" t="s">
        <v>1497</v>
      </c>
      <c r="O490" s="2" t="s">
        <v>1494</v>
      </c>
      <c r="P490" s="2" t="s">
        <v>1498</v>
      </c>
      <c r="Q490" s="1" t="n">
        <v>0</v>
      </c>
      <c r="R490" s="2" t="n">
        <v>160968</v>
      </c>
      <c r="S490" s="2" t="n">
        <v>167974</v>
      </c>
      <c r="T490" s="2" t="n">
        <v>59084</v>
      </c>
      <c r="U490" s="2" t="n">
        <v>220052</v>
      </c>
      <c r="V490" s="2" t="n">
        <v>22.53</v>
      </c>
      <c r="W490" s="2" t="s">
        <v>1366</v>
      </c>
    </row>
    <row r="491" customFormat="false" ht="18.7" hidden="false" customHeight="true" outlineLevel="0" collapsed="false">
      <c r="A491" s="1" t="n">
        <v>490</v>
      </c>
      <c r="B491" s="7" t="str">
        <f aca="false">HYPERLINK("https://mncourtfraud.com/file/27-CR-23-1583.pdf","27-CR-23-1583")</f>
        <v>27-CR-23-1583</v>
      </c>
      <c r="C491" s="1" t="n">
        <v>1</v>
      </c>
      <c r="D491" s="2" t="s">
        <v>12</v>
      </c>
      <c r="E491" s="8" t="n">
        <v>45048</v>
      </c>
      <c r="F491" s="2" t="s">
        <v>80</v>
      </c>
      <c r="G491" s="7" t="str">
        <f aca="false">HYPERLINK("https://mncourtfraud.com/file/MCRO_27-CR-23-1583_Finding of Incompetency and Order_2023-05-02_20251126190033.pdf","MCRO_27-CR-23-1583_Finding of Incompetency and Order_2023-05-02_20251126190033.pdf")</f>
        <v>MCRO_27-CR-23-1583_Finding of Incompetency and Order_2023-05-02_20251126190033.pdf</v>
      </c>
      <c r="H491" s="1" t="n">
        <v>9</v>
      </c>
      <c r="I491" s="1" t="s">
        <v>1366</v>
      </c>
      <c r="J491" s="1" t="n">
        <v>3</v>
      </c>
      <c r="K491" s="1" t="n">
        <v>3</v>
      </c>
      <c r="L491" s="2" t="s">
        <v>2194</v>
      </c>
      <c r="M491" s="2" t="s">
        <v>1362</v>
      </c>
      <c r="N491" s="2" t="s">
        <v>2195</v>
      </c>
      <c r="O491" s="2" t="s">
        <v>1364</v>
      </c>
      <c r="P491" s="2" t="s">
        <v>1501</v>
      </c>
      <c r="Q491" s="1" t="n">
        <v>0</v>
      </c>
      <c r="R491" s="2" t="n">
        <v>954849</v>
      </c>
      <c r="S491" s="2" t="n">
        <v>971235</v>
      </c>
      <c r="T491" s="2" t="n">
        <v>5306</v>
      </c>
      <c r="U491" s="2" t="n">
        <v>960155</v>
      </c>
      <c r="V491" s="2" t="n">
        <v>98.32</v>
      </c>
      <c r="W491" s="2" t="s">
        <v>1360</v>
      </c>
    </row>
    <row r="492" customFormat="false" ht="18.7" hidden="false" customHeight="true" outlineLevel="0" collapsed="false">
      <c r="A492" s="1" t="n">
        <v>491</v>
      </c>
      <c r="B492" s="7" t="str">
        <f aca="false">HYPERLINK("https://mncourtfraud.com/file/27-CR-23-1583.pdf","27-CR-23-1583")</f>
        <v>27-CR-23-1583</v>
      </c>
      <c r="C492" s="1" t="n">
        <v>1</v>
      </c>
      <c r="D492" s="2" t="s">
        <v>12</v>
      </c>
      <c r="E492" s="8" t="n">
        <v>45093</v>
      </c>
      <c r="F492" s="2" t="s">
        <v>82</v>
      </c>
      <c r="G492" s="7" t="str">
        <f aca="false">HYPERLINK("https://mncourtfraud.com/file/MCRO_27-CR-23-1583_Notice of Case Reassignment_2023-06-16_20251126190045.pdf","MCRO_27-CR-23-1583_Notice of Case Reassignment_2023-06-16_20251126190045.pdf")</f>
        <v>MCRO_27-CR-23-1583_Notice of Case Reassignment_2023-06-16_20251126190045.pdf</v>
      </c>
      <c r="H492" s="1" t="n">
        <v>3</v>
      </c>
      <c r="I492" s="1" t="s">
        <v>1360</v>
      </c>
      <c r="J492" s="1" t="n">
        <v>1</v>
      </c>
      <c r="K492" s="1" t="n">
        <v>1</v>
      </c>
      <c r="L492" s="2" t="s">
        <v>2196</v>
      </c>
      <c r="M492" s="2" t="s">
        <v>1362</v>
      </c>
      <c r="N492" s="2" t="s">
        <v>2197</v>
      </c>
      <c r="O492" s="2" t="s">
        <v>1364</v>
      </c>
      <c r="P492" s="2" t="s">
        <v>1508</v>
      </c>
      <c r="Q492" s="1" t="n">
        <v>0</v>
      </c>
      <c r="R492" s="2" t="n">
        <v>92689</v>
      </c>
      <c r="S492" s="2" t="n">
        <v>109075</v>
      </c>
      <c r="T492" s="2" t="n">
        <v>4554</v>
      </c>
      <c r="U492" s="2" t="n">
        <v>97243</v>
      </c>
      <c r="V492" s="2" t="n">
        <v>85.58</v>
      </c>
      <c r="W492" s="2" t="s">
        <v>1360</v>
      </c>
    </row>
    <row r="493" customFormat="false" ht="18.7" hidden="false" customHeight="true" outlineLevel="0" collapsed="false">
      <c r="A493" s="1" t="n">
        <v>492</v>
      </c>
      <c r="B493" s="7" t="str">
        <f aca="false">HYPERLINK("https://mncourtfraud.com/file/27-CR-23-1583.pdf","27-CR-23-1583")</f>
        <v>27-CR-23-1583</v>
      </c>
      <c r="C493" s="1" t="n">
        <v>1</v>
      </c>
      <c r="D493" s="2" t="s">
        <v>12</v>
      </c>
      <c r="E493" s="8" t="n">
        <v>45160</v>
      </c>
      <c r="F493" s="2" t="s">
        <v>15</v>
      </c>
      <c r="G493" s="7" t="str">
        <f aca="false">HYPERLINK("https://mncourtfraud.com/file/MCRO_27-CR-23-1583_Order-Evaluation for Competency to Proceed (Rule 20.01)_2023-08-22_20251126190123.pdf","MCRO_27-CR-23-1583_Order-Evaluation for Competency to Proceed (Rule 20.01)_2023-08-22_20251126190123.pdf")</f>
        <v>MCRO_27-CR-23-1583_Order-Evaluation for Competency to Proceed (Rule 20.01)_2023-08-22_20251126190123.pdf</v>
      </c>
      <c r="H493" s="1" t="n">
        <v>6</v>
      </c>
      <c r="I493" s="1" t="s">
        <v>1366</v>
      </c>
      <c r="J493" s="1" t="n">
        <v>1</v>
      </c>
      <c r="K493" s="1" t="n">
        <v>1</v>
      </c>
      <c r="L493" s="2" t="s">
        <v>1367</v>
      </c>
      <c r="M493" s="2" t="s">
        <v>1519</v>
      </c>
      <c r="N493" s="2" t="s">
        <v>1520</v>
      </c>
      <c r="O493" s="2" t="s">
        <v>1494</v>
      </c>
      <c r="P493" s="2" t="s">
        <v>1521</v>
      </c>
      <c r="Q493" s="1" t="n">
        <v>0</v>
      </c>
      <c r="R493" s="2" t="n">
        <v>122115</v>
      </c>
      <c r="S493" s="2" t="n">
        <v>129143</v>
      </c>
      <c r="T493" s="2" t="n">
        <v>87775</v>
      </c>
      <c r="U493" s="2" t="n">
        <v>209890</v>
      </c>
      <c r="V493" s="2" t="n">
        <v>23.95</v>
      </c>
      <c r="W493" s="2" t="s">
        <v>1366</v>
      </c>
    </row>
    <row r="494" customFormat="false" ht="18.7" hidden="false" customHeight="true" outlineLevel="0" collapsed="false">
      <c r="A494" s="1" t="n">
        <v>493</v>
      </c>
      <c r="B494" s="7" t="str">
        <f aca="false">HYPERLINK("https://mncourtfraud.com/file/27-CR-23-1583.pdf","27-CR-23-1583")</f>
        <v>27-CR-23-1583</v>
      </c>
      <c r="C494" s="1" t="n">
        <v>1</v>
      </c>
      <c r="D494" s="2" t="s">
        <v>12</v>
      </c>
      <c r="E494" s="8" t="n">
        <v>45160</v>
      </c>
      <c r="F494" s="2" t="s">
        <v>15</v>
      </c>
      <c r="G494" s="7" t="str">
        <f aca="false">HYPERLINK("https://mncourtfraud.com/file/MCRO_27-CR-23-1583_Order-Evaluation for Competency to Proceed (Rule 20.01)_2023-08-22_20251126190123.pdf","MCRO_27-CR-23-1583_Order-Evaluation for Competency to Proceed (Rule 20.01)_2023-08-22_20251126190123.pdf")</f>
        <v>MCRO_27-CR-23-1583_Order-Evaluation for Competency to Proceed (Rule 20.01)_2023-08-22_20251126190123.pdf</v>
      </c>
      <c r="H494" s="1" t="n">
        <v>6</v>
      </c>
      <c r="I494" s="1" t="s">
        <v>1366</v>
      </c>
      <c r="J494" s="1" t="n">
        <v>2</v>
      </c>
      <c r="K494" s="1" t="n">
        <v>2</v>
      </c>
      <c r="L494" s="2" t="s">
        <v>2198</v>
      </c>
      <c r="M494" s="2" t="s">
        <v>1362</v>
      </c>
      <c r="N494" s="2" t="s">
        <v>2199</v>
      </c>
      <c r="O494" s="2" t="s">
        <v>1364</v>
      </c>
      <c r="P494" s="2" t="s">
        <v>1524</v>
      </c>
      <c r="Q494" s="1" t="n">
        <v>0</v>
      </c>
      <c r="R494" s="2" t="n">
        <v>855043</v>
      </c>
      <c r="S494" s="2" t="n">
        <v>871429</v>
      </c>
      <c r="T494" s="2" t="n">
        <v>4973</v>
      </c>
      <c r="U494" s="2" t="n">
        <v>860016</v>
      </c>
      <c r="V494" s="2" t="n">
        <v>98.13</v>
      </c>
      <c r="W494" s="2" t="s">
        <v>1360</v>
      </c>
    </row>
    <row r="495" customFormat="false" ht="18.7" hidden="false" customHeight="true" outlineLevel="0" collapsed="false">
      <c r="A495" s="1" t="n">
        <v>494</v>
      </c>
      <c r="B495" s="7" t="str">
        <f aca="false">HYPERLINK("https://mncourtfraud.com/file/27-CR-23-1583.pdf","27-CR-23-1583")</f>
        <v>27-CR-23-1583</v>
      </c>
      <c r="C495" s="1" t="n">
        <v>1</v>
      </c>
      <c r="D495" s="2" t="s">
        <v>12</v>
      </c>
      <c r="E495" s="8" t="n">
        <v>45412</v>
      </c>
      <c r="F495" s="2" t="s">
        <v>15</v>
      </c>
      <c r="G495" s="7" t="str">
        <f aca="false">HYPERLINK("https://mncourtfraud.com/file/MCRO_27-CR-23-1583_Order-Evaluation for Competency to Proceed (Rule 20.01)_2024-04-30_20251126190111.pdf","MCRO_27-CR-23-1583_Order-Evaluation for Competency to Proceed (Rule 20.01)_2024-04-30_20251126190111.pdf")</f>
        <v>MCRO_27-CR-23-1583_Order-Evaluation for Competency to Proceed (Rule 20.01)_2024-04-30_20251126190111.pdf</v>
      </c>
      <c r="H495" s="1" t="n">
        <v>4</v>
      </c>
      <c r="I495" s="1" t="s">
        <v>1360</v>
      </c>
      <c r="J495" s="1" t="n">
        <v>1</v>
      </c>
      <c r="K495" s="1" t="n">
        <v>1</v>
      </c>
      <c r="L495" s="2" t="s">
        <v>2200</v>
      </c>
      <c r="M495" s="2" t="s">
        <v>1362</v>
      </c>
      <c r="N495" s="2" t="s">
        <v>2201</v>
      </c>
      <c r="O495" s="2" t="s">
        <v>1364</v>
      </c>
      <c r="P495" s="2" t="s">
        <v>1390</v>
      </c>
      <c r="Q495" s="1" t="n">
        <v>0</v>
      </c>
      <c r="R495" s="2" t="n">
        <v>198657</v>
      </c>
      <c r="S495" s="2" t="n">
        <v>215043</v>
      </c>
      <c r="T495" s="2" t="n">
        <v>4474</v>
      </c>
      <c r="U495" s="2" t="n">
        <v>203131</v>
      </c>
      <c r="V495" s="2" t="n">
        <v>92.54</v>
      </c>
      <c r="W495" s="2" t="s">
        <v>1360</v>
      </c>
    </row>
    <row r="496" customFormat="false" ht="18.7" hidden="false" customHeight="true" outlineLevel="0" collapsed="false">
      <c r="A496" s="1" t="n">
        <v>495</v>
      </c>
      <c r="B496" s="7" t="str">
        <f aca="false">HYPERLINK("https://mncourtfraud.com/file/27-CR-23-1583.pdf","27-CR-23-1583")</f>
        <v>27-CR-23-1583</v>
      </c>
      <c r="C496" s="1" t="n">
        <v>1</v>
      </c>
      <c r="D496" s="2" t="s">
        <v>12</v>
      </c>
      <c r="E496" s="8" t="n">
        <v>45412</v>
      </c>
      <c r="F496" s="2" t="s">
        <v>24</v>
      </c>
      <c r="G496" s="7" t="str">
        <f aca="false">HYPERLINK("https://mncourtfraud.com/file/MCRO_27-CR-23-1583_Order for Conditional Release_2024-04-30_20251126190100.pdf","MCRO_27-CR-23-1583_Order for Conditional Release_2024-04-30_20251126190100.pdf")</f>
        <v>MCRO_27-CR-23-1583_Order for Conditional Release_2024-04-30_20251126190100.pdf</v>
      </c>
      <c r="H496" s="1" t="n">
        <v>4</v>
      </c>
      <c r="I496" s="1" t="s">
        <v>1360</v>
      </c>
      <c r="J496" s="1" t="n">
        <v>1</v>
      </c>
      <c r="K496" s="1" t="n">
        <v>1</v>
      </c>
      <c r="L496" s="2" t="s">
        <v>2202</v>
      </c>
      <c r="M496" s="2" t="s">
        <v>1362</v>
      </c>
      <c r="N496" s="2" t="s">
        <v>2203</v>
      </c>
      <c r="O496" s="2" t="s">
        <v>1364</v>
      </c>
      <c r="P496" s="2" t="s">
        <v>1536</v>
      </c>
      <c r="Q496" s="1" t="n">
        <v>0</v>
      </c>
      <c r="R496" s="2" t="n">
        <v>129679</v>
      </c>
      <c r="S496" s="2" t="n">
        <v>146065</v>
      </c>
      <c r="T496" s="2" t="n">
        <v>4468</v>
      </c>
      <c r="U496" s="2" t="n">
        <v>134147</v>
      </c>
      <c r="V496" s="2" t="n">
        <v>89.11</v>
      </c>
      <c r="W496" s="2" t="s">
        <v>1360</v>
      </c>
    </row>
    <row r="497" customFormat="false" ht="18.7" hidden="false" customHeight="true" outlineLevel="0" collapsed="false">
      <c r="A497" s="1" t="n">
        <v>496</v>
      </c>
      <c r="B497" s="7" t="str">
        <f aca="false">HYPERLINK("https://mncourtfraud.com/file/27-CR-23-4900.pdf","27-CR-23-4900")</f>
        <v>27-CR-23-4900</v>
      </c>
      <c r="C497" s="1" t="n">
        <v>1</v>
      </c>
      <c r="D497" s="2" t="s">
        <v>12</v>
      </c>
      <c r="E497" s="8" t="n">
        <v>45048</v>
      </c>
      <c r="F497" s="2" t="s">
        <v>80</v>
      </c>
      <c r="G497" s="7" t="str">
        <f aca="false">HYPERLINK("https://mncourtfraud.com/file/MCRO_27-CR-23-4900_Finding of Incompetency and Order_2023-05-02_20251126190145.pdf","MCRO_27-CR-23-4900_Finding of Incompetency and Order_2023-05-02_20251126190145.pdf")</f>
        <v>MCRO_27-CR-23-4900_Finding of Incompetency and Order_2023-05-02_20251126190145.pdf</v>
      </c>
      <c r="H497" s="1" t="n">
        <v>9</v>
      </c>
      <c r="I497" s="1" t="s">
        <v>1366</v>
      </c>
      <c r="J497" s="1" t="n">
        <v>1</v>
      </c>
      <c r="K497" s="1" t="n">
        <v>1</v>
      </c>
      <c r="L497" s="2" t="s">
        <v>1491</v>
      </c>
      <c r="M497" s="2" t="s">
        <v>1492</v>
      </c>
      <c r="N497" s="2" t="s">
        <v>1493</v>
      </c>
      <c r="O497" s="2" t="s">
        <v>1494</v>
      </c>
      <c r="P497" s="2" t="s">
        <v>1495</v>
      </c>
      <c r="Q497" s="1" t="n">
        <v>0</v>
      </c>
      <c r="R497" s="2" t="n">
        <v>100288</v>
      </c>
      <c r="S497" s="2" t="n">
        <v>112370</v>
      </c>
      <c r="T497" s="2" t="n">
        <v>48200</v>
      </c>
      <c r="U497" s="2" t="n">
        <v>148488</v>
      </c>
      <c r="V497" s="2" t="n">
        <v>15.21</v>
      </c>
      <c r="W497" s="2" t="s">
        <v>1366</v>
      </c>
    </row>
    <row r="498" customFormat="false" ht="18.7" hidden="false" customHeight="true" outlineLevel="0" collapsed="false">
      <c r="A498" s="1" t="n">
        <v>497</v>
      </c>
      <c r="B498" s="7" t="str">
        <f aca="false">HYPERLINK("https://mncourtfraud.com/file/27-CR-23-4900.pdf","27-CR-23-4900")</f>
        <v>27-CR-23-4900</v>
      </c>
      <c r="C498" s="1" t="n">
        <v>1</v>
      </c>
      <c r="D498" s="2" t="s">
        <v>12</v>
      </c>
      <c r="E498" s="8" t="n">
        <v>45048</v>
      </c>
      <c r="F498" s="2" t="s">
        <v>80</v>
      </c>
      <c r="G498" s="7" t="str">
        <f aca="false">HYPERLINK("https://mncourtfraud.com/file/MCRO_27-CR-23-4900_Finding of Incompetency and Order_2023-05-02_20251126190145.pdf","MCRO_27-CR-23-4900_Finding of Incompetency and Order_2023-05-02_20251126190145.pdf")</f>
        <v>MCRO_27-CR-23-4900_Finding of Incompetency and Order_2023-05-02_20251126190145.pdf</v>
      </c>
      <c r="H498" s="1" t="n">
        <v>9</v>
      </c>
      <c r="I498" s="1" t="s">
        <v>1366</v>
      </c>
      <c r="J498" s="1" t="n">
        <v>2</v>
      </c>
      <c r="K498" s="1" t="n">
        <v>2</v>
      </c>
      <c r="L498" s="2" t="s">
        <v>1367</v>
      </c>
      <c r="M498" s="2" t="s">
        <v>1496</v>
      </c>
      <c r="N498" s="2" t="s">
        <v>1497</v>
      </c>
      <c r="O498" s="2" t="s">
        <v>1494</v>
      </c>
      <c r="P498" s="2" t="s">
        <v>1498</v>
      </c>
      <c r="Q498" s="1" t="n">
        <v>0</v>
      </c>
      <c r="R498" s="2" t="n">
        <v>160968</v>
      </c>
      <c r="S498" s="2" t="n">
        <v>167974</v>
      </c>
      <c r="T498" s="2" t="n">
        <v>59084</v>
      </c>
      <c r="U498" s="2" t="n">
        <v>220052</v>
      </c>
      <c r="V498" s="2" t="n">
        <v>22.53</v>
      </c>
      <c r="W498" s="2" t="s">
        <v>1366</v>
      </c>
    </row>
    <row r="499" customFormat="false" ht="18.7" hidden="false" customHeight="true" outlineLevel="0" collapsed="false">
      <c r="A499" s="1" t="n">
        <v>498</v>
      </c>
      <c r="B499" s="7" t="str">
        <f aca="false">HYPERLINK("https://mncourtfraud.com/file/27-CR-23-4900.pdf","27-CR-23-4900")</f>
        <v>27-CR-23-4900</v>
      </c>
      <c r="C499" s="1" t="n">
        <v>1</v>
      </c>
      <c r="D499" s="2" t="s">
        <v>12</v>
      </c>
      <c r="E499" s="8" t="n">
        <v>45048</v>
      </c>
      <c r="F499" s="2" t="s">
        <v>80</v>
      </c>
      <c r="G499" s="7" t="str">
        <f aca="false">HYPERLINK("https://mncourtfraud.com/file/MCRO_27-CR-23-4900_Finding of Incompetency and Order_2023-05-02_20251126190145.pdf","MCRO_27-CR-23-4900_Finding of Incompetency and Order_2023-05-02_20251126190145.pdf")</f>
        <v>MCRO_27-CR-23-4900_Finding of Incompetency and Order_2023-05-02_20251126190145.pdf</v>
      </c>
      <c r="H499" s="1" t="n">
        <v>9</v>
      </c>
      <c r="I499" s="1" t="s">
        <v>1366</v>
      </c>
      <c r="J499" s="1" t="n">
        <v>3</v>
      </c>
      <c r="K499" s="1" t="n">
        <v>3</v>
      </c>
      <c r="L499" s="2" t="s">
        <v>2204</v>
      </c>
      <c r="M499" s="2" t="s">
        <v>1362</v>
      </c>
      <c r="N499" s="2" t="s">
        <v>2205</v>
      </c>
      <c r="O499" s="2" t="s">
        <v>1364</v>
      </c>
      <c r="P499" s="2" t="s">
        <v>1501</v>
      </c>
      <c r="Q499" s="1" t="n">
        <v>0</v>
      </c>
      <c r="R499" s="2" t="n">
        <v>954852</v>
      </c>
      <c r="S499" s="2" t="n">
        <v>971238</v>
      </c>
      <c r="T499" s="2" t="n">
        <v>5309</v>
      </c>
      <c r="U499" s="2" t="n">
        <v>960161</v>
      </c>
      <c r="V499" s="2" t="n">
        <v>98.32</v>
      </c>
      <c r="W499" s="2" t="s">
        <v>1360</v>
      </c>
    </row>
    <row r="500" customFormat="false" ht="18.7" hidden="false" customHeight="true" outlineLevel="0" collapsed="false">
      <c r="A500" s="1" t="n">
        <v>499</v>
      </c>
      <c r="B500" s="7" t="str">
        <f aca="false">HYPERLINK("https://mncourtfraud.com/file/27-CR-23-4900.pdf","27-CR-23-4900")</f>
        <v>27-CR-23-4900</v>
      </c>
      <c r="C500" s="1" t="n">
        <v>1</v>
      </c>
      <c r="D500" s="2" t="s">
        <v>12</v>
      </c>
      <c r="E500" s="8" t="n">
        <v>45093</v>
      </c>
      <c r="F500" s="2" t="s">
        <v>82</v>
      </c>
      <c r="G500" s="7" t="str">
        <f aca="false">HYPERLINK("https://mncourtfraud.com/file/MCRO_27-CR-23-4900_Notice of Case Reassignment_2023-06-16_20251126190156.pdf","MCRO_27-CR-23-4900_Notice of Case Reassignment_2023-06-16_20251126190156.pdf")</f>
        <v>MCRO_27-CR-23-4900_Notice of Case Reassignment_2023-06-16_20251126190156.pdf</v>
      </c>
      <c r="H500" s="1" t="n">
        <v>3</v>
      </c>
      <c r="I500" s="1" t="s">
        <v>1360</v>
      </c>
      <c r="J500" s="1" t="n">
        <v>1</v>
      </c>
      <c r="K500" s="1" t="n">
        <v>1</v>
      </c>
      <c r="L500" s="2" t="s">
        <v>2206</v>
      </c>
      <c r="M500" s="2" t="s">
        <v>1362</v>
      </c>
      <c r="N500" s="2" t="s">
        <v>2207</v>
      </c>
      <c r="O500" s="2" t="s">
        <v>1364</v>
      </c>
      <c r="P500" s="2" t="s">
        <v>1508</v>
      </c>
      <c r="Q500" s="1" t="n">
        <v>0</v>
      </c>
      <c r="R500" s="2" t="n">
        <v>92689</v>
      </c>
      <c r="S500" s="2" t="n">
        <v>109075</v>
      </c>
      <c r="T500" s="2" t="n">
        <v>4554</v>
      </c>
      <c r="U500" s="2" t="n">
        <v>97243</v>
      </c>
      <c r="V500" s="2" t="n">
        <v>85.58</v>
      </c>
      <c r="W500" s="2" t="s">
        <v>1360</v>
      </c>
    </row>
    <row r="501" customFormat="false" ht="18.7" hidden="false" customHeight="true" outlineLevel="0" collapsed="false">
      <c r="A501" s="1" t="n">
        <v>500</v>
      </c>
      <c r="B501" s="7" t="str">
        <f aca="false">HYPERLINK("https://mncourtfraud.com/file/27-CR-23-4900.pdf","27-CR-23-4900")</f>
        <v>27-CR-23-4900</v>
      </c>
      <c r="C501" s="1" t="n">
        <v>1</v>
      </c>
      <c r="D501" s="2" t="s">
        <v>12</v>
      </c>
      <c r="E501" s="8" t="n">
        <v>45160</v>
      </c>
      <c r="F501" s="2" t="s">
        <v>15</v>
      </c>
      <c r="G501" s="7" t="str">
        <f aca="false">HYPERLINK("https://mncourtfraud.com/file/MCRO_27-CR-23-4900_Order-Evaluation for Competency to Proceed (Rule 20.01)_2023-08-22_20251126190217.pdf","MCRO_27-CR-23-4900_Order-Evaluation for Competency to Proceed (Rule 20.01)_2023-08-22_20251126190217.pdf")</f>
        <v>MCRO_27-CR-23-4900_Order-Evaluation for Competency to Proceed (Rule 20.01)_2023-08-22_20251126190217.pdf</v>
      </c>
      <c r="H501" s="1" t="n">
        <v>6</v>
      </c>
      <c r="I501" s="1" t="s">
        <v>1366</v>
      </c>
      <c r="J501" s="1" t="n">
        <v>1</v>
      </c>
      <c r="K501" s="1" t="n">
        <v>1</v>
      </c>
      <c r="L501" s="2" t="s">
        <v>1367</v>
      </c>
      <c r="M501" s="2" t="s">
        <v>1519</v>
      </c>
      <c r="N501" s="2" t="s">
        <v>1520</v>
      </c>
      <c r="O501" s="2" t="s">
        <v>1494</v>
      </c>
      <c r="P501" s="2" t="s">
        <v>1521</v>
      </c>
      <c r="Q501" s="1" t="n">
        <v>0</v>
      </c>
      <c r="R501" s="2" t="n">
        <v>122115</v>
      </c>
      <c r="S501" s="2" t="n">
        <v>129143</v>
      </c>
      <c r="T501" s="2" t="n">
        <v>87775</v>
      </c>
      <c r="U501" s="2" t="n">
        <v>209890</v>
      </c>
      <c r="V501" s="2" t="n">
        <v>23.95</v>
      </c>
      <c r="W501" s="2" t="s">
        <v>1366</v>
      </c>
    </row>
    <row r="502" customFormat="false" ht="18.7" hidden="false" customHeight="true" outlineLevel="0" collapsed="false">
      <c r="A502" s="1" t="n">
        <v>501</v>
      </c>
      <c r="B502" s="7" t="str">
        <f aca="false">HYPERLINK("https://mncourtfraud.com/file/27-CR-23-4900.pdf","27-CR-23-4900")</f>
        <v>27-CR-23-4900</v>
      </c>
      <c r="C502" s="1" t="n">
        <v>1</v>
      </c>
      <c r="D502" s="2" t="s">
        <v>12</v>
      </c>
      <c r="E502" s="8" t="n">
        <v>45160</v>
      </c>
      <c r="F502" s="2" t="s">
        <v>15</v>
      </c>
      <c r="G502" s="7" t="str">
        <f aca="false">HYPERLINK("https://mncourtfraud.com/file/MCRO_27-CR-23-4900_Order-Evaluation for Competency to Proceed (Rule 20.01)_2023-08-22_20251126190217.pdf","MCRO_27-CR-23-4900_Order-Evaluation for Competency to Proceed (Rule 20.01)_2023-08-22_20251126190217.pdf")</f>
        <v>MCRO_27-CR-23-4900_Order-Evaluation for Competency to Proceed (Rule 20.01)_2023-08-22_20251126190217.pdf</v>
      </c>
      <c r="H502" s="1" t="n">
        <v>6</v>
      </c>
      <c r="I502" s="1" t="s">
        <v>1366</v>
      </c>
      <c r="J502" s="1" t="n">
        <v>2</v>
      </c>
      <c r="K502" s="1" t="n">
        <v>2</v>
      </c>
      <c r="L502" s="2" t="s">
        <v>2208</v>
      </c>
      <c r="M502" s="2" t="s">
        <v>1362</v>
      </c>
      <c r="N502" s="2" t="s">
        <v>2209</v>
      </c>
      <c r="O502" s="2" t="s">
        <v>1364</v>
      </c>
      <c r="P502" s="2" t="s">
        <v>1524</v>
      </c>
      <c r="Q502" s="1" t="n">
        <v>0</v>
      </c>
      <c r="R502" s="2" t="n">
        <v>855043</v>
      </c>
      <c r="S502" s="2" t="n">
        <v>871429</v>
      </c>
      <c r="T502" s="2" t="n">
        <v>4973</v>
      </c>
      <c r="U502" s="2" t="n">
        <v>860016</v>
      </c>
      <c r="V502" s="2" t="n">
        <v>98.13</v>
      </c>
      <c r="W502" s="2" t="s">
        <v>1360</v>
      </c>
    </row>
    <row r="503" customFormat="false" ht="18.7" hidden="false" customHeight="true" outlineLevel="0" collapsed="false">
      <c r="A503" s="1" t="n">
        <v>502</v>
      </c>
      <c r="B503" s="7" t="str">
        <f aca="false">HYPERLINK("https://mncourtfraud.com/file/27-CR-23-4900.pdf","27-CR-23-4900")</f>
        <v>27-CR-23-4900</v>
      </c>
      <c r="C503" s="1" t="n">
        <v>1</v>
      </c>
      <c r="D503" s="2" t="s">
        <v>12</v>
      </c>
      <c r="E503" s="8" t="n">
        <v>45412</v>
      </c>
      <c r="F503" s="2" t="s">
        <v>15</v>
      </c>
      <c r="G503" s="7" t="str">
        <f aca="false">HYPERLINK("https://mncourtfraud.com/file/MCRO_27-CR-23-4900_Order-Evaluation for Competency to Proceed (Rule 20.01)_2024-04-30_20251126190224.pdf","MCRO_27-CR-23-4900_Order-Evaluation for Competency to Proceed (Rule 20.01)_2024-04-30_20251126190224.pdf")</f>
        <v>MCRO_27-CR-23-4900_Order-Evaluation for Competency to Proceed (Rule 20.01)_2024-04-30_20251126190224.pdf</v>
      </c>
      <c r="H503" s="1" t="n">
        <v>4</v>
      </c>
      <c r="I503" s="1" t="s">
        <v>1360</v>
      </c>
      <c r="J503" s="1" t="n">
        <v>1</v>
      </c>
      <c r="K503" s="1" t="n">
        <v>1</v>
      </c>
      <c r="L503" s="2" t="s">
        <v>2210</v>
      </c>
      <c r="M503" s="2" t="s">
        <v>1362</v>
      </c>
      <c r="N503" s="2" t="s">
        <v>2211</v>
      </c>
      <c r="O503" s="2" t="s">
        <v>1364</v>
      </c>
      <c r="P503" s="2" t="s">
        <v>1390</v>
      </c>
      <c r="Q503" s="1" t="n">
        <v>0</v>
      </c>
      <c r="R503" s="2" t="n">
        <v>198659</v>
      </c>
      <c r="S503" s="2" t="n">
        <v>215045</v>
      </c>
      <c r="T503" s="2" t="n">
        <v>4474</v>
      </c>
      <c r="U503" s="2" t="n">
        <v>203133</v>
      </c>
      <c r="V503" s="2" t="n">
        <v>92.54</v>
      </c>
      <c r="W503" s="2" t="s">
        <v>1360</v>
      </c>
    </row>
    <row r="504" customFormat="false" ht="18.7" hidden="false" customHeight="true" outlineLevel="0" collapsed="false">
      <c r="A504" s="1" t="n">
        <v>503</v>
      </c>
      <c r="B504" s="7" t="str">
        <f aca="false">HYPERLINK("https://mncourtfraud.com/file/27-CR-23-4900.pdf","27-CR-23-4900")</f>
        <v>27-CR-23-4900</v>
      </c>
      <c r="C504" s="1" t="n">
        <v>1</v>
      </c>
      <c r="D504" s="2" t="s">
        <v>12</v>
      </c>
      <c r="E504" s="8" t="n">
        <v>45412</v>
      </c>
      <c r="F504" s="2" t="s">
        <v>24</v>
      </c>
      <c r="G504" s="7" t="str">
        <f aca="false">HYPERLINK("https://mncourtfraud.com/file/MCRO_27-CR-23-4900_Order for Conditional Release_2024-04-30_20251126190206.pdf","MCRO_27-CR-23-4900_Order for Conditional Release_2024-04-30_20251126190206.pdf")</f>
        <v>MCRO_27-CR-23-4900_Order for Conditional Release_2024-04-30_20251126190206.pdf</v>
      </c>
      <c r="H504" s="1" t="n">
        <v>4</v>
      </c>
      <c r="I504" s="1" t="s">
        <v>1360</v>
      </c>
      <c r="J504" s="1" t="n">
        <v>1</v>
      </c>
      <c r="K504" s="1" t="n">
        <v>1</v>
      </c>
      <c r="L504" s="2" t="s">
        <v>2212</v>
      </c>
      <c r="M504" s="2" t="s">
        <v>1362</v>
      </c>
      <c r="N504" s="2" t="s">
        <v>2213</v>
      </c>
      <c r="O504" s="2" t="s">
        <v>1364</v>
      </c>
      <c r="P504" s="2" t="s">
        <v>1536</v>
      </c>
      <c r="Q504" s="1" t="n">
        <v>0</v>
      </c>
      <c r="R504" s="2" t="n">
        <v>129678</v>
      </c>
      <c r="S504" s="2" t="n">
        <v>146064</v>
      </c>
      <c r="T504" s="2" t="n">
        <v>4468</v>
      </c>
      <c r="U504" s="2" t="n">
        <v>134146</v>
      </c>
      <c r="V504" s="2" t="n">
        <v>89.11</v>
      </c>
      <c r="W504" s="2" t="s">
        <v>1360</v>
      </c>
    </row>
    <row r="505" customFormat="false" ht="18.7" hidden="false" customHeight="true" outlineLevel="0" collapsed="false">
      <c r="A505" s="1" t="n">
        <v>504</v>
      </c>
      <c r="B505" s="7" t="str">
        <f aca="false">HYPERLINK("https://mncourtfraud.com/file/27-CR-23-4904.pdf","27-CR-23-4904")</f>
        <v>27-CR-23-4904</v>
      </c>
      <c r="C505" s="1" t="n">
        <v>1</v>
      </c>
      <c r="D505" s="2" t="s">
        <v>12</v>
      </c>
      <c r="E505" s="8" t="n">
        <v>45048</v>
      </c>
      <c r="F505" s="2" t="s">
        <v>80</v>
      </c>
      <c r="G505" s="7" t="str">
        <f aca="false">HYPERLINK("https://mncourtfraud.com/file/MCRO_27-CR-23-4904_Finding of Incompetency and Order_2023-05-02_20251126190244.pdf","MCRO_27-CR-23-4904_Finding of Incompetency and Order_2023-05-02_20251126190244.pdf")</f>
        <v>MCRO_27-CR-23-4904_Finding of Incompetency and Order_2023-05-02_20251126190244.pdf</v>
      </c>
      <c r="H505" s="1" t="n">
        <v>9</v>
      </c>
      <c r="I505" s="1" t="s">
        <v>1366</v>
      </c>
      <c r="J505" s="1" t="n">
        <v>1</v>
      </c>
      <c r="K505" s="1" t="n">
        <v>1</v>
      </c>
      <c r="L505" s="2" t="s">
        <v>1491</v>
      </c>
      <c r="M505" s="2" t="s">
        <v>1492</v>
      </c>
      <c r="N505" s="2" t="s">
        <v>1493</v>
      </c>
      <c r="O505" s="2" t="s">
        <v>1494</v>
      </c>
      <c r="P505" s="2" t="s">
        <v>1495</v>
      </c>
      <c r="Q505" s="1" t="n">
        <v>0</v>
      </c>
      <c r="R505" s="2" t="n">
        <v>100288</v>
      </c>
      <c r="S505" s="2" t="n">
        <v>112370</v>
      </c>
      <c r="T505" s="2" t="n">
        <v>48200</v>
      </c>
      <c r="U505" s="2" t="n">
        <v>148488</v>
      </c>
      <c r="V505" s="2" t="n">
        <v>15.21</v>
      </c>
      <c r="W505" s="2" t="s">
        <v>1366</v>
      </c>
    </row>
    <row r="506" customFormat="false" ht="18.7" hidden="false" customHeight="true" outlineLevel="0" collapsed="false">
      <c r="A506" s="1" t="n">
        <v>505</v>
      </c>
      <c r="B506" s="7" t="str">
        <f aca="false">HYPERLINK("https://mncourtfraud.com/file/27-CR-23-4904.pdf","27-CR-23-4904")</f>
        <v>27-CR-23-4904</v>
      </c>
      <c r="C506" s="1" t="n">
        <v>1</v>
      </c>
      <c r="D506" s="2" t="s">
        <v>12</v>
      </c>
      <c r="E506" s="8" t="n">
        <v>45048</v>
      </c>
      <c r="F506" s="2" t="s">
        <v>80</v>
      </c>
      <c r="G506" s="7" t="str">
        <f aca="false">HYPERLINK("https://mncourtfraud.com/file/MCRO_27-CR-23-4904_Finding of Incompetency and Order_2023-05-02_20251126190244.pdf","MCRO_27-CR-23-4904_Finding of Incompetency and Order_2023-05-02_20251126190244.pdf")</f>
        <v>MCRO_27-CR-23-4904_Finding of Incompetency and Order_2023-05-02_20251126190244.pdf</v>
      </c>
      <c r="H506" s="1" t="n">
        <v>9</v>
      </c>
      <c r="I506" s="1" t="s">
        <v>1366</v>
      </c>
      <c r="J506" s="1" t="n">
        <v>2</v>
      </c>
      <c r="K506" s="1" t="n">
        <v>2</v>
      </c>
      <c r="L506" s="2" t="s">
        <v>1367</v>
      </c>
      <c r="M506" s="2" t="s">
        <v>1496</v>
      </c>
      <c r="N506" s="2" t="s">
        <v>1497</v>
      </c>
      <c r="O506" s="2" t="s">
        <v>1494</v>
      </c>
      <c r="P506" s="2" t="s">
        <v>1498</v>
      </c>
      <c r="Q506" s="1" t="n">
        <v>0</v>
      </c>
      <c r="R506" s="2" t="n">
        <v>160968</v>
      </c>
      <c r="S506" s="2" t="n">
        <v>167974</v>
      </c>
      <c r="T506" s="2" t="n">
        <v>59084</v>
      </c>
      <c r="U506" s="2" t="n">
        <v>220052</v>
      </c>
      <c r="V506" s="2" t="n">
        <v>22.53</v>
      </c>
      <c r="W506" s="2" t="s">
        <v>1366</v>
      </c>
    </row>
    <row r="507" customFormat="false" ht="18.7" hidden="false" customHeight="true" outlineLevel="0" collapsed="false">
      <c r="A507" s="1" t="n">
        <v>506</v>
      </c>
      <c r="B507" s="7" t="str">
        <f aca="false">HYPERLINK("https://mncourtfraud.com/file/27-CR-23-4904.pdf","27-CR-23-4904")</f>
        <v>27-CR-23-4904</v>
      </c>
      <c r="C507" s="1" t="n">
        <v>1</v>
      </c>
      <c r="D507" s="2" t="s">
        <v>12</v>
      </c>
      <c r="E507" s="8" t="n">
        <v>45048</v>
      </c>
      <c r="F507" s="2" t="s">
        <v>80</v>
      </c>
      <c r="G507" s="7" t="str">
        <f aca="false">HYPERLINK("https://mncourtfraud.com/file/MCRO_27-CR-23-4904_Finding of Incompetency and Order_2023-05-02_20251126190244.pdf","MCRO_27-CR-23-4904_Finding of Incompetency and Order_2023-05-02_20251126190244.pdf")</f>
        <v>MCRO_27-CR-23-4904_Finding of Incompetency and Order_2023-05-02_20251126190244.pdf</v>
      </c>
      <c r="H507" s="1" t="n">
        <v>9</v>
      </c>
      <c r="I507" s="1" t="s">
        <v>1366</v>
      </c>
      <c r="J507" s="1" t="n">
        <v>3</v>
      </c>
      <c r="K507" s="1" t="n">
        <v>3</v>
      </c>
      <c r="L507" s="2" t="s">
        <v>2214</v>
      </c>
      <c r="M507" s="2" t="s">
        <v>1362</v>
      </c>
      <c r="N507" s="2" t="s">
        <v>2215</v>
      </c>
      <c r="O507" s="2" t="s">
        <v>1364</v>
      </c>
      <c r="P507" s="2" t="s">
        <v>1501</v>
      </c>
      <c r="Q507" s="1" t="n">
        <v>0</v>
      </c>
      <c r="R507" s="2" t="n">
        <v>954853</v>
      </c>
      <c r="S507" s="2" t="n">
        <v>971239</v>
      </c>
      <c r="T507" s="2" t="n">
        <v>5308</v>
      </c>
      <c r="U507" s="2" t="n">
        <v>960161</v>
      </c>
      <c r="V507" s="2" t="n">
        <v>98.32</v>
      </c>
      <c r="W507" s="2" t="s">
        <v>1360</v>
      </c>
    </row>
    <row r="508" customFormat="false" ht="18.7" hidden="false" customHeight="true" outlineLevel="0" collapsed="false">
      <c r="A508" s="1" t="n">
        <v>507</v>
      </c>
      <c r="B508" s="7" t="str">
        <f aca="false">HYPERLINK("https://mncourtfraud.com/file/27-CR-23-4904.pdf","27-CR-23-4904")</f>
        <v>27-CR-23-4904</v>
      </c>
      <c r="C508" s="1" t="n">
        <v>1</v>
      </c>
      <c r="D508" s="2" t="s">
        <v>12</v>
      </c>
      <c r="E508" s="8" t="n">
        <v>45093</v>
      </c>
      <c r="F508" s="2" t="s">
        <v>82</v>
      </c>
      <c r="G508" s="7" t="str">
        <f aca="false">HYPERLINK("https://mncourtfraud.com/file/MCRO_27-CR-23-4904_Notice of Case Reassignment_2023-06-16_20251126190256.pdf","MCRO_27-CR-23-4904_Notice of Case Reassignment_2023-06-16_20251126190256.pdf")</f>
        <v>MCRO_27-CR-23-4904_Notice of Case Reassignment_2023-06-16_20251126190256.pdf</v>
      </c>
      <c r="H508" s="1" t="n">
        <v>3</v>
      </c>
      <c r="I508" s="1" t="s">
        <v>1360</v>
      </c>
      <c r="J508" s="1" t="n">
        <v>1</v>
      </c>
      <c r="K508" s="1" t="n">
        <v>1</v>
      </c>
      <c r="L508" s="2" t="s">
        <v>2216</v>
      </c>
      <c r="M508" s="2" t="s">
        <v>1362</v>
      </c>
      <c r="N508" s="2" t="s">
        <v>2217</v>
      </c>
      <c r="O508" s="2" t="s">
        <v>1364</v>
      </c>
      <c r="P508" s="2" t="s">
        <v>1508</v>
      </c>
      <c r="Q508" s="1" t="n">
        <v>0</v>
      </c>
      <c r="R508" s="2" t="n">
        <v>92690</v>
      </c>
      <c r="S508" s="2" t="n">
        <v>109076</v>
      </c>
      <c r="T508" s="2" t="n">
        <v>4554</v>
      </c>
      <c r="U508" s="2" t="n">
        <v>97244</v>
      </c>
      <c r="V508" s="2" t="n">
        <v>85.58</v>
      </c>
      <c r="W508" s="2" t="s">
        <v>1360</v>
      </c>
    </row>
    <row r="509" customFormat="false" ht="18.7" hidden="false" customHeight="true" outlineLevel="0" collapsed="false">
      <c r="A509" s="1" t="n">
        <v>508</v>
      </c>
      <c r="B509" s="7" t="str">
        <f aca="false">HYPERLINK("https://mncourtfraud.com/file/27-CR-23-4904.pdf","27-CR-23-4904")</f>
        <v>27-CR-23-4904</v>
      </c>
      <c r="C509" s="1" t="n">
        <v>1</v>
      </c>
      <c r="D509" s="2" t="s">
        <v>12</v>
      </c>
      <c r="E509" s="8" t="n">
        <v>45160</v>
      </c>
      <c r="F509" s="2" t="s">
        <v>15</v>
      </c>
      <c r="G509" s="7" t="str">
        <f aca="false">HYPERLINK("https://mncourtfraud.com/file/MCRO_27-CR-23-4904_Order-Evaluation for Competency to Proceed (Rule 20.01)_2023-08-22_20251126190323.pdf","MCRO_27-CR-23-4904_Order-Evaluation for Competency to Proceed (Rule 20.01)_2023-08-22_20251126190323.pdf")</f>
        <v>MCRO_27-CR-23-4904_Order-Evaluation for Competency to Proceed (Rule 20.01)_2023-08-22_20251126190323.pdf</v>
      </c>
      <c r="H509" s="1" t="n">
        <v>6</v>
      </c>
      <c r="I509" s="1" t="s">
        <v>1366</v>
      </c>
      <c r="J509" s="1" t="n">
        <v>1</v>
      </c>
      <c r="K509" s="1" t="n">
        <v>1</v>
      </c>
      <c r="L509" s="2" t="s">
        <v>1367</v>
      </c>
      <c r="M509" s="2" t="s">
        <v>1519</v>
      </c>
      <c r="N509" s="2" t="s">
        <v>1520</v>
      </c>
      <c r="O509" s="2" t="s">
        <v>1494</v>
      </c>
      <c r="P509" s="2" t="s">
        <v>1521</v>
      </c>
      <c r="Q509" s="1" t="n">
        <v>0</v>
      </c>
      <c r="R509" s="2" t="n">
        <v>122115</v>
      </c>
      <c r="S509" s="2" t="n">
        <v>129143</v>
      </c>
      <c r="T509" s="2" t="n">
        <v>87775</v>
      </c>
      <c r="U509" s="2" t="n">
        <v>209890</v>
      </c>
      <c r="V509" s="2" t="n">
        <v>23.95</v>
      </c>
      <c r="W509" s="2" t="s">
        <v>1366</v>
      </c>
    </row>
    <row r="510" customFormat="false" ht="18.7" hidden="false" customHeight="true" outlineLevel="0" collapsed="false">
      <c r="A510" s="1" t="n">
        <v>509</v>
      </c>
      <c r="B510" s="7" t="str">
        <f aca="false">HYPERLINK("https://mncourtfraud.com/file/27-CR-23-4904.pdf","27-CR-23-4904")</f>
        <v>27-CR-23-4904</v>
      </c>
      <c r="C510" s="1" t="n">
        <v>1</v>
      </c>
      <c r="D510" s="2" t="s">
        <v>12</v>
      </c>
      <c r="E510" s="8" t="n">
        <v>45160</v>
      </c>
      <c r="F510" s="2" t="s">
        <v>15</v>
      </c>
      <c r="G510" s="7" t="str">
        <f aca="false">HYPERLINK("https://mncourtfraud.com/file/MCRO_27-CR-23-4904_Order-Evaluation for Competency to Proceed (Rule 20.01)_2023-08-22_20251126190323.pdf","MCRO_27-CR-23-4904_Order-Evaluation for Competency to Proceed (Rule 20.01)_2023-08-22_20251126190323.pdf")</f>
        <v>MCRO_27-CR-23-4904_Order-Evaluation for Competency to Proceed (Rule 20.01)_2023-08-22_20251126190323.pdf</v>
      </c>
      <c r="H510" s="1" t="n">
        <v>6</v>
      </c>
      <c r="I510" s="1" t="s">
        <v>1366</v>
      </c>
      <c r="J510" s="1" t="n">
        <v>2</v>
      </c>
      <c r="K510" s="1" t="n">
        <v>2</v>
      </c>
      <c r="L510" s="2" t="s">
        <v>2218</v>
      </c>
      <c r="M510" s="2" t="s">
        <v>1362</v>
      </c>
      <c r="N510" s="2" t="s">
        <v>2219</v>
      </c>
      <c r="O510" s="2" t="s">
        <v>1364</v>
      </c>
      <c r="P510" s="2" t="s">
        <v>1524</v>
      </c>
      <c r="Q510" s="1" t="n">
        <v>0</v>
      </c>
      <c r="R510" s="2" t="n">
        <v>855043</v>
      </c>
      <c r="S510" s="2" t="n">
        <v>871429</v>
      </c>
      <c r="T510" s="2" t="n">
        <v>4974</v>
      </c>
      <c r="U510" s="2" t="n">
        <v>860017</v>
      </c>
      <c r="V510" s="2" t="n">
        <v>98.13</v>
      </c>
      <c r="W510" s="2" t="s">
        <v>1360</v>
      </c>
    </row>
    <row r="511" customFormat="false" ht="18.7" hidden="false" customHeight="true" outlineLevel="0" collapsed="false">
      <c r="A511" s="1" t="n">
        <v>510</v>
      </c>
      <c r="B511" s="7" t="str">
        <f aca="false">HYPERLINK("https://mncourtfraud.com/file/27-CR-23-4904.pdf","27-CR-23-4904")</f>
        <v>27-CR-23-4904</v>
      </c>
      <c r="C511" s="1" t="n">
        <v>1</v>
      </c>
      <c r="D511" s="2" t="s">
        <v>12</v>
      </c>
      <c r="E511" s="8" t="n">
        <v>45412</v>
      </c>
      <c r="F511" s="2" t="s">
        <v>15</v>
      </c>
      <c r="G511" s="7" t="str">
        <f aca="false">HYPERLINK("https://mncourtfraud.com/file/MCRO_27-CR-23-4904_Order-Evaluation for Competency to Proceed (Rule 20.01)_2024-04-30_20251126190319.pdf","MCRO_27-CR-23-4904_Order-Evaluation for Competency to Proceed (Rule 20.01)_2024-04-30_20251126190319.pdf")</f>
        <v>MCRO_27-CR-23-4904_Order-Evaluation for Competency to Proceed (Rule 20.01)_2024-04-30_20251126190319.pdf</v>
      </c>
      <c r="H511" s="1" t="n">
        <v>4</v>
      </c>
      <c r="I511" s="1" t="s">
        <v>1360</v>
      </c>
      <c r="J511" s="1" t="n">
        <v>1</v>
      </c>
      <c r="K511" s="1" t="n">
        <v>1</v>
      </c>
      <c r="L511" s="2" t="s">
        <v>2220</v>
      </c>
      <c r="M511" s="2" t="s">
        <v>1362</v>
      </c>
      <c r="N511" s="2" t="s">
        <v>2221</v>
      </c>
      <c r="O511" s="2" t="s">
        <v>1364</v>
      </c>
      <c r="P511" s="2" t="s">
        <v>1390</v>
      </c>
      <c r="Q511" s="1" t="n">
        <v>0</v>
      </c>
      <c r="R511" s="2" t="n">
        <v>198657</v>
      </c>
      <c r="S511" s="2" t="n">
        <v>215043</v>
      </c>
      <c r="T511" s="2" t="n">
        <v>4474</v>
      </c>
      <c r="U511" s="2" t="n">
        <v>203131</v>
      </c>
      <c r="V511" s="2" t="n">
        <v>92.54</v>
      </c>
      <c r="W511" s="2" t="s">
        <v>1360</v>
      </c>
    </row>
    <row r="512" customFormat="false" ht="18.7" hidden="false" customHeight="true" outlineLevel="0" collapsed="false">
      <c r="A512" s="1" t="n">
        <v>511</v>
      </c>
      <c r="B512" s="7" t="str">
        <f aca="false">HYPERLINK("https://mncourtfraud.com/file/27-CR-23-4904.pdf","27-CR-23-4904")</f>
        <v>27-CR-23-4904</v>
      </c>
      <c r="C512" s="1" t="n">
        <v>1</v>
      </c>
      <c r="D512" s="2" t="s">
        <v>12</v>
      </c>
      <c r="E512" s="8" t="n">
        <v>45412</v>
      </c>
      <c r="F512" s="2" t="s">
        <v>24</v>
      </c>
      <c r="G512" s="7" t="str">
        <f aca="false">HYPERLINK("https://mncourtfraud.com/file/MCRO_27-CR-23-4904_Order for Conditional Release_2024-04-30_20251126190306.pdf","MCRO_27-CR-23-4904_Order for Conditional Release_2024-04-30_20251126190306.pdf")</f>
        <v>MCRO_27-CR-23-4904_Order for Conditional Release_2024-04-30_20251126190306.pdf</v>
      </c>
      <c r="H512" s="1" t="n">
        <v>4</v>
      </c>
      <c r="I512" s="1" t="s">
        <v>1360</v>
      </c>
      <c r="J512" s="1" t="n">
        <v>1</v>
      </c>
      <c r="K512" s="1" t="n">
        <v>1</v>
      </c>
      <c r="L512" s="2" t="s">
        <v>2222</v>
      </c>
      <c r="M512" s="2" t="s">
        <v>1362</v>
      </c>
      <c r="N512" s="2" t="s">
        <v>2223</v>
      </c>
      <c r="O512" s="2" t="s">
        <v>1364</v>
      </c>
      <c r="P512" s="2" t="s">
        <v>1536</v>
      </c>
      <c r="Q512" s="1" t="n">
        <v>0</v>
      </c>
      <c r="R512" s="2" t="n">
        <v>129680</v>
      </c>
      <c r="S512" s="2" t="n">
        <v>146066</v>
      </c>
      <c r="T512" s="2" t="n">
        <v>4468</v>
      </c>
      <c r="U512" s="2" t="n">
        <v>134148</v>
      </c>
      <c r="V512" s="2" t="n">
        <v>89.11</v>
      </c>
      <c r="W512" s="2" t="s">
        <v>1360</v>
      </c>
    </row>
    <row r="513" customFormat="false" ht="18.7" hidden="false" customHeight="true" outlineLevel="0" collapsed="false">
      <c r="A513" s="1" t="n">
        <v>512</v>
      </c>
      <c r="B513" s="7" t="str">
        <f aca="false">HYPERLINK("https://mncourtfraud.com/file/27-CR-23-7087.pdf","27-CR-23-7087")</f>
        <v>27-CR-23-7087</v>
      </c>
      <c r="C513" s="1" t="n">
        <v>1</v>
      </c>
      <c r="D513" s="2" t="s">
        <v>12</v>
      </c>
      <c r="E513" s="8" t="n">
        <v>45048</v>
      </c>
      <c r="F513" s="2" t="s">
        <v>80</v>
      </c>
      <c r="G513" s="7" t="str">
        <f aca="false">HYPERLINK("https://mncourtfraud.com/file/MCRO_27-CR-23-7087_Finding of Incompetency and Order_2023-05-02_20251126190352.pdf","MCRO_27-CR-23-7087_Finding of Incompetency and Order_2023-05-02_20251126190352.pdf")</f>
        <v>MCRO_27-CR-23-7087_Finding of Incompetency and Order_2023-05-02_20251126190352.pdf</v>
      </c>
      <c r="H513" s="1" t="n">
        <v>9</v>
      </c>
      <c r="I513" s="1" t="s">
        <v>1366</v>
      </c>
      <c r="J513" s="1" t="n">
        <v>1</v>
      </c>
      <c r="K513" s="1" t="n">
        <v>1</v>
      </c>
      <c r="L513" s="2" t="s">
        <v>1491</v>
      </c>
      <c r="M513" s="2" t="s">
        <v>1492</v>
      </c>
      <c r="N513" s="2" t="s">
        <v>1493</v>
      </c>
      <c r="O513" s="2" t="s">
        <v>1494</v>
      </c>
      <c r="P513" s="2" t="s">
        <v>1495</v>
      </c>
      <c r="Q513" s="1" t="n">
        <v>0</v>
      </c>
      <c r="R513" s="2" t="n">
        <v>100288</v>
      </c>
      <c r="S513" s="2" t="n">
        <v>112370</v>
      </c>
      <c r="T513" s="2" t="n">
        <v>48200</v>
      </c>
      <c r="U513" s="2" t="n">
        <v>148488</v>
      </c>
      <c r="V513" s="2" t="n">
        <v>15.21</v>
      </c>
      <c r="W513" s="2" t="s">
        <v>1366</v>
      </c>
    </row>
    <row r="514" customFormat="false" ht="18.7" hidden="false" customHeight="true" outlineLevel="0" collapsed="false">
      <c r="A514" s="1" t="n">
        <v>513</v>
      </c>
      <c r="B514" s="7" t="str">
        <f aca="false">HYPERLINK("https://mncourtfraud.com/file/27-CR-23-7087.pdf","27-CR-23-7087")</f>
        <v>27-CR-23-7087</v>
      </c>
      <c r="C514" s="1" t="n">
        <v>1</v>
      </c>
      <c r="D514" s="2" t="s">
        <v>12</v>
      </c>
      <c r="E514" s="8" t="n">
        <v>45048</v>
      </c>
      <c r="F514" s="2" t="s">
        <v>80</v>
      </c>
      <c r="G514" s="7" t="str">
        <f aca="false">HYPERLINK("https://mncourtfraud.com/file/MCRO_27-CR-23-7087_Finding of Incompetency and Order_2023-05-02_20251126190352.pdf","MCRO_27-CR-23-7087_Finding of Incompetency and Order_2023-05-02_20251126190352.pdf")</f>
        <v>MCRO_27-CR-23-7087_Finding of Incompetency and Order_2023-05-02_20251126190352.pdf</v>
      </c>
      <c r="H514" s="1" t="n">
        <v>9</v>
      </c>
      <c r="I514" s="1" t="s">
        <v>1366</v>
      </c>
      <c r="J514" s="1" t="n">
        <v>2</v>
      </c>
      <c r="K514" s="1" t="n">
        <v>2</v>
      </c>
      <c r="L514" s="2" t="s">
        <v>1367</v>
      </c>
      <c r="M514" s="2" t="s">
        <v>1496</v>
      </c>
      <c r="N514" s="2" t="s">
        <v>1497</v>
      </c>
      <c r="O514" s="2" t="s">
        <v>1494</v>
      </c>
      <c r="P514" s="2" t="s">
        <v>1498</v>
      </c>
      <c r="Q514" s="1" t="n">
        <v>0</v>
      </c>
      <c r="R514" s="2" t="n">
        <v>160968</v>
      </c>
      <c r="S514" s="2" t="n">
        <v>167974</v>
      </c>
      <c r="T514" s="2" t="n">
        <v>59084</v>
      </c>
      <c r="U514" s="2" t="n">
        <v>220052</v>
      </c>
      <c r="V514" s="2" t="n">
        <v>22.53</v>
      </c>
      <c r="W514" s="2" t="s">
        <v>1366</v>
      </c>
    </row>
    <row r="515" customFormat="false" ht="18.7" hidden="false" customHeight="true" outlineLevel="0" collapsed="false">
      <c r="A515" s="1" t="n">
        <v>514</v>
      </c>
      <c r="B515" s="7" t="str">
        <f aca="false">HYPERLINK("https://mncourtfraud.com/file/27-CR-23-7087.pdf","27-CR-23-7087")</f>
        <v>27-CR-23-7087</v>
      </c>
      <c r="C515" s="1" t="n">
        <v>1</v>
      </c>
      <c r="D515" s="2" t="s">
        <v>12</v>
      </c>
      <c r="E515" s="8" t="n">
        <v>45048</v>
      </c>
      <c r="F515" s="2" t="s">
        <v>80</v>
      </c>
      <c r="G515" s="7" t="str">
        <f aca="false">HYPERLINK("https://mncourtfraud.com/file/MCRO_27-CR-23-7087_Finding of Incompetency and Order_2023-05-02_20251126190352.pdf","MCRO_27-CR-23-7087_Finding of Incompetency and Order_2023-05-02_20251126190352.pdf")</f>
        <v>MCRO_27-CR-23-7087_Finding of Incompetency and Order_2023-05-02_20251126190352.pdf</v>
      </c>
      <c r="H515" s="1" t="n">
        <v>9</v>
      </c>
      <c r="I515" s="1" t="s">
        <v>1366</v>
      </c>
      <c r="J515" s="1" t="n">
        <v>3</v>
      </c>
      <c r="K515" s="1" t="n">
        <v>3</v>
      </c>
      <c r="L515" s="2" t="s">
        <v>2224</v>
      </c>
      <c r="M515" s="2" t="s">
        <v>1362</v>
      </c>
      <c r="N515" s="2" t="s">
        <v>2225</v>
      </c>
      <c r="O515" s="2" t="s">
        <v>1364</v>
      </c>
      <c r="P515" s="2" t="s">
        <v>1501</v>
      </c>
      <c r="Q515" s="1" t="n">
        <v>0</v>
      </c>
      <c r="R515" s="2" t="n">
        <v>954854</v>
      </c>
      <c r="S515" s="2" t="n">
        <v>971240</v>
      </c>
      <c r="T515" s="2" t="n">
        <v>5306</v>
      </c>
      <c r="U515" s="2" t="n">
        <v>960160</v>
      </c>
      <c r="V515" s="2" t="n">
        <v>98.32</v>
      </c>
      <c r="W515" s="2" t="s">
        <v>1360</v>
      </c>
    </row>
    <row r="516" customFormat="false" ht="18.7" hidden="false" customHeight="true" outlineLevel="0" collapsed="false">
      <c r="A516" s="1" t="n">
        <v>515</v>
      </c>
      <c r="B516" s="7" t="str">
        <f aca="false">HYPERLINK("https://mncourtfraud.com/file/27-CR-23-7087.pdf","27-CR-23-7087")</f>
        <v>27-CR-23-7087</v>
      </c>
      <c r="C516" s="1" t="n">
        <v>1</v>
      </c>
      <c r="D516" s="2" t="s">
        <v>12</v>
      </c>
      <c r="E516" s="8" t="n">
        <v>45160</v>
      </c>
      <c r="F516" s="2" t="s">
        <v>15</v>
      </c>
      <c r="G516" s="7" t="str">
        <f aca="false">HYPERLINK("https://mncourtfraud.com/file/MCRO_27-CR-23-7087_Order-Evaluation for Competency to Proceed (Rule 20.01)_2023-08-22_20251126190421.pdf","MCRO_27-CR-23-7087_Order-Evaluation for Competency to Proceed (Rule 20.01)_2023-08-22_20251126190421.pdf")</f>
        <v>MCRO_27-CR-23-7087_Order-Evaluation for Competency to Proceed (Rule 20.01)_2023-08-22_20251126190421.pdf</v>
      </c>
      <c r="H516" s="1" t="n">
        <v>6</v>
      </c>
      <c r="I516" s="1" t="s">
        <v>1366</v>
      </c>
      <c r="J516" s="1" t="n">
        <v>1</v>
      </c>
      <c r="K516" s="1" t="n">
        <v>1</v>
      </c>
      <c r="L516" s="2" t="s">
        <v>1367</v>
      </c>
      <c r="M516" s="2" t="s">
        <v>1519</v>
      </c>
      <c r="N516" s="2" t="s">
        <v>1520</v>
      </c>
      <c r="O516" s="2" t="s">
        <v>1494</v>
      </c>
      <c r="P516" s="2" t="s">
        <v>1521</v>
      </c>
      <c r="Q516" s="1" t="n">
        <v>0</v>
      </c>
      <c r="R516" s="2" t="n">
        <v>122115</v>
      </c>
      <c r="S516" s="2" t="n">
        <v>129143</v>
      </c>
      <c r="T516" s="2" t="n">
        <v>87775</v>
      </c>
      <c r="U516" s="2" t="n">
        <v>209890</v>
      </c>
      <c r="V516" s="2" t="n">
        <v>23.95</v>
      </c>
      <c r="W516" s="2" t="s">
        <v>1366</v>
      </c>
    </row>
    <row r="517" customFormat="false" ht="18.7" hidden="false" customHeight="true" outlineLevel="0" collapsed="false">
      <c r="A517" s="1" t="n">
        <v>516</v>
      </c>
      <c r="B517" s="7" t="str">
        <f aca="false">HYPERLINK("https://mncourtfraud.com/file/27-CR-23-7087.pdf","27-CR-23-7087")</f>
        <v>27-CR-23-7087</v>
      </c>
      <c r="C517" s="1" t="n">
        <v>1</v>
      </c>
      <c r="D517" s="2" t="s">
        <v>12</v>
      </c>
      <c r="E517" s="8" t="n">
        <v>45160</v>
      </c>
      <c r="F517" s="2" t="s">
        <v>15</v>
      </c>
      <c r="G517" s="7" t="str">
        <f aca="false">HYPERLINK("https://mncourtfraud.com/file/MCRO_27-CR-23-7087_Order-Evaluation for Competency to Proceed (Rule 20.01)_2023-08-22_20251126190421.pdf","MCRO_27-CR-23-7087_Order-Evaluation for Competency to Proceed (Rule 20.01)_2023-08-22_20251126190421.pdf")</f>
        <v>MCRO_27-CR-23-7087_Order-Evaluation for Competency to Proceed (Rule 20.01)_2023-08-22_20251126190421.pdf</v>
      </c>
      <c r="H517" s="1" t="n">
        <v>6</v>
      </c>
      <c r="I517" s="1" t="s">
        <v>1366</v>
      </c>
      <c r="J517" s="1" t="n">
        <v>2</v>
      </c>
      <c r="K517" s="1" t="n">
        <v>2</v>
      </c>
      <c r="L517" s="2" t="s">
        <v>2226</v>
      </c>
      <c r="M517" s="2" t="s">
        <v>1362</v>
      </c>
      <c r="N517" s="2" t="s">
        <v>2227</v>
      </c>
      <c r="O517" s="2" t="s">
        <v>1364</v>
      </c>
      <c r="P517" s="2" t="s">
        <v>1524</v>
      </c>
      <c r="Q517" s="1" t="n">
        <v>0</v>
      </c>
      <c r="R517" s="2" t="n">
        <v>855043</v>
      </c>
      <c r="S517" s="2" t="n">
        <v>871429</v>
      </c>
      <c r="T517" s="2" t="n">
        <v>4973</v>
      </c>
      <c r="U517" s="2" t="n">
        <v>860016</v>
      </c>
      <c r="V517" s="2" t="n">
        <v>98.13</v>
      </c>
      <c r="W517" s="2" t="s">
        <v>1360</v>
      </c>
    </row>
    <row r="518" customFormat="false" ht="18.7" hidden="false" customHeight="true" outlineLevel="0" collapsed="false">
      <c r="A518" s="1" t="n">
        <v>517</v>
      </c>
      <c r="B518" s="7" t="str">
        <f aca="false">HYPERLINK("https://mncourtfraud.com/file/27-CR-23-7087.pdf","27-CR-23-7087")</f>
        <v>27-CR-23-7087</v>
      </c>
      <c r="C518" s="1" t="n">
        <v>1</v>
      </c>
      <c r="D518" s="2" t="s">
        <v>12</v>
      </c>
      <c r="E518" s="8" t="n">
        <v>45412</v>
      </c>
      <c r="F518" s="2" t="s">
        <v>15</v>
      </c>
      <c r="G518" s="7" t="str">
        <f aca="false">HYPERLINK("https://mncourtfraud.com/file/MCRO_27-CR-23-7087_Order-Evaluation for Competency to Proceed (Rule 20.01)_2024-04-30_20251126190428.pdf","MCRO_27-CR-23-7087_Order-Evaluation for Competency to Proceed (Rule 20.01)_2024-04-30_20251126190428.pdf")</f>
        <v>MCRO_27-CR-23-7087_Order-Evaluation for Competency to Proceed (Rule 20.01)_2024-04-30_20251126190428.pdf</v>
      </c>
      <c r="H518" s="1" t="n">
        <v>4</v>
      </c>
      <c r="I518" s="1" t="s">
        <v>1360</v>
      </c>
      <c r="J518" s="1" t="n">
        <v>1</v>
      </c>
      <c r="K518" s="1" t="n">
        <v>1</v>
      </c>
      <c r="L518" s="2" t="s">
        <v>2228</v>
      </c>
      <c r="M518" s="2" t="s">
        <v>1362</v>
      </c>
      <c r="N518" s="2" t="s">
        <v>2229</v>
      </c>
      <c r="O518" s="2" t="s">
        <v>1364</v>
      </c>
      <c r="P518" s="2" t="s">
        <v>1390</v>
      </c>
      <c r="Q518" s="1" t="n">
        <v>0</v>
      </c>
      <c r="R518" s="2" t="n">
        <v>198674</v>
      </c>
      <c r="S518" s="2" t="n">
        <v>215060</v>
      </c>
      <c r="T518" s="2" t="n">
        <v>4474</v>
      </c>
      <c r="U518" s="2" t="n">
        <v>203148</v>
      </c>
      <c r="V518" s="2" t="n">
        <v>92.54</v>
      </c>
      <c r="W518" s="2" t="s">
        <v>1360</v>
      </c>
    </row>
    <row r="519" customFormat="false" ht="18.7" hidden="false" customHeight="true" outlineLevel="0" collapsed="false">
      <c r="A519" s="1" t="n">
        <v>518</v>
      </c>
      <c r="B519" s="7" t="str">
        <f aca="false">HYPERLINK("https://mncourtfraud.com/file/27-CR-23-7087.pdf","27-CR-23-7087")</f>
        <v>27-CR-23-7087</v>
      </c>
      <c r="C519" s="1" t="n">
        <v>1</v>
      </c>
      <c r="D519" s="2" t="s">
        <v>12</v>
      </c>
      <c r="E519" s="8" t="n">
        <v>45412</v>
      </c>
      <c r="F519" s="2" t="s">
        <v>24</v>
      </c>
      <c r="G519" s="7" t="str">
        <f aca="false">HYPERLINK("https://mncourtfraud.com/file/MCRO_27-CR-23-7087_Order for Conditional Release_2024-04-30_20251126190403.pdf","MCRO_27-CR-23-7087_Order for Conditional Release_2024-04-30_20251126190403.pdf")</f>
        <v>MCRO_27-CR-23-7087_Order for Conditional Release_2024-04-30_20251126190403.pdf</v>
      </c>
      <c r="H519" s="1" t="n">
        <v>4</v>
      </c>
      <c r="I519" s="1" t="s">
        <v>1360</v>
      </c>
      <c r="J519" s="1" t="n">
        <v>1</v>
      </c>
      <c r="K519" s="1" t="n">
        <v>1</v>
      </c>
      <c r="L519" s="2" t="s">
        <v>2230</v>
      </c>
      <c r="M519" s="2" t="s">
        <v>1362</v>
      </c>
      <c r="N519" s="2" t="s">
        <v>2231</v>
      </c>
      <c r="O519" s="2" t="s">
        <v>1364</v>
      </c>
      <c r="P519" s="2" t="s">
        <v>1536</v>
      </c>
      <c r="Q519" s="1" t="n">
        <v>0</v>
      </c>
      <c r="R519" s="2" t="n">
        <v>129680</v>
      </c>
      <c r="S519" s="2" t="n">
        <v>146066</v>
      </c>
      <c r="T519" s="2" t="n">
        <v>4468</v>
      </c>
      <c r="U519" s="2" t="n">
        <v>134148</v>
      </c>
      <c r="V519" s="2" t="n">
        <v>89.11</v>
      </c>
      <c r="W519" s="2" t="s">
        <v>1360</v>
      </c>
    </row>
    <row r="520" customFormat="false" ht="18.7" hidden="false" customHeight="true" outlineLevel="0" collapsed="false">
      <c r="A520" s="1" t="n">
        <v>519</v>
      </c>
      <c r="B520" s="7" t="str">
        <f aca="false">HYPERLINK("https://mncourtfraud.com/file/27-CR-23-7088.pdf","27-CR-23-7088")</f>
        <v>27-CR-23-7088</v>
      </c>
      <c r="C520" s="1" t="n">
        <v>1</v>
      </c>
      <c r="D520" s="2" t="s">
        <v>12</v>
      </c>
      <c r="E520" s="8" t="n">
        <v>45048</v>
      </c>
      <c r="F520" s="2" t="s">
        <v>80</v>
      </c>
      <c r="G520" s="7" t="str">
        <f aca="false">HYPERLINK("https://mncourtfraud.com/file/MCRO_27-CR-23-7088_Finding of Incompetency and Order_2023-05-02_20251126190457.pdf","MCRO_27-CR-23-7088_Finding of Incompetency and Order_2023-05-02_20251126190457.pdf")</f>
        <v>MCRO_27-CR-23-7088_Finding of Incompetency and Order_2023-05-02_20251126190457.pdf</v>
      </c>
      <c r="H520" s="1" t="n">
        <v>9</v>
      </c>
      <c r="I520" s="1" t="s">
        <v>1366</v>
      </c>
      <c r="J520" s="1" t="n">
        <v>1</v>
      </c>
      <c r="K520" s="1" t="n">
        <v>1</v>
      </c>
      <c r="L520" s="2" t="s">
        <v>1491</v>
      </c>
      <c r="M520" s="2" t="s">
        <v>1492</v>
      </c>
      <c r="N520" s="2" t="s">
        <v>1493</v>
      </c>
      <c r="O520" s="2" t="s">
        <v>1494</v>
      </c>
      <c r="P520" s="2" t="s">
        <v>1495</v>
      </c>
      <c r="Q520" s="1" t="n">
        <v>0</v>
      </c>
      <c r="R520" s="2" t="n">
        <v>100288</v>
      </c>
      <c r="S520" s="2" t="n">
        <v>112370</v>
      </c>
      <c r="T520" s="2" t="n">
        <v>48200</v>
      </c>
      <c r="U520" s="2" t="n">
        <v>148488</v>
      </c>
      <c r="V520" s="2" t="n">
        <v>15.21</v>
      </c>
      <c r="W520" s="2" t="s">
        <v>1366</v>
      </c>
    </row>
    <row r="521" customFormat="false" ht="18.7" hidden="false" customHeight="true" outlineLevel="0" collapsed="false">
      <c r="A521" s="1" t="n">
        <v>520</v>
      </c>
      <c r="B521" s="7" t="str">
        <f aca="false">HYPERLINK("https://mncourtfraud.com/file/27-CR-23-7088.pdf","27-CR-23-7088")</f>
        <v>27-CR-23-7088</v>
      </c>
      <c r="C521" s="1" t="n">
        <v>1</v>
      </c>
      <c r="D521" s="2" t="s">
        <v>12</v>
      </c>
      <c r="E521" s="8" t="n">
        <v>45048</v>
      </c>
      <c r="F521" s="2" t="s">
        <v>80</v>
      </c>
      <c r="G521" s="7" t="str">
        <f aca="false">HYPERLINK("https://mncourtfraud.com/file/MCRO_27-CR-23-7088_Finding of Incompetency and Order_2023-05-02_20251126190457.pdf","MCRO_27-CR-23-7088_Finding of Incompetency and Order_2023-05-02_20251126190457.pdf")</f>
        <v>MCRO_27-CR-23-7088_Finding of Incompetency and Order_2023-05-02_20251126190457.pdf</v>
      </c>
      <c r="H521" s="1" t="n">
        <v>9</v>
      </c>
      <c r="I521" s="1" t="s">
        <v>1366</v>
      </c>
      <c r="J521" s="1" t="n">
        <v>2</v>
      </c>
      <c r="K521" s="1" t="n">
        <v>2</v>
      </c>
      <c r="L521" s="2" t="s">
        <v>1367</v>
      </c>
      <c r="M521" s="2" t="s">
        <v>1496</v>
      </c>
      <c r="N521" s="2" t="s">
        <v>1497</v>
      </c>
      <c r="O521" s="2" t="s">
        <v>1494</v>
      </c>
      <c r="P521" s="2" t="s">
        <v>1498</v>
      </c>
      <c r="Q521" s="1" t="n">
        <v>0</v>
      </c>
      <c r="R521" s="2" t="n">
        <v>160968</v>
      </c>
      <c r="S521" s="2" t="n">
        <v>167974</v>
      </c>
      <c r="T521" s="2" t="n">
        <v>59084</v>
      </c>
      <c r="U521" s="2" t="n">
        <v>220052</v>
      </c>
      <c r="V521" s="2" t="n">
        <v>22.53</v>
      </c>
      <c r="W521" s="2" t="s">
        <v>1366</v>
      </c>
    </row>
    <row r="522" customFormat="false" ht="18.7" hidden="false" customHeight="true" outlineLevel="0" collapsed="false">
      <c r="A522" s="1" t="n">
        <v>521</v>
      </c>
      <c r="B522" s="7" t="str">
        <f aca="false">HYPERLINK("https://mncourtfraud.com/file/27-CR-23-7088.pdf","27-CR-23-7088")</f>
        <v>27-CR-23-7088</v>
      </c>
      <c r="C522" s="1" t="n">
        <v>1</v>
      </c>
      <c r="D522" s="2" t="s">
        <v>12</v>
      </c>
      <c r="E522" s="8" t="n">
        <v>45048</v>
      </c>
      <c r="F522" s="2" t="s">
        <v>80</v>
      </c>
      <c r="G522" s="7" t="str">
        <f aca="false">HYPERLINK("https://mncourtfraud.com/file/MCRO_27-CR-23-7088_Finding of Incompetency and Order_2023-05-02_20251126190457.pdf","MCRO_27-CR-23-7088_Finding of Incompetency and Order_2023-05-02_20251126190457.pdf")</f>
        <v>MCRO_27-CR-23-7088_Finding of Incompetency and Order_2023-05-02_20251126190457.pdf</v>
      </c>
      <c r="H522" s="1" t="n">
        <v>9</v>
      </c>
      <c r="I522" s="1" t="s">
        <v>1366</v>
      </c>
      <c r="J522" s="1" t="n">
        <v>3</v>
      </c>
      <c r="K522" s="1" t="n">
        <v>3</v>
      </c>
      <c r="L522" s="2" t="s">
        <v>2232</v>
      </c>
      <c r="M522" s="2" t="s">
        <v>1362</v>
      </c>
      <c r="N522" s="2" t="s">
        <v>2233</v>
      </c>
      <c r="O522" s="2" t="s">
        <v>1364</v>
      </c>
      <c r="P522" s="2" t="s">
        <v>1501</v>
      </c>
      <c r="Q522" s="1" t="n">
        <v>0</v>
      </c>
      <c r="R522" s="2" t="n">
        <v>954853</v>
      </c>
      <c r="S522" s="2" t="n">
        <v>971239</v>
      </c>
      <c r="T522" s="2" t="n">
        <v>5309</v>
      </c>
      <c r="U522" s="2" t="n">
        <v>960162</v>
      </c>
      <c r="V522" s="2" t="n">
        <v>98.32</v>
      </c>
      <c r="W522" s="2" t="s">
        <v>1360</v>
      </c>
    </row>
    <row r="523" customFormat="false" ht="18.7" hidden="false" customHeight="true" outlineLevel="0" collapsed="false">
      <c r="A523" s="1" t="n">
        <v>522</v>
      </c>
      <c r="B523" s="7" t="str">
        <f aca="false">HYPERLINK("https://mncourtfraud.com/file/27-CR-23-7088.pdf","27-CR-23-7088")</f>
        <v>27-CR-23-7088</v>
      </c>
      <c r="C523" s="1" t="n">
        <v>1</v>
      </c>
      <c r="D523" s="2" t="s">
        <v>12</v>
      </c>
      <c r="E523" s="8" t="n">
        <v>45160</v>
      </c>
      <c r="F523" s="2" t="s">
        <v>15</v>
      </c>
      <c r="G523" s="7" t="str">
        <f aca="false">HYPERLINK("https://mncourtfraud.com/file/MCRO_27-CR-23-7088_Order-Evaluation for Competency to Proceed (Rule 20.01)_2023-08-22_20251126190533.pdf","MCRO_27-CR-23-7088_Order-Evaluation for Competency to Proceed (Rule 20.01)_2023-08-22_20251126190533.pdf")</f>
        <v>MCRO_27-CR-23-7088_Order-Evaluation for Competency to Proceed (Rule 20.01)_2023-08-22_20251126190533.pdf</v>
      </c>
      <c r="H523" s="1" t="n">
        <v>6</v>
      </c>
      <c r="I523" s="1" t="s">
        <v>1366</v>
      </c>
      <c r="J523" s="1" t="n">
        <v>1</v>
      </c>
      <c r="K523" s="1" t="n">
        <v>1</v>
      </c>
      <c r="L523" s="2" t="s">
        <v>1367</v>
      </c>
      <c r="M523" s="2" t="s">
        <v>1519</v>
      </c>
      <c r="N523" s="2" t="s">
        <v>1520</v>
      </c>
      <c r="O523" s="2" t="s">
        <v>1494</v>
      </c>
      <c r="P523" s="2" t="s">
        <v>1521</v>
      </c>
      <c r="Q523" s="1" t="n">
        <v>0</v>
      </c>
      <c r="R523" s="2" t="n">
        <v>122115</v>
      </c>
      <c r="S523" s="2" t="n">
        <v>129143</v>
      </c>
      <c r="T523" s="2" t="n">
        <v>87775</v>
      </c>
      <c r="U523" s="2" t="n">
        <v>209890</v>
      </c>
      <c r="V523" s="2" t="n">
        <v>23.95</v>
      </c>
      <c r="W523" s="2" t="s">
        <v>1366</v>
      </c>
    </row>
    <row r="524" customFormat="false" ht="18.7" hidden="false" customHeight="true" outlineLevel="0" collapsed="false">
      <c r="A524" s="1" t="n">
        <v>523</v>
      </c>
      <c r="B524" s="7" t="str">
        <f aca="false">HYPERLINK("https://mncourtfraud.com/file/27-CR-23-7088.pdf","27-CR-23-7088")</f>
        <v>27-CR-23-7088</v>
      </c>
      <c r="C524" s="1" t="n">
        <v>1</v>
      </c>
      <c r="D524" s="2" t="s">
        <v>12</v>
      </c>
      <c r="E524" s="8" t="n">
        <v>45160</v>
      </c>
      <c r="F524" s="2" t="s">
        <v>15</v>
      </c>
      <c r="G524" s="7" t="str">
        <f aca="false">HYPERLINK("https://mncourtfraud.com/file/MCRO_27-CR-23-7088_Order-Evaluation for Competency to Proceed (Rule 20.01)_2023-08-22_20251126190533.pdf","MCRO_27-CR-23-7088_Order-Evaluation for Competency to Proceed (Rule 20.01)_2023-08-22_20251126190533.pdf")</f>
        <v>MCRO_27-CR-23-7088_Order-Evaluation for Competency to Proceed (Rule 20.01)_2023-08-22_20251126190533.pdf</v>
      </c>
      <c r="H524" s="1" t="n">
        <v>6</v>
      </c>
      <c r="I524" s="1" t="s">
        <v>1366</v>
      </c>
      <c r="J524" s="1" t="n">
        <v>2</v>
      </c>
      <c r="K524" s="1" t="n">
        <v>2</v>
      </c>
      <c r="L524" s="2" t="s">
        <v>2234</v>
      </c>
      <c r="M524" s="2" t="s">
        <v>1362</v>
      </c>
      <c r="N524" s="2" t="s">
        <v>2235</v>
      </c>
      <c r="O524" s="2" t="s">
        <v>1364</v>
      </c>
      <c r="P524" s="2" t="s">
        <v>1524</v>
      </c>
      <c r="Q524" s="1" t="n">
        <v>0</v>
      </c>
      <c r="R524" s="2" t="n">
        <v>855043</v>
      </c>
      <c r="S524" s="2" t="n">
        <v>871429</v>
      </c>
      <c r="T524" s="2" t="n">
        <v>4974</v>
      </c>
      <c r="U524" s="2" t="n">
        <v>860017</v>
      </c>
      <c r="V524" s="2" t="n">
        <v>98.13</v>
      </c>
      <c r="W524" s="2" t="s">
        <v>1360</v>
      </c>
    </row>
    <row r="525" customFormat="false" ht="18.7" hidden="false" customHeight="true" outlineLevel="0" collapsed="false">
      <c r="A525" s="1" t="n">
        <v>524</v>
      </c>
      <c r="B525" s="7" t="str">
        <f aca="false">HYPERLINK("https://mncourtfraud.com/file/27-CR-23-7088.pdf","27-CR-23-7088")</f>
        <v>27-CR-23-7088</v>
      </c>
      <c r="C525" s="1" t="n">
        <v>1</v>
      </c>
      <c r="D525" s="2" t="s">
        <v>12</v>
      </c>
      <c r="E525" s="8" t="n">
        <v>45412</v>
      </c>
      <c r="F525" s="2" t="s">
        <v>15</v>
      </c>
      <c r="G525" s="7" t="str">
        <f aca="false">HYPERLINK("https://mncourtfraud.com/file/MCRO_27-CR-23-7088_Order-Evaluation for Competency to Proceed (Rule 20.01)_2024-04-30_20251126190522.pdf","MCRO_27-CR-23-7088_Order-Evaluation for Competency to Proceed (Rule 20.01)_2024-04-30_20251126190522.pdf")</f>
        <v>MCRO_27-CR-23-7088_Order-Evaluation for Competency to Proceed (Rule 20.01)_2024-04-30_20251126190522.pdf</v>
      </c>
      <c r="H525" s="1" t="n">
        <v>4</v>
      </c>
      <c r="I525" s="1" t="s">
        <v>1360</v>
      </c>
      <c r="J525" s="1" t="n">
        <v>1</v>
      </c>
      <c r="K525" s="1" t="n">
        <v>1</v>
      </c>
      <c r="L525" s="2" t="s">
        <v>2236</v>
      </c>
      <c r="M525" s="2" t="s">
        <v>1362</v>
      </c>
      <c r="N525" s="2" t="s">
        <v>2237</v>
      </c>
      <c r="O525" s="2" t="s">
        <v>1364</v>
      </c>
      <c r="P525" s="2" t="s">
        <v>1390</v>
      </c>
      <c r="Q525" s="1" t="n">
        <v>0</v>
      </c>
      <c r="R525" s="2" t="n">
        <v>198661</v>
      </c>
      <c r="S525" s="2" t="n">
        <v>215047</v>
      </c>
      <c r="T525" s="2" t="n">
        <v>4474</v>
      </c>
      <c r="U525" s="2" t="n">
        <v>203135</v>
      </c>
      <c r="V525" s="2" t="n">
        <v>92.54</v>
      </c>
      <c r="W525" s="2" t="s">
        <v>1360</v>
      </c>
    </row>
    <row r="526" customFormat="false" ht="18.7" hidden="false" customHeight="true" outlineLevel="0" collapsed="false">
      <c r="A526" s="1" t="n">
        <v>525</v>
      </c>
      <c r="B526" s="7" t="str">
        <f aca="false">HYPERLINK("https://mncourtfraud.com/file/27-CR-23-7088.pdf","27-CR-23-7088")</f>
        <v>27-CR-23-7088</v>
      </c>
      <c r="C526" s="1" t="n">
        <v>1</v>
      </c>
      <c r="D526" s="2" t="s">
        <v>12</v>
      </c>
      <c r="E526" s="8" t="n">
        <v>45412</v>
      </c>
      <c r="F526" s="2" t="s">
        <v>24</v>
      </c>
      <c r="G526" s="7" t="str">
        <f aca="false">HYPERLINK("https://mncourtfraud.com/file/MCRO_27-CR-23-7088_Order for Conditional Release_2024-04-30_20251126190516.pdf","MCRO_27-CR-23-7088_Order for Conditional Release_2024-04-30_20251126190516.pdf")</f>
        <v>MCRO_27-CR-23-7088_Order for Conditional Release_2024-04-30_20251126190516.pdf</v>
      </c>
      <c r="H526" s="1" t="n">
        <v>4</v>
      </c>
      <c r="I526" s="1" t="s">
        <v>1360</v>
      </c>
      <c r="J526" s="1" t="n">
        <v>1</v>
      </c>
      <c r="K526" s="1" t="n">
        <v>1</v>
      </c>
      <c r="L526" s="2" t="s">
        <v>2238</v>
      </c>
      <c r="M526" s="2" t="s">
        <v>1362</v>
      </c>
      <c r="N526" s="2" t="s">
        <v>2239</v>
      </c>
      <c r="O526" s="2" t="s">
        <v>1364</v>
      </c>
      <c r="P526" s="2" t="s">
        <v>1536</v>
      </c>
      <c r="Q526" s="1" t="n">
        <v>0</v>
      </c>
      <c r="R526" s="2" t="n">
        <v>129679</v>
      </c>
      <c r="S526" s="2" t="n">
        <v>146065</v>
      </c>
      <c r="T526" s="2" t="n">
        <v>4468</v>
      </c>
      <c r="U526" s="2" t="n">
        <v>134147</v>
      </c>
      <c r="V526" s="2" t="n">
        <v>89.11</v>
      </c>
      <c r="W526" s="2" t="s">
        <v>1360</v>
      </c>
    </row>
    <row r="527" customFormat="false" ht="18.7" hidden="false" customHeight="true" outlineLevel="0" collapsed="false">
      <c r="A527" s="1" t="n">
        <v>526</v>
      </c>
      <c r="B527" s="7" t="str">
        <f aca="false">HYPERLINK("https://mncourtfraud.com/file/27-CR-23-7089.pdf","27-CR-23-7089")</f>
        <v>27-CR-23-7089</v>
      </c>
      <c r="C527" s="1" t="n">
        <v>1</v>
      </c>
      <c r="D527" s="2" t="s">
        <v>12</v>
      </c>
      <c r="E527" s="8" t="n">
        <v>45048</v>
      </c>
      <c r="F527" s="2" t="s">
        <v>80</v>
      </c>
      <c r="G527" s="7" t="str">
        <f aca="false">HYPERLINK("https://mncourtfraud.com/file/MCRO_27-CR-23-7089_Finding of Incompetency and Order_2023-05-02_20251126190557.pdf","MCRO_27-CR-23-7089_Finding of Incompetency and Order_2023-05-02_20251126190557.pdf")</f>
        <v>MCRO_27-CR-23-7089_Finding of Incompetency and Order_2023-05-02_20251126190557.pdf</v>
      </c>
      <c r="H527" s="1" t="n">
        <v>9</v>
      </c>
      <c r="I527" s="1" t="s">
        <v>1366</v>
      </c>
      <c r="J527" s="1" t="n">
        <v>1</v>
      </c>
      <c r="K527" s="1" t="n">
        <v>1</v>
      </c>
      <c r="L527" s="2" t="s">
        <v>1491</v>
      </c>
      <c r="M527" s="2" t="s">
        <v>1492</v>
      </c>
      <c r="N527" s="2" t="s">
        <v>1493</v>
      </c>
      <c r="O527" s="2" t="s">
        <v>1494</v>
      </c>
      <c r="P527" s="2" t="s">
        <v>1495</v>
      </c>
      <c r="Q527" s="1" t="n">
        <v>0</v>
      </c>
      <c r="R527" s="2" t="n">
        <v>100288</v>
      </c>
      <c r="S527" s="2" t="n">
        <v>112370</v>
      </c>
      <c r="T527" s="2" t="n">
        <v>48200</v>
      </c>
      <c r="U527" s="2" t="n">
        <v>148488</v>
      </c>
      <c r="V527" s="2" t="n">
        <v>15.21</v>
      </c>
      <c r="W527" s="2" t="s">
        <v>1366</v>
      </c>
    </row>
    <row r="528" customFormat="false" ht="18.7" hidden="false" customHeight="true" outlineLevel="0" collapsed="false">
      <c r="A528" s="1" t="n">
        <v>527</v>
      </c>
      <c r="B528" s="7" t="str">
        <f aca="false">HYPERLINK("https://mncourtfraud.com/file/27-CR-23-7089.pdf","27-CR-23-7089")</f>
        <v>27-CR-23-7089</v>
      </c>
      <c r="C528" s="1" t="n">
        <v>1</v>
      </c>
      <c r="D528" s="2" t="s">
        <v>12</v>
      </c>
      <c r="E528" s="8" t="n">
        <v>45048</v>
      </c>
      <c r="F528" s="2" t="s">
        <v>80</v>
      </c>
      <c r="G528" s="7" t="str">
        <f aca="false">HYPERLINK("https://mncourtfraud.com/file/MCRO_27-CR-23-7089_Finding of Incompetency and Order_2023-05-02_20251126190557.pdf","MCRO_27-CR-23-7089_Finding of Incompetency and Order_2023-05-02_20251126190557.pdf")</f>
        <v>MCRO_27-CR-23-7089_Finding of Incompetency and Order_2023-05-02_20251126190557.pdf</v>
      </c>
      <c r="H528" s="1" t="n">
        <v>9</v>
      </c>
      <c r="I528" s="1" t="s">
        <v>1366</v>
      </c>
      <c r="J528" s="1" t="n">
        <v>2</v>
      </c>
      <c r="K528" s="1" t="n">
        <v>2</v>
      </c>
      <c r="L528" s="2" t="s">
        <v>1367</v>
      </c>
      <c r="M528" s="2" t="s">
        <v>1496</v>
      </c>
      <c r="N528" s="2" t="s">
        <v>1497</v>
      </c>
      <c r="O528" s="2" t="s">
        <v>1494</v>
      </c>
      <c r="P528" s="2" t="s">
        <v>1498</v>
      </c>
      <c r="Q528" s="1" t="n">
        <v>0</v>
      </c>
      <c r="R528" s="2" t="n">
        <v>160968</v>
      </c>
      <c r="S528" s="2" t="n">
        <v>167974</v>
      </c>
      <c r="T528" s="2" t="n">
        <v>59084</v>
      </c>
      <c r="U528" s="2" t="n">
        <v>220052</v>
      </c>
      <c r="V528" s="2" t="n">
        <v>22.53</v>
      </c>
      <c r="W528" s="2" t="s">
        <v>1366</v>
      </c>
    </row>
    <row r="529" customFormat="false" ht="18.7" hidden="false" customHeight="true" outlineLevel="0" collapsed="false">
      <c r="A529" s="1" t="n">
        <v>528</v>
      </c>
      <c r="B529" s="7" t="str">
        <f aca="false">HYPERLINK("https://mncourtfraud.com/file/27-CR-23-7089.pdf","27-CR-23-7089")</f>
        <v>27-CR-23-7089</v>
      </c>
      <c r="C529" s="1" t="n">
        <v>1</v>
      </c>
      <c r="D529" s="2" t="s">
        <v>12</v>
      </c>
      <c r="E529" s="8" t="n">
        <v>45048</v>
      </c>
      <c r="F529" s="2" t="s">
        <v>80</v>
      </c>
      <c r="G529" s="7" t="str">
        <f aca="false">HYPERLINK("https://mncourtfraud.com/file/MCRO_27-CR-23-7089_Finding of Incompetency and Order_2023-05-02_20251126190557.pdf","MCRO_27-CR-23-7089_Finding of Incompetency and Order_2023-05-02_20251126190557.pdf")</f>
        <v>MCRO_27-CR-23-7089_Finding of Incompetency and Order_2023-05-02_20251126190557.pdf</v>
      </c>
      <c r="H529" s="1" t="n">
        <v>9</v>
      </c>
      <c r="I529" s="1" t="s">
        <v>1366</v>
      </c>
      <c r="J529" s="1" t="n">
        <v>3</v>
      </c>
      <c r="K529" s="1" t="n">
        <v>3</v>
      </c>
      <c r="L529" s="2" t="s">
        <v>2240</v>
      </c>
      <c r="M529" s="2" t="s">
        <v>1362</v>
      </c>
      <c r="N529" s="2" t="s">
        <v>2241</v>
      </c>
      <c r="O529" s="2" t="s">
        <v>1364</v>
      </c>
      <c r="P529" s="2" t="s">
        <v>1501</v>
      </c>
      <c r="Q529" s="1" t="n">
        <v>0</v>
      </c>
      <c r="R529" s="2" t="n">
        <v>954854</v>
      </c>
      <c r="S529" s="2" t="n">
        <v>971240</v>
      </c>
      <c r="T529" s="2" t="n">
        <v>5309</v>
      </c>
      <c r="U529" s="2" t="n">
        <v>960163</v>
      </c>
      <c r="V529" s="2" t="n">
        <v>98.32</v>
      </c>
      <c r="W529" s="2" t="s">
        <v>1360</v>
      </c>
    </row>
    <row r="530" customFormat="false" ht="18.7" hidden="false" customHeight="true" outlineLevel="0" collapsed="false">
      <c r="A530" s="1" t="n">
        <v>529</v>
      </c>
      <c r="B530" s="7" t="str">
        <f aca="false">HYPERLINK("https://mncourtfraud.com/file/27-CR-23-7089.pdf","27-CR-23-7089")</f>
        <v>27-CR-23-7089</v>
      </c>
      <c r="C530" s="1" t="n">
        <v>1</v>
      </c>
      <c r="D530" s="2" t="s">
        <v>12</v>
      </c>
      <c r="E530" s="8" t="n">
        <v>45160</v>
      </c>
      <c r="F530" s="2" t="s">
        <v>15</v>
      </c>
      <c r="G530" s="7" t="str">
        <f aca="false">HYPERLINK("https://mncourtfraud.com/file/MCRO_27-CR-23-7089_Order-Evaluation for Competency to Proceed (Rule 20.01)_2023-08-22_20251126190622.pdf","MCRO_27-CR-23-7089_Order-Evaluation for Competency to Proceed (Rule 20.01)_2023-08-22_20251126190622.pdf")</f>
        <v>MCRO_27-CR-23-7089_Order-Evaluation for Competency to Proceed (Rule 20.01)_2023-08-22_20251126190622.pdf</v>
      </c>
      <c r="H530" s="1" t="n">
        <v>6</v>
      </c>
      <c r="I530" s="1" t="s">
        <v>1366</v>
      </c>
      <c r="J530" s="1" t="n">
        <v>1</v>
      </c>
      <c r="K530" s="1" t="n">
        <v>1</v>
      </c>
      <c r="L530" s="2" t="s">
        <v>1367</v>
      </c>
      <c r="M530" s="2" t="s">
        <v>1519</v>
      </c>
      <c r="N530" s="2" t="s">
        <v>1520</v>
      </c>
      <c r="O530" s="2" t="s">
        <v>1494</v>
      </c>
      <c r="P530" s="2" t="s">
        <v>1521</v>
      </c>
      <c r="Q530" s="1" t="n">
        <v>0</v>
      </c>
      <c r="R530" s="2" t="n">
        <v>122115</v>
      </c>
      <c r="S530" s="2" t="n">
        <v>129143</v>
      </c>
      <c r="T530" s="2" t="n">
        <v>87775</v>
      </c>
      <c r="U530" s="2" t="n">
        <v>209890</v>
      </c>
      <c r="V530" s="2" t="n">
        <v>23.95</v>
      </c>
      <c r="W530" s="2" t="s">
        <v>1366</v>
      </c>
    </row>
    <row r="531" customFormat="false" ht="18.7" hidden="false" customHeight="true" outlineLevel="0" collapsed="false">
      <c r="A531" s="1" t="n">
        <v>530</v>
      </c>
      <c r="B531" s="7" t="str">
        <f aca="false">HYPERLINK("https://mncourtfraud.com/file/27-CR-23-7089.pdf","27-CR-23-7089")</f>
        <v>27-CR-23-7089</v>
      </c>
      <c r="C531" s="1" t="n">
        <v>1</v>
      </c>
      <c r="D531" s="2" t="s">
        <v>12</v>
      </c>
      <c r="E531" s="8" t="n">
        <v>45160</v>
      </c>
      <c r="F531" s="2" t="s">
        <v>15</v>
      </c>
      <c r="G531" s="7" t="str">
        <f aca="false">HYPERLINK("https://mncourtfraud.com/file/MCRO_27-CR-23-7089_Order-Evaluation for Competency to Proceed (Rule 20.01)_2023-08-22_20251126190622.pdf","MCRO_27-CR-23-7089_Order-Evaluation for Competency to Proceed (Rule 20.01)_2023-08-22_20251126190622.pdf")</f>
        <v>MCRO_27-CR-23-7089_Order-Evaluation for Competency to Proceed (Rule 20.01)_2023-08-22_20251126190622.pdf</v>
      </c>
      <c r="H531" s="1" t="n">
        <v>6</v>
      </c>
      <c r="I531" s="1" t="s">
        <v>1366</v>
      </c>
      <c r="J531" s="1" t="n">
        <v>2</v>
      </c>
      <c r="K531" s="1" t="n">
        <v>2</v>
      </c>
      <c r="L531" s="2" t="s">
        <v>2242</v>
      </c>
      <c r="M531" s="2" t="s">
        <v>1362</v>
      </c>
      <c r="N531" s="2" t="s">
        <v>2243</v>
      </c>
      <c r="O531" s="2" t="s">
        <v>1364</v>
      </c>
      <c r="P531" s="2" t="s">
        <v>1524</v>
      </c>
      <c r="Q531" s="1" t="n">
        <v>0</v>
      </c>
      <c r="R531" s="2" t="n">
        <v>855046</v>
      </c>
      <c r="S531" s="2" t="n">
        <v>871432</v>
      </c>
      <c r="T531" s="2" t="n">
        <v>4974</v>
      </c>
      <c r="U531" s="2" t="n">
        <v>860020</v>
      </c>
      <c r="V531" s="2" t="n">
        <v>98.13</v>
      </c>
      <c r="W531" s="2" t="s">
        <v>1360</v>
      </c>
    </row>
    <row r="532" customFormat="false" ht="18.7" hidden="false" customHeight="true" outlineLevel="0" collapsed="false">
      <c r="A532" s="1" t="n">
        <v>531</v>
      </c>
      <c r="B532" s="7" t="str">
        <f aca="false">HYPERLINK("https://mncourtfraud.com/file/27-CR-23-7089.pdf","27-CR-23-7089")</f>
        <v>27-CR-23-7089</v>
      </c>
      <c r="C532" s="1" t="n">
        <v>1</v>
      </c>
      <c r="D532" s="2" t="s">
        <v>12</v>
      </c>
      <c r="E532" s="8" t="n">
        <v>45412</v>
      </c>
      <c r="F532" s="2" t="s">
        <v>15</v>
      </c>
      <c r="G532" s="7" t="str">
        <f aca="false">HYPERLINK("https://mncourtfraud.com/file/MCRO_27-CR-23-7089_Order-Evaluation for Competency to Proceed (Rule 20.01)_2024-04-30_20251126190615.pdf","MCRO_27-CR-23-7089_Order-Evaluation for Competency to Proceed (Rule 20.01)_2024-04-30_20251126190615.pdf")</f>
        <v>MCRO_27-CR-23-7089_Order-Evaluation for Competency to Proceed (Rule 20.01)_2024-04-30_20251126190615.pdf</v>
      </c>
      <c r="H532" s="1" t="n">
        <v>4</v>
      </c>
      <c r="I532" s="1" t="s">
        <v>1360</v>
      </c>
      <c r="J532" s="1" t="n">
        <v>1</v>
      </c>
      <c r="K532" s="1" t="n">
        <v>1</v>
      </c>
      <c r="L532" s="2" t="s">
        <v>2244</v>
      </c>
      <c r="M532" s="2" t="s">
        <v>1362</v>
      </c>
      <c r="N532" s="2" t="s">
        <v>2245</v>
      </c>
      <c r="O532" s="2" t="s">
        <v>1364</v>
      </c>
      <c r="P532" s="2" t="s">
        <v>1390</v>
      </c>
      <c r="Q532" s="1" t="n">
        <v>0</v>
      </c>
      <c r="R532" s="2" t="n">
        <v>198661</v>
      </c>
      <c r="S532" s="2" t="n">
        <v>215047</v>
      </c>
      <c r="T532" s="2" t="n">
        <v>4474</v>
      </c>
      <c r="U532" s="2" t="n">
        <v>203135</v>
      </c>
      <c r="V532" s="2" t="n">
        <v>92.54</v>
      </c>
      <c r="W532" s="2" t="s">
        <v>1360</v>
      </c>
    </row>
    <row r="533" customFormat="false" ht="18.7" hidden="false" customHeight="true" outlineLevel="0" collapsed="false">
      <c r="A533" s="1" t="n">
        <v>532</v>
      </c>
      <c r="B533" s="7" t="str">
        <f aca="false">HYPERLINK("https://mncourtfraud.com/file/27-CR-23-7089.pdf","27-CR-23-7089")</f>
        <v>27-CR-23-7089</v>
      </c>
      <c r="C533" s="1" t="n">
        <v>1</v>
      </c>
      <c r="D533" s="2" t="s">
        <v>12</v>
      </c>
      <c r="E533" s="8" t="n">
        <v>45412</v>
      </c>
      <c r="F533" s="2" t="s">
        <v>24</v>
      </c>
      <c r="G533" s="7" t="str">
        <f aca="false">HYPERLINK("https://mncourtfraud.com/file/MCRO_27-CR-23-7089_Order for Conditional Release_2024-04-30_20251126190607.pdf","MCRO_27-CR-23-7089_Order for Conditional Release_2024-04-30_20251126190607.pdf")</f>
        <v>MCRO_27-CR-23-7089_Order for Conditional Release_2024-04-30_20251126190607.pdf</v>
      </c>
      <c r="H533" s="1" t="n">
        <v>4</v>
      </c>
      <c r="I533" s="1" t="s">
        <v>1360</v>
      </c>
      <c r="J533" s="1" t="n">
        <v>1</v>
      </c>
      <c r="K533" s="1" t="n">
        <v>1</v>
      </c>
      <c r="L533" s="2" t="s">
        <v>2246</v>
      </c>
      <c r="M533" s="2" t="s">
        <v>1362</v>
      </c>
      <c r="N533" s="2" t="s">
        <v>2247</v>
      </c>
      <c r="O533" s="2" t="s">
        <v>1364</v>
      </c>
      <c r="P533" s="2" t="s">
        <v>1536</v>
      </c>
      <c r="Q533" s="1" t="n">
        <v>0</v>
      </c>
      <c r="R533" s="2" t="n">
        <v>129679</v>
      </c>
      <c r="S533" s="2" t="n">
        <v>146065</v>
      </c>
      <c r="T533" s="2" t="n">
        <v>4468</v>
      </c>
      <c r="U533" s="2" t="n">
        <v>134147</v>
      </c>
      <c r="V533" s="2" t="n">
        <v>89.11</v>
      </c>
      <c r="W533" s="2" t="s">
        <v>1360</v>
      </c>
    </row>
    <row r="534" customFormat="false" ht="18.7" hidden="false" customHeight="true" outlineLevel="0" collapsed="false">
      <c r="A534" s="1" t="n">
        <v>533</v>
      </c>
      <c r="B534" s="7" t="str">
        <f aca="false">HYPERLINK("https://mncourtfraud.com/file/27-CR-23-7275.pdf","27-CR-23-7275")</f>
        <v>27-CR-23-7275</v>
      </c>
      <c r="C534" s="1" t="n">
        <v>1</v>
      </c>
      <c r="D534" s="2" t="s">
        <v>12</v>
      </c>
      <c r="E534" s="8" t="n">
        <v>45048</v>
      </c>
      <c r="F534" s="2" t="s">
        <v>80</v>
      </c>
      <c r="G534" s="7" t="str">
        <f aca="false">HYPERLINK("https://mncourtfraud.com/file/MCRO_27-CR-23-7275_Finding of Incompetency and Order_2023-05-02_20251126190643.pdf","MCRO_27-CR-23-7275_Finding of Incompetency and Order_2023-05-02_20251126190643.pdf")</f>
        <v>MCRO_27-CR-23-7275_Finding of Incompetency and Order_2023-05-02_20251126190643.pdf</v>
      </c>
      <c r="H534" s="1" t="n">
        <v>9</v>
      </c>
      <c r="I534" s="1" t="s">
        <v>1366</v>
      </c>
      <c r="J534" s="1" t="n">
        <v>1</v>
      </c>
      <c r="K534" s="1" t="n">
        <v>1</v>
      </c>
      <c r="L534" s="2" t="s">
        <v>1491</v>
      </c>
      <c r="M534" s="2" t="s">
        <v>1492</v>
      </c>
      <c r="N534" s="2" t="s">
        <v>1493</v>
      </c>
      <c r="O534" s="2" t="s">
        <v>1494</v>
      </c>
      <c r="P534" s="2" t="s">
        <v>1495</v>
      </c>
      <c r="Q534" s="1" t="n">
        <v>0</v>
      </c>
      <c r="R534" s="2" t="n">
        <v>100288</v>
      </c>
      <c r="S534" s="2" t="n">
        <v>112370</v>
      </c>
      <c r="T534" s="2" t="n">
        <v>48200</v>
      </c>
      <c r="U534" s="2" t="n">
        <v>148488</v>
      </c>
      <c r="V534" s="2" t="n">
        <v>15.21</v>
      </c>
      <c r="W534" s="2" t="s">
        <v>1366</v>
      </c>
    </row>
    <row r="535" customFormat="false" ht="18.7" hidden="false" customHeight="true" outlineLevel="0" collapsed="false">
      <c r="A535" s="1" t="n">
        <v>534</v>
      </c>
      <c r="B535" s="7" t="str">
        <f aca="false">HYPERLINK("https://mncourtfraud.com/file/27-CR-23-7275.pdf","27-CR-23-7275")</f>
        <v>27-CR-23-7275</v>
      </c>
      <c r="C535" s="1" t="n">
        <v>1</v>
      </c>
      <c r="D535" s="2" t="s">
        <v>12</v>
      </c>
      <c r="E535" s="8" t="n">
        <v>45048</v>
      </c>
      <c r="F535" s="2" t="s">
        <v>80</v>
      </c>
      <c r="G535" s="7" t="str">
        <f aca="false">HYPERLINK("https://mncourtfraud.com/file/MCRO_27-CR-23-7275_Finding of Incompetency and Order_2023-05-02_20251126190643.pdf","MCRO_27-CR-23-7275_Finding of Incompetency and Order_2023-05-02_20251126190643.pdf")</f>
        <v>MCRO_27-CR-23-7275_Finding of Incompetency and Order_2023-05-02_20251126190643.pdf</v>
      </c>
      <c r="H535" s="1" t="n">
        <v>9</v>
      </c>
      <c r="I535" s="1" t="s">
        <v>1366</v>
      </c>
      <c r="J535" s="1" t="n">
        <v>2</v>
      </c>
      <c r="K535" s="1" t="n">
        <v>2</v>
      </c>
      <c r="L535" s="2" t="s">
        <v>1367</v>
      </c>
      <c r="M535" s="2" t="s">
        <v>1496</v>
      </c>
      <c r="N535" s="2" t="s">
        <v>1497</v>
      </c>
      <c r="O535" s="2" t="s">
        <v>1494</v>
      </c>
      <c r="P535" s="2" t="s">
        <v>1498</v>
      </c>
      <c r="Q535" s="1" t="n">
        <v>0</v>
      </c>
      <c r="R535" s="2" t="n">
        <v>160968</v>
      </c>
      <c r="S535" s="2" t="n">
        <v>167974</v>
      </c>
      <c r="T535" s="2" t="n">
        <v>59084</v>
      </c>
      <c r="U535" s="2" t="n">
        <v>220052</v>
      </c>
      <c r="V535" s="2" t="n">
        <v>22.53</v>
      </c>
      <c r="W535" s="2" t="s">
        <v>1366</v>
      </c>
    </row>
    <row r="536" customFormat="false" ht="18.7" hidden="false" customHeight="true" outlineLevel="0" collapsed="false">
      <c r="A536" s="1" t="n">
        <v>535</v>
      </c>
      <c r="B536" s="7" t="str">
        <f aca="false">HYPERLINK("https://mncourtfraud.com/file/27-CR-23-7275.pdf","27-CR-23-7275")</f>
        <v>27-CR-23-7275</v>
      </c>
      <c r="C536" s="1" t="n">
        <v>1</v>
      </c>
      <c r="D536" s="2" t="s">
        <v>12</v>
      </c>
      <c r="E536" s="8" t="n">
        <v>45048</v>
      </c>
      <c r="F536" s="2" t="s">
        <v>80</v>
      </c>
      <c r="G536" s="7" t="str">
        <f aca="false">HYPERLINK("https://mncourtfraud.com/file/MCRO_27-CR-23-7275_Finding of Incompetency and Order_2023-05-02_20251126190643.pdf","MCRO_27-CR-23-7275_Finding of Incompetency and Order_2023-05-02_20251126190643.pdf")</f>
        <v>MCRO_27-CR-23-7275_Finding of Incompetency and Order_2023-05-02_20251126190643.pdf</v>
      </c>
      <c r="H536" s="1" t="n">
        <v>9</v>
      </c>
      <c r="I536" s="1" t="s">
        <v>1366</v>
      </c>
      <c r="J536" s="1" t="n">
        <v>3</v>
      </c>
      <c r="K536" s="1" t="n">
        <v>3</v>
      </c>
      <c r="L536" s="2" t="s">
        <v>2248</v>
      </c>
      <c r="M536" s="2" t="s">
        <v>1362</v>
      </c>
      <c r="N536" s="2" t="s">
        <v>2249</v>
      </c>
      <c r="O536" s="2" t="s">
        <v>1364</v>
      </c>
      <c r="P536" s="2" t="s">
        <v>1501</v>
      </c>
      <c r="Q536" s="1" t="n">
        <v>0</v>
      </c>
      <c r="R536" s="2" t="n">
        <v>954850</v>
      </c>
      <c r="S536" s="2" t="n">
        <v>971236</v>
      </c>
      <c r="T536" s="2" t="n">
        <v>5307</v>
      </c>
      <c r="U536" s="2" t="n">
        <v>960157</v>
      </c>
      <c r="V536" s="2" t="n">
        <v>98.32</v>
      </c>
      <c r="W536" s="2" t="s">
        <v>1360</v>
      </c>
    </row>
    <row r="537" customFormat="false" ht="18.7" hidden="false" customHeight="true" outlineLevel="0" collapsed="false">
      <c r="A537" s="1" t="n">
        <v>536</v>
      </c>
      <c r="B537" s="7" t="str">
        <f aca="false">HYPERLINK("https://mncourtfraud.com/file/27-CR-23-7275.pdf","27-CR-23-7275")</f>
        <v>27-CR-23-7275</v>
      </c>
      <c r="C537" s="1" t="n">
        <v>1</v>
      </c>
      <c r="D537" s="2" t="s">
        <v>12</v>
      </c>
      <c r="E537" s="8" t="n">
        <v>45160</v>
      </c>
      <c r="F537" s="2" t="s">
        <v>15</v>
      </c>
      <c r="G537" s="7" t="str">
        <f aca="false">HYPERLINK("https://mncourtfraud.com/file/MCRO_27-CR-23-7275_Order-Evaluation for Competency to Proceed (Rule 20.01)_2023-08-22_20251126190704.pdf","MCRO_27-CR-23-7275_Order-Evaluation for Competency to Proceed (Rule 20.01)_2023-08-22_20251126190704.pdf")</f>
        <v>MCRO_27-CR-23-7275_Order-Evaluation for Competency to Proceed (Rule 20.01)_2023-08-22_20251126190704.pdf</v>
      </c>
      <c r="H537" s="1" t="n">
        <v>6</v>
      </c>
      <c r="I537" s="1" t="s">
        <v>1366</v>
      </c>
      <c r="J537" s="1" t="n">
        <v>1</v>
      </c>
      <c r="K537" s="1" t="n">
        <v>1</v>
      </c>
      <c r="L537" s="2" t="s">
        <v>1367</v>
      </c>
      <c r="M537" s="2" t="s">
        <v>1519</v>
      </c>
      <c r="N537" s="2" t="s">
        <v>1520</v>
      </c>
      <c r="O537" s="2" t="s">
        <v>1494</v>
      </c>
      <c r="P537" s="2" t="s">
        <v>1521</v>
      </c>
      <c r="Q537" s="1" t="n">
        <v>0</v>
      </c>
      <c r="R537" s="2" t="n">
        <v>122115</v>
      </c>
      <c r="S537" s="2" t="n">
        <v>129143</v>
      </c>
      <c r="T537" s="2" t="n">
        <v>87775</v>
      </c>
      <c r="U537" s="2" t="n">
        <v>209890</v>
      </c>
      <c r="V537" s="2" t="n">
        <v>23.95</v>
      </c>
      <c r="W537" s="2" t="s">
        <v>1366</v>
      </c>
    </row>
    <row r="538" customFormat="false" ht="18.7" hidden="false" customHeight="true" outlineLevel="0" collapsed="false">
      <c r="A538" s="1" t="n">
        <v>537</v>
      </c>
      <c r="B538" s="7" t="str">
        <f aca="false">HYPERLINK("https://mncourtfraud.com/file/27-CR-23-7275.pdf","27-CR-23-7275")</f>
        <v>27-CR-23-7275</v>
      </c>
      <c r="C538" s="1" t="n">
        <v>1</v>
      </c>
      <c r="D538" s="2" t="s">
        <v>12</v>
      </c>
      <c r="E538" s="8" t="n">
        <v>45160</v>
      </c>
      <c r="F538" s="2" t="s">
        <v>15</v>
      </c>
      <c r="G538" s="7" t="str">
        <f aca="false">HYPERLINK("https://mncourtfraud.com/file/MCRO_27-CR-23-7275_Order-Evaluation for Competency to Proceed (Rule 20.01)_2023-08-22_20251126190704.pdf","MCRO_27-CR-23-7275_Order-Evaluation for Competency to Proceed (Rule 20.01)_2023-08-22_20251126190704.pdf")</f>
        <v>MCRO_27-CR-23-7275_Order-Evaluation for Competency to Proceed (Rule 20.01)_2023-08-22_20251126190704.pdf</v>
      </c>
      <c r="H538" s="1" t="n">
        <v>6</v>
      </c>
      <c r="I538" s="1" t="s">
        <v>1366</v>
      </c>
      <c r="J538" s="1" t="n">
        <v>2</v>
      </c>
      <c r="K538" s="1" t="n">
        <v>2</v>
      </c>
      <c r="L538" s="2" t="s">
        <v>2250</v>
      </c>
      <c r="M538" s="2" t="s">
        <v>1362</v>
      </c>
      <c r="N538" s="2" t="s">
        <v>2251</v>
      </c>
      <c r="O538" s="2" t="s">
        <v>1364</v>
      </c>
      <c r="P538" s="2" t="s">
        <v>1524</v>
      </c>
      <c r="Q538" s="1" t="n">
        <v>0</v>
      </c>
      <c r="R538" s="2" t="n">
        <v>855045</v>
      </c>
      <c r="S538" s="2" t="n">
        <v>871431</v>
      </c>
      <c r="T538" s="2" t="n">
        <v>4973</v>
      </c>
      <c r="U538" s="2" t="n">
        <v>860018</v>
      </c>
      <c r="V538" s="2" t="n">
        <v>98.13</v>
      </c>
      <c r="W538" s="2" t="s">
        <v>1360</v>
      </c>
    </row>
    <row r="539" customFormat="false" ht="18.7" hidden="false" customHeight="true" outlineLevel="0" collapsed="false">
      <c r="A539" s="1" t="n">
        <v>538</v>
      </c>
      <c r="B539" s="7" t="str">
        <f aca="false">HYPERLINK("https://mncourtfraud.com/file/27-CR-23-7275.pdf","27-CR-23-7275")</f>
        <v>27-CR-23-7275</v>
      </c>
      <c r="C539" s="1" t="n">
        <v>1</v>
      </c>
      <c r="D539" s="2" t="s">
        <v>12</v>
      </c>
      <c r="E539" s="8" t="n">
        <v>45412</v>
      </c>
      <c r="F539" s="2" t="s">
        <v>24</v>
      </c>
      <c r="G539" s="7" t="str">
        <f aca="false">HYPERLINK("https://mncourtfraud.com/file/MCRO_27-CR-23-7275_Order for Conditional Release_2024-04-30_20251126190652.pdf","MCRO_27-CR-23-7275_Order for Conditional Release_2024-04-30_20251126190652.pdf")</f>
        <v>MCRO_27-CR-23-7275_Order for Conditional Release_2024-04-30_20251126190652.pdf</v>
      </c>
      <c r="H539" s="1" t="n">
        <v>4</v>
      </c>
      <c r="I539" s="1" t="s">
        <v>1360</v>
      </c>
      <c r="J539" s="1" t="n">
        <v>1</v>
      </c>
      <c r="K539" s="1" t="n">
        <v>1</v>
      </c>
      <c r="L539" s="2" t="s">
        <v>2252</v>
      </c>
      <c r="M539" s="2" t="s">
        <v>1362</v>
      </c>
      <c r="N539" s="2" t="s">
        <v>2253</v>
      </c>
      <c r="O539" s="2" t="s">
        <v>1364</v>
      </c>
      <c r="P539" s="2" t="s">
        <v>1536</v>
      </c>
      <c r="Q539" s="1" t="n">
        <v>0</v>
      </c>
      <c r="R539" s="2" t="n">
        <v>129679</v>
      </c>
      <c r="S539" s="2" t="n">
        <v>146065</v>
      </c>
      <c r="T539" s="2" t="n">
        <v>4468</v>
      </c>
      <c r="U539" s="2" t="n">
        <v>134147</v>
      </c>
      <c r="V539" s="2" t="n">
        <v>89.11</v>
      </c>
      <c r="W539" s="2" t="s">
        <v>1360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V4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9.72"/>
    <col collapsed="false" customWidth="true" hidden="false" outlineLevel="0" max="2" min="2" style="2" width="21.39"/>
    <col collapsed="false" customWidth="true" hidden="false" outlineLevel="0" max="3" min="3" style="1" width="14.31"/>
    <col collapsed="false" customWidth="true" hidden="false" outlineLevel="0" max="4" min="4" style="2" width="27.23"/>
    <col collapsed="false" customWidth="true" hidden="false" outlineLevel="0" max="5" min="5" style="1" width="16.26"/>
    <col collapsed="false" customWidth="true" hidden="false" outlineLevel="0" max="6" min="6" style="2" width="63.77"/>
    <col collapsed="false" customWidth="true" hidden="false" outlineLevel="0" max="7" min="7" style="2" width="124.41"/>
    <col collapsed="false" customWidth="true" hidden="false" outlineLevel="0" max="8" min="8" style="1" width="14.03"/>
    <col collapsed="false" customWidth="true" hidden="false" outlineLevel="0" max="9" min="9" style="1" width="11.66"/>
    <col collapsed="false" customWidth="true" hidden="false" outlineLevel="0" max="10" min="10" style="1" width="13.62"/>
    <col collapsed="false" customWidth="true" hidden="false" outlineLevel="0" max="11" min="11" style="2" width="93.51"/>
    <col collapsed="false" customWidth="true" hidden="false" outlineLevel="0" max="12" min="12" style="2" width="50.85"/>
    <col collapsed="false" customWidth="true" hidden="false" outlineLevel="0" max="13" min="13" style="1" width="22.92"/>
    <col collapsed="false" customWidth="true" hidden="false" outlineLevel="0" max="14" min="14" style="1" width="15.28"/>
    <col collapsed="false" customWidth="true" hidden="false" outlineLevel="0" max="15" min="15" style="2" width="22.92"/>
    <col collapsed="false" customWidth="true" hidden="false" outlineLevel="0" max="16" min="16" style="2" width="23.2"/>
    <col collapsed="false" customWidth="true" hidden="false" outlineLevel="0" max="17" min="17" style="2" width="22.79"/>
    <col collapsed="false" customWidth="true" hidden="false" outlineLevel="0" max="18" min="18" style="1" width="19.45"/>
    <col collapsed="false" customWidth="true" hidden="false" outlineLevel="0" max="19" min="19" style="1" width="25.01"/>
    <col collapsed="false" customWidth="true" hidden="false" outlineLevel="0" max="20" min="20" style="1" width="31.4"/>
    <col collapsed="false" customWidth="true" hidden="false" outlineLevel="0" max="21" min="21" style="1" width="25.98"/>
    <col collapsed="false" customWidth="true" hidden="false" outlineLevel="0" max="22" min="22" style="1" width="28.62"/>
    <col collapsed="false" customWidth="false" hidden="false" outlineLevel="0" max="23" min="23" style="2" width="11.52"/>
    <col collapsed="false" customWidth="true" hidden="false" outlineLevel="0" max="24" min="24" style="0" width="25.14"/>
    <col collapsed="false" customWidth="true" hidden="false" outlineLevel="0" max="25" min="25" style="0" width="20.14"/>
    <col collapsed="false" customWidth="true" hidden="false" outlineLevel="0" max="26" min="26" style="0" width="64.61"/>
    <col collapsed="false" customWidth="true" hidden="false" outlineLevel="0" max="27" min="27" style="0" width="20.14"/>
    <col collapsed="false" customWidth="false" hidden="false" outlineLevel="0" max="1022" min="28" style="2" width="11.52"/>
  </cols>
  <sheetData>
    <row r="1" customFormat="false" ht="23.05" hidden="false" customHeight="true" outlineLevel="0" collapsed="false">
      <c r="A1" s="3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1343</v>
      </c>
      <c r="H1" s="3" t="s">
        <v>1344</v>
      </c>
      <c r="I1" s="3" t="s">
        <v>1345</v>
      </c>
      <c r="J1" s="3" t="s">
        <v>2254</v>
      </c>
      <c r="K1" s="3" t="s">
        <v>2255</v>
      </c>
      <c r="L1" s="3" t="s">
        <v>2256</v>
      </c>
      <c r="M1" s="3" t="s">
        <v>2257</v>
      </c>
      <c r="N1" s="3" t="s">
        <v>2258</v>
      </c>
      <c r="O1" s="3" t="s">
        <v>2259</v>
      </c>
      <c r="P1" s="3" t="s">
        <v>2260</v>
      </c>
      <c r="Q1" s="3" t="s">
        <v>2261</v>
      </c>
      <c r="R1" s="3" t="s">
        <v>2262</v>
      </c>
      <c r="S1" s="3" t="s">
        <v>2263</v>
      </c>
      <c r="T1" s="3" t="s">
        <v>2264</v>
      </c>
      <c r="U1" s="3" t="s">
        <v>2265</v>
      </c>
      <c r="V1" s="3" t="s">
        <v>2266</v>
      </c>
    </row>
    <row r="2" customFormat="false" ht="18.7" hidden="false" customHeight="true" outlineLevel="0" collapsed="false">
      <c r="A2" s="1" t="n">
        <v>1</v>
      </c>
      <c r="B2" s="7" t="str">
        <f aca="false">HYPERLINK("https://mncourtfraud.com/file/27-CR-19-26893.pdf","27-CR-19-26893")</f>
        <v>27-CR-19-26893</v>
      </c>
      <c r="C2" s="1" t="n">
        <v>1</v>
      </c>
      <c r="D2" s="2" t="s">
        <v>12</v>
      </c>
      <c r="E2" s="8" t="n">
        <v>44103</v>
      </c>
      <c r="F2" s="2" t="s">
        <v>19</v>
      </c>
      <c r="G2" s="7" t="str">
        <f aca="false">HYPERLINK("https://mncourtfraud.com/file/MCRO_27-CR-19-26893_Findings and Order_2020-09-29_20251126174721.pdf","MCRO_27-CR-19-26893_Findings and Order_2020-09-29_20251126174721.pdf")</f>
        <v>MCRO_27-CR-19-26893_Findings and Order_2020-09-29_20251126174721.pdf</v>
      </c>
      <c r="H2" s="1" t="n">
        <v>4</v>
      </c>
      <c r="I2" s="1" t="s">
        <v>1360</v>
      </c>
      <c r="J2" s="1" t="n">
        <v>1</v>
      </c>
      <c r="K2" s="2" t="s">
        <v>1362</v>
      </c>
      <c r="L2" s="2" t="s">
        <v>1364</v>
      </c>
      <c r="M2" s="1" t="s">
        <v>1360</v>
      </c>
      <c r="N2" s="1" t="n">
        <v>0</v>
      </c>
      <c r="O2" s="2" t="n">
        <v>95.11</v>
      </c>
      <c r="P2" s="2" t="n">
        <v>95.11</v>
      </c>
      <c r="Q2" s="2" t="n">
        <v>95.11</v>
      </c>
      <c r="R2" s="1" t="n">
        <v>1</v>
      </c>
      <c r="S2" s="1" t="n">
        <v>0</v>
      </c>
      <c r="T2" s="1" t="s">
        <v>1360</v>
      </c>
      <c r="U2" s="1" t="n">
        <v>4</v>
      </c>
      <c r="V2" s="1" t="n">
        <v>0</v>
      </c>
    </row>
    <row r="3" customFormat="false" ht="18.7" hidden="false" customHeight="true" outlineLevel="0" collapsed="false">
      <c r="A3" s="1" t="n">
        <v>2</v>
      </c>
      <c r="B3" s="7" t="str">
        <f aca="false">HYPERLINK("https://mncourtfraud.com/file/27-CR-19-26893.pdf","27-CR-19-26893")</f>
        <v>27-CR-19-26893</v>
      </c>
      <c r="C3" s="1" t="n">
        <v>1</v>
      </c>
      <c r="D3" s="2" t="s">
        <v>12</v>
      </c>
      <c r="E3" s="8" t="n">
        <v>44439</v>
      </c>
      <c r="F3" s="2" t="s">
        <v>19</v>
      </c>
      <c r="G3" s="7" t="str">
        <f aca="false">HYPERLINK("https://mncourtfraud.com/file/MCRO_27-CR-19-26893_Findings and Order_2021-08-31_20251126174732.pdf","MCRO_27-CR-19-26893_Findings and Order_2021-08-31_20251126174732.pdf")</f>
        <v>MCRO_27-CR-19-26893_Findings and Order_2021-08-31_20251126174732.pdf</v>
      </c>
      <c r="H3" s="1" t="n">
        <v>5</v>
      </c>
      <c r="I3" s="1" t="s">
        <v>1366</v>
      </c>
      <c r="J3" s="1" t="n">
        <v>2</v>
      </c>
      <c r="K3" s="2" t="s">
        <v>2267</v>
      </c>
      <c r="L3" s="2" t="s">
        <v>1364</v>
      </c>
      <c r="M3" s="1" t="s">
        <v>1366</v>
      </c>
      <c r="N3" s="1" t="n">
        <v>1</v>
      </c>
      <c r="O3" s="2" t="n">
        <v>39.94</v>
      </c>
      <c r="P3" s="2" t="n">
        <v>95.64</v>
      </c>
      <c r="Q3" s="2" t="n">
        <v>67.79</v>
      </c>
      <c r="R3" s="1" t="n">
        <v>2</v>
      </c>
      <c r="S3" s="1" t="n">
        <v>0</v>
      </c>
      <c r="T3" s="1" t="s">
        <v>1360</v>
      </c>
      <c r="U3" s="1" t="n">
        <v>2</v>
      </c>
      <c r="V3" s="1" t="n">
        <v>0</v>
      </c>
    </row>
    <row r="4" customFormat="false" ht="18.7" hidden="false" customHeight="true" outlineLevel="0" collapsed="false">
      <c r="A4" s="1" t="n">
        <v>3</v>
      </c>
      <c r="B4" s="7" t="str">
        <f aca="false">HYPERLINK("https://mncourtfraud.com/file/27-CR-19-26893.pdf","27-CR-19-26893")</f>
        <v>27-CR-19-26893</v>
      </c>
      <c r="C4" s="1" t="n">
        <v>1</v>
      </c>
      <c r="D4" s="2" t="s">
        <v>12</v>
      </c>
      <c r="E4" s="8" t="n">
        <v>44593</v>
      </c>
      <c r="F4" s="2" t="s">
        <v>19</v>
      </c>
      <c r="G4" s="7" t="str">
        <f aca="false">HYPERLINK("https://mncourtfraud.com/file/MCRO_27-CR-19-26893_Findings and Order_2022-02-01_20251126174710.pdf","MCRO_27-CR-19-26893_Findings and Order_2022-02-01_20251126174710.pdf")</f>
        <v>MCRO_27-CR-19-26893_Findings and Order_2022-02-01_20251126174710.pdf</v>
      </c>
      <c r="H4" s="1" t="n">
        <v>4</v>
      </c>
      <c r="I4" s="1" t="s">
        <v>1360</v>
      </c>
      <c r="J4" s="1" t="n">
        <v>2</v>
      </c>
      <c r="K4" s="2" t="s">
        <v>2267</v>
      </c>
      <c r="L4" s="2" t="s">
        <v>1364</v>
      </c>
      <c r="M4" s="1" t="s">
        <v>1366</v>
      </c>
      <c r="N4" s="1" t="n">
        <v>1</v>
      </c>
      <c r="O4" s="2" t="n">
        <v>47.77</v>
      </c>
      <c r="P4" s="2" t="n">
        <v>95.47</v>
      </c>
      <c r="Q4" s="2" t="n">
        <v>71.62</v>
      </c>
      <c r="R4" s="1" t="n">
        <v>2</v>
      </c>
      <c r="S4" s="1" t="n">
        <v>0</v>
      </c>
      <c r="T4" s="1" t="s">
        <v>1360</v>
      </c>
      <c r="U4" s="1" t="n">
        <v>2</v>
      </c>
      <c r="V4" s="1" t="n">
        <v>0</v>
      </c>
    </row>
    <row r="5" customFormat="false" ht="18.7" hidden="false" customHeight="true" outlineLevel="0" collapsed="false">
      <c r="A5" s="1" t="n">
        <v>4</v>
      </c>
      <c r="B5" s="7" t="str">
        <f aca="false">HYPERLINK("https://mncourtfraud.com/file/27-CR-19-26893.pdf","27-CR-19-26893")</f>
        <v>27-CR-19-26893</v>
      </c>
      <c r="C5" s="1" t="n">
        <v>1</v>
      </c>
      <c r="D5" s="2" t="s">
        <v>12</v>
      </c>
      <c r="E5" s="8" t="n">
        <v>43844</v>
      </c>
      <c r="F5" s="2" t="s">
        <v>13</v>
      </c>
      <c r="G5" s="7" t="str">
        <f aca="false">HYPERLINK("https://mncourtfraud.com/file/MCRO_27-CR-19-26893_Find of Fact-Order, Pet Commitment-Dfd Found Incompetent_2020-01-14_20251126174653.pdf","MCRO_27-CR-19-26893_Find of Fact-Order, Pet Commitment-Dfd Found Incompetent_2020-01-14_20251126174653.pdf")</f>
        <v>MCRO_27-CR-19-26893_Find of Fact-Order, Pet Commitment-Dfd Found Incompetent_2020-01-14_20251126174653.pdf</v>
      </c>
      <c r="H5" s="1" t="n">
        <v>5</v>
      </c>
      <c r="I5" s="1" t="s">
        <v>1360</v>
      </c>
      <c r="J5" s="1" t="n">
        <v>1</v>
      </c>
      <c r="K5" s="2" t="s">
        <v>1362</v>
      </c>
      <c r="L5" s="2" t="s">
        <v>1364</v>
      </c>
      <c r="M5" s="1" t="s">
        <v>1360</v>
      </c>
      <c r="N5" s="1" t="n">
        <v>0</v>
      </c>
      <c r="O5" s="2" t="n">
        <v>92.96</v>
      </c>
      <c r="P5" s="2" t="n">
        <v>92.96</v>
      </c>
      <c r="Q5" s="2" t="n">
        <v>92.96</v>
      </c>
      <c r="R5" s="1" t="n">
        <v>1</v>
      </c>
      <c r="S5" s="1" t="n">
        <v>0</v>
      </c>
      <c r="T5" s="1" t="s">
        <v>1360</v>
      </c>
      <c r="U5" s="1" t="n">
        <v>5</v>
      </c>
      <c r="V5" s="1" t="n">
        <v>0</v>
      </c>
    </row>
    <row r="6" customFormat="false" ht="18.7" hidden="false" customHeight="true" outlineLevel="0" collapsed="false">
      <c r="A6" s="1" t="n">
        <v>5</v>
      </c>
      <c r="B6" s="7" t="str">
        <f aca="false">HYPERLINK("https://mncourtfraud.com/file/27-CR-19-26893.pdf","27-CR-19-26893")</f>
        <v>27-CR-19-26893</v>
      </c>
      <c r="C6" s="1" t="n">
        <v>1</v>
      </c>
      <c r="D6" s="2" t="s">
        <v>12</v>
      </c>
      <c r="E6" s="8" t="n">
        <v>43902</v>
      </c>
      <c r="F6" s="2" t="s">
        <v>15</v>
      </c>
      <c r="G6" s="7" t="str">
        <f aca="false">HYPERLINK("https://mncourtfraud.com/file/MCRO_27-CR-19-26893_Order-Evaluation for Competency to Proceed (Rule 20.01)_2020-03-12_20251126174914.pdf","MCRO_27-CR-19-26893_Order-Evaluation for Competency to Proceed (Rule 20.01)_2020-03-12_20251126174914.pdf")</f>
        <v>MCRO_27-CR-19-26893_Order-Evaluation for Competency to Proceed (Rule 20.01)_2020-03-12_20251126174914.pdf</v>
      </c>
      <c r="H6" s="1" t="n">
        <v>4</v>
      </c>
      <c r="I6" s="1" t="s">
        <v>1360</v>
      </c>
      <c r="J6" s="1" t="n">
        <v>1</v>
      </c>
      <c r="K6" s="2" t="s">
        <v>1362</v>
      </c>
      <c r="L6" s="2" t="s">
        <v>1364</v>
      </c>
      <c r="M6" s="1" t="s">
        <v>1360</v>
      </c>
      <c r="N6" s="1" t="n">
        <v>0</v>
      </c>
      <c r="O6" s="2" t="n">
        <v>98.61</v>
      </c>
      <c r="P6" s="2" t="n">
        <v>98.61</v>
      </c>
      <c r="Q6" s="2" t="n">
        <v>98.61</v>
      </c>
      <c r="R6" s="1" t="n">
        <v>1</v>
      </c>
      <c r="S6" s="1" t="n">
        <v>0</v>
      </c>
      <c r="T6" s="1" t="s">
        <v>1360</v>
      </c>
      <c r="U6" s="1" t="n">
        <v>4</v>
      </c>
      <c r="V6" s="1" t="n">
        <v>0</v>
      </c>
    </row>
    <row r="7" customFormat="false" ht="18.7" hidden="false" customHeight="true" outlineLevel="0" collapsed="false">
      <c r="A7" s="1" t="n">
        <v>6</v>
      </c>
      <c r="B7" s="7" t="str">
        <f aca="false">HYPERLINK("https://mncourtfraud.com/file/27-CR-19-26893.pdf","27-CR-19-26893")</f>
        <v>27-CR-19-26893</v>
      </c>
      <c r="C7" s="1" t="n">
        <v>1</v>
      </c>
      <c r="D7" s="2" t="s">
        <v>12</v>
      </c>
      <c r="E7" s="8" t="n">
        <v>44225</v>
      </c>
      <c r="F7" s="2" t="s">
        <v>15</v>
      </c>
      <c r="G7" s="7" t="str">
        <f aca="false">HYPERLINK("https://mncourtfraud.com/file/MCRO_27-CR-19-26893_Order-Evaluation for Competency to Proceed (Rule 20.01)_2021-01-29_20251126174927.pdf","MCRO_27-CR-19-26893_Order-Evaluation for Competency to Proceed (Rule 20.01)_2021-01-29_20251126174927.pdf")</f>
        <v>MCRO_27-CR-19-26893_Order-Evaluation for Competency to Proceed (Rule 20.01)_2021-01-29_20251126174927.pdf</v>
      </c>
      <c r="H7" s="1" t="n">
        <v>3</v>
      </c>
      <c r="I7" s="1" t="s">
        <v>1360</v>
      </c>
      <c r="J7" s="1" t="n">
        <v>1</v>
      </c>
      <c r="K7" s="2" t="s">
        <v>1362</v>
      </c>
      <c r="L7" s="2" t="s">
        <v>1364</v>
      </c>
      <c r="M7" s="1" t="s">
        <v>1360</v>
      </c>
      <c r="N7" s="1" t="n">
        <v>0</v>
      </c>
      <c r="O7" s="2" t="n">
        <v>96.39</v>
      </c>
      <c r="P7" s="2" t="n">
        <v>96.39</v>
      </c>
      <c r="Q7" s="2" t="n">
        <v>96.39</v>
      </c>
      <c r="R7" s="1" t="n">
        <v>1</v>
      </c>
      <c r="S7" s="1" t="n">
        <v>0</v>
      </c>
      <c r="T7" s="1" t="s">
        <v>1360</v>
      </c>
      <c r="U7" s="1" t="n">
        <v>3</v>
      </c>
      <c r="V7" s="1" t="n">
        <v>0</v>
      </c>
    </row>
    <row r="8" customFormat="false" ht="18.7" hidden="false" customHeight="true" outlineLevel="0" collapsed="false">
      <c r="A8" s="1" t="n">
        <v>7</v>
      </c>
      <c r="B8" s="7" t="str">
        <f aca="false">HYPERLINK("https://mncourtfraud.com/file/27-CR-19-26893.pdf","27-CR-19-26893")</f>
        <v>27-CR-19-26893</v>
      </c>
      <c r="C8" s="1" t="n">
        <v>1</v>
      </c>
      <c r="D8" s="2" t="s">
        <v>12</v>
      </c>
      <c r="E8" s="8" t="n">
        <v>44396</v>
      </c>
      <c r="F8" s="2" t="s">
        <v>15</v>
      </c>
      <c r="G8" s="7" t="str">
        <f aca="false">HYPERLINK("https://mncourtfraud.com/file/MCRO_27-CR-19-26893_Order-Evaluation for Competency to Proceed (Rule 20.01)_2021-07-19_20251126174939.pdf","MCRO_27-CR-19-26893_Order-Evaluation for Competency to Proceed (Rule 20.01)_2021-07-19_20251126174939.pdf")</f>
        <v>MCRO_27-CR-19-26893_Order-Evaluation for Competency to Proceed (Rule 20.01)_2021-07-19_20251126174939.pdf</v>
      </c>
      <c r="H8" s="1" t="n">
        <v>4</v>
      </c>
      <c r="I8" s="1" t="s">
        <v>1360</v>
      </c>
      <c r="J8" s="1" t="n">
        <v>1</v>
      </c>
      <c r="K8" s="2" t="s">
        <v>1362</v>
      </c>
      <c r="L8" s="2" t="s">
        <v>1364</v>
      </c>
      <c r="M8" s="1" t="s">
        <v>1360</v>
      </c>
      <c r="N8" s="1" t="n">
        <v>0</v>
      </c>
      <c r="O8" s="2" t="n">
        <v>91.7</v>
      </c>
      <c r="P8" s="2" t="n">
        <v>91.7</v>
      </c>
      <c r="Q8" s="2" t="n">
        <v>91.7</v>
      </c>
      <c r="R8" s="1" t="n">
        <v>1</v>
      </c>
      <c r="S8" s="1" t="n">
        <v>0</v>
      </c>
      <c r="T8" s="1" t="s">
        <v>1360</v>
      </c>
      <c r="U8" s="1" t="n">
        <v>4</v>
      </c>
      <c r="V8" s="1" t="n">
        <v>0</v>
      </c>
    </row>
    <row r="9" customFormat="false" ht="18.7" hidden="false" customHeight="true" outlineLevel="0" collapsed="false">
      <c r="A9" s="1" t="n">
        <v>8</v>
      </c>
      <c r="B9" s="7" t="str">
        <f aca="false">HYPERLINK("https://mncourtfraud.com/file/27-CR-19-26893.pdf","27-CR-19-26893")</f>
        <v>27-CR-19-26893</v>
      </c>
      <c r="C9" s="1" t="n">
        <v>1</v>
      </c>
      <c r="D9" s="2" t="s">
        <v>12</v>
      </c>
      <c r="E9" s="8" t="n">
        <v>44543</v>
      </c>
      <c r="F9" s="2" t="s">
        <v>15</v>
      </c>
      <c r="G9" s="7" t="str">
        <f aca="false">HYPERLINK("https://mncourtfraud.com/file/MCRO_27-CR-19-26893_Order-Evaluation for Competency to Proceed (Rule 20.01)_2021-12-13_20251126174821.pdf","MCRO_27-CR-19-26893_Order-Evaluation for Competency to Proceed (Rule 20.01)_2021-12-13_20251126174821.pdf")</f>
        <v>MCRO_27-CR-19-26893_Order-Evaluation for Competency to Proceed (Rule 20.01)_2021-12-13_20251126174821.pdf</v>
      </c>
      <c r="H9" s="1" t="n">
        <v>3</v>
      </c>
      <c r="I9" s="1" t="s">
        <v>1360</v>
      </c>
      <c r="J9" s="1" t="n">
        <v>1</v>
      </c>
      <c r="K9" s="2" t="s">
        <v>1362</v>
      </c>
      <c r="L9" s="2" t="s">
        <v>1364</v>
      </c>
      <c r="M9" s="1" t="s">
        <v>1360</v>
      </c>
      <c r="N9" s="1" t="n">
        <v>0</v>
      </c>
      <c r="O9" s="2" t="n">
        <v>92.99</v>
      </c>
      <c r="P9" s="2" t="n">
        <v>92.99</v>
      </c>
      <c r="Q9" s="2" t="n">
        <v>92.99</v>
      </c>
      <c r="R9" s="1" t="n">
        <v>1</v>
      </c>
      <c r="S9" s="1" t="n">
        <v>0</v>
      </c>
      <c r="T9" s="1" t="s">
        <v>1360</v>
      </c>
      <c r="U9" s="1" t="n">
        <v>3</v>
      </c>
      <c r="V9" s="1" t="n">
        <v>0</v>
      </c>
    </row>
    <row r="10" customFormat="false" ht="18.7" hidden="false" customHeight="true" outlineLevel="0" collapsed="false">
      <c r="A10" s="1" t="n">
        <v>9</v>
      </c>
      <c r="B10" s="7" t="str">
        <f aca="false">HYPERLINK("https://mncourtfraud.com/file/27-CR-19-26893.pdf","27-CR-19-26893")</f>
        <v>27-CR-19-26893</v>
      </c>
      <c r="C10" s="1" t="n">
        <v>1</v>
      </c>
      <c r="D10" s="2" t="s">
        <v>12</v>
      </c>
      <c r="E10" s="8" t="n">
        <v>44558</v>
      </c>
      <c r="F10" s="2" t="s">
        <v>15</v>
      </c>
      <c r="G10" s="7" t="str">
        <f aca="false">HYPERLINK("https://mncourtfraud.com/file/MCRO_27-CR-19-26893_Order-Evaluation for Competency to Proceed (Rule 20.01)_2021-12-28_20251126174832.pdf","MCRO_27-CR-19-26893_Order-Evaluation for Competency to Proceed (Rule 20.01)_2021-12-28_20251126174832.pdf")</f>
        <v>MCRO_27-CR-19-26893_Order-Evaluation for Competency to Proceed (Rule 20.01)_2021-12-28_20251126174832.pdf</v>
      </c>
      <c r="H10" s="1" t="n">
        <v>4</v>
      </c>
      <c r="I10" s="1" t="s">
        <v>1360</v>
      </c>
      <c r="J10" s="1" t="n">
        <v>1</v>
      </c>
      <c r="K10" s="2" t="s">
        <v>1362</v>
      </c>
      <c r="L10" s="2" t="s">
        <v>1364</v>
      </c>
      <c r="M10" s="1" t="s">
        <v>1360</v>
      </c>
      <c r="N10" s="1" t="n">
        <v>0</v>
      </c>
      <c r="O10" s="2" t="n">
        <v>93.25</v>
      </c>
      <c r="P10" s="2" t="n">
        <v>93.25</v>
      </c>
      <c r="Q10" s="2" t="n">
        <v>93.25</v>
      </c>
      <c r="R10" s="1" t="n">
        <v>1</v>
      </c>
      <c r="S10" s="1" t="n">
        <v>0</v>
      </c>
      <c r="T10" s="1" t="s">
        <v>1360</v>
      </c>
      <c r="U10" s="1" t="n">
        <v>4</v>
      </c>
      <c r="V10" s="1" t="n">
        <v>0</v>
      </c>
    </row>
    <row r="11" customFormat="false" ht="18.7" hidden="false" customHeight="true" outlineLevel="0" collapsed="false">
      <c r="A11" s="1" t="n">
        <v>10</v>
      </c>
      <c r="B11" s="7" t="str">
        <f aca="false">HYPERLINK("https://mncourtfraud.com/file/27-CR-19-26893.pdf","27-CR-19-26893")</f>
        <v>27-CR-19-26893</v>
      </c>
      <c r="C11" s="1" t="n">
        <v>1</v>
      </c>
      <c r="D11" s="2" t="s">
        <v>12</v>
      </c>
      <c r="E11" s="8" t="n">
        <v>44692</v>
      </c>
      <c r="F11" s="2" t="s">
        <v>15</v>
      </c>
      <c r="G11" s="7" t="str">
        <f aca="false">HYPERLINK("https://mncourtfraud.com/file/MCRO_27-CR-19-26893_Order-Evaluation for Competency to Proceed (Rule 20.01)_2022-05-11_20251126174846.pdf","MCRO_27-CR-19-26893_Order-Evaluation for Competency to Proceed (Rule 20.01)_2022-05-11_20251126174846.pdf")</f>
        <v>MCRO_27-CR-19-26893_Order-Evaluation for Competency to Proceed (Rule 20.01)_2022-05-11_20251126174846.pdf</v>
      </c>
      <c r="H11" s="1" t="n">
        <v>3</v>
      </c>
      <c r="I11" s="1" t="s">
        <v>1360</v>
      </c>
      <c r="J11" s="1" t="n">
        <v>1</v>
      </c>
      <c r="K11" s="2" t="s">
        <v>1362</v>
      </c>
      <c r="L11" s="2" t="s">
        <v>1364</v>
      </c>
      <c r="M11" s="1" t="s">
        <v>1360</v>
      </c>
      <c r="N11" s="1" t="n">
        <v>0</v>
      </c>
      <c r="O11" s="2" t="n">
        <v>93.17</v>
      </c>
      <c r="P11" s="2" t="n">
        <v>93.17</v>
      </c>
      <c r="Q11" s="2" t="n">
        <v>93.17</v>
      </c>
      <c r="R11" s="1" t="n">
        <v>1</v>
      </c>
      <c r="S11" s="1" t="n">
        <v>0</v>
      </c>
      <c r="T11" s="1" t="s">
        <v>1360</v>
      </c>
      <c r="U11" s="1" t="n">
        <v>3</v>
      </c>
      <c r="V11" s="1" t="n">
        <v>0</v>
      </c>
    </row>
    <row r="12" customFormat="false" ht="18.7" hidden="false" customHeight="true" outlineLevel="0" collapsed="false">
      <c r="A12" s="1" t="n">
        <v>11</v>
      </c>
      <c r="B12" s="7" t="str">
        <f aca="false">HYPERLINK("https://mncourtfraud.com/file/27-CR-19-26893.pdf","27-CR-19-26893")</f>
        <v>27-CR-19-26893</v>
      </c>
      <c r="C12" s="1" t="n">
        <v>1</v>
      </c>
      <c r="D12" s="2" t="s">
        <v>12</v>
      </c>
      <c r="E12" s="8" t="n">
        <v>44895</v>
      </c>
      <c r="F12" s="2" t="s">
        <v>15</v>
      </c>
      <c r="G12" s="7" t="str">
        <f aca="false">HYPERLINK("https://mncourtfraud.com/file/MCRO_27-CR-19-26893_Order-Evaluation for Competency to Proceed (Rule 20.01)_2022-11-30_20251126174859.pdf","MCRO_27-CR-19-26893_Order-Evaluation for Competency to Proceed (Rule 20.01)_2022-11-30_20251126174859.pdf")</f>
        <v>MCRO_27-CR-19-26893_Order-Evaluation for Competency to Proceed (Rule 20.01)_2022-11-30_20251126174859.pdf</v>
      </c>
      <c r="H12" s="1" t="n">
        <v>4</v>
      </c>
      <c r="I12" s="1" t="s">
        <v>1360</v>
      </c>
      <c r="J12" s="1" t="n">
        <v>1</v>
      </c>
      <c r="K12" s="2" t="s">
        <v>1362</v>
      </c>
      <c r="L12" s="2" t="s">
        <v>1364</v>
      </c>
      <c r="M12" s="1" t="s">
        <v>1360</v>
      </c>
      <c r="N12" s="1" t="n">
        <v>0</v>
      </c>
      <c r="O12" s="2" t="n">
        <v>97.99</v>
      </c>
      <c r="P12" s="2" t="n">
        <v>97.99</v>
      </c>
      <c r="Q12" s="2" t="n">
        <v>97.99</v>
      </c>
      <c r="R12" s="1" t="n">
        <v>1</v>
      </c>
      <c r="S12" s="1" t="n">
        <v>0</v>
      </c>
      <c r="T12" s="1" t="s">
        <v>1360</v>
      </c>
      <c r="U12" s="1" t="n">
        <v>4</v>
      </c>
      <c r="V12" s="1" t="n">
        <v>0</v>
      </c>
    </row>
    <row r="13" customFormat="false" ht="18.7" hidden="false" customHeight="true" outlineLevel="0" collapsed="false">
      <c r="A13" s="1" t="n">
        <v>12</v>
      </c>
      <c r="B13" s="7" t="str">
        <f aca="false">HYPERLINK("https://mncourtfraud.com/file/27-CR-19-26893.pdf","27-CR-19-26893")</f>
        <v>27-CR-19-26893</v>
      </c>
      <c r="C13" s="1" t="n">
        <v>1</v>
      </c>
      <c r="D13" s="2" t="s">
        <v>12</v>
      </c>
      <c r="E13" s="8" t="n">
        <v>44460</v>
      </c>
      <c r="F13" s="2" t="s">
        <v>24</v>
      </c>
      <c r="G13" s="7" t="str">
        <f aca="false">HYPERLINK("https://mncourtfraud.com/file/MCRO_27-CR-19-26893_Order for Conditional Release_2021-09-21_20251126174758.pdf","MCRO_27-CR-19-26893_Order for Conditional Release_2021-09-21_20251126174758.pdf")</f>
        <v>MCRO_27-CR-19-26893_Order for Conditional Release_2021-09-21_20251126174758.pdf</v>
      </c>
      <c r="H13" s="1" t="n">
        <v>4</v>
      </c>
      <c r="I13" s="1" t="s">
        <v>1360</v>
      </c>
      <c r="J13" s="1" t="n">
        <v>1</v>
      </c>
      <c r="K13" s="2" t="s">
        <v>1362</v>
      </c>
      <c r="L13" s="2" t="s">
        <v>1364</v>
      </c>
      <c r="M13" s="1" t="s">
        <v>1360</v>
      </c>
      <c r="N13" s="1" t="n">
        <v>0</v>
      </c>
      <c r="O13" s="2" t="n">
        <v>84.52</v>
      </c>
      <c r="P13" s="2" t="n">
        <v>84.52</v>
      </c>
      <c r="Q13" s="2" t="n">
        <v>84.52</v>
      </c>
      <c r="R13" s="1" t="n">
        <v>1</v>
      </c>
      <c r="S13" s="1" t="n">
        <v>0</v>
      </c>
      <c r="T13" s="1" t="s">
        <v>1360</v>
      </c>
      <c r="U13" s="1" t="n">
        <v>4</v>
      </c>
      <c r="V13" s="1" t="n">
        <v>0</v>
      </c>
    </row>
    <row r="14" customFormat="false" ht="18.7" hidden="false" customHeight="true" outlineLevel="0" collapsed="false">
      <c r="A14" s="1" t="n">
        <v>13</v>
      </c>
      <c r="B14" s="7" t="str">
        <f aca="false">HYPERLINK("https://mncourtfraud.com/file/27-CR-19-26893.pdf","27-CR-19-26893")</f>
        <v>27-CR-19-26893</v>
      </c>
      <c r="C14" s="1" t="n">
        <v>1</v>
      </c>
      <c r="D14" s="2" t="s">
        <v>12</v>
      </c>
      <c r="E14" s="8" t="n">
        <v>44468</v>
      </c>
      <c r="F14" s="2" t="s">
        <v>24</v>
      </c>
      <c r="G14" s="7" t="str">
        <f aca="false">HYPERLINK("https://mncourtfraud.com/file/MCRO_27-CR-19-26893_Order for Conditional Release_2021-09-29_20251126174746.pdf","MCRO_27-CR-19-26893_Order for Conditional Release_2021-09-29_20251126174746.pdf")</f>
        <v>MCRO_27-CR-19-26893_Order for Conditional Release_2021-09-29_20251126174746.pdf</v>
      </c>
      <c r="H14" s="1" t="n">
        <v>4</v>
      </c>
      <c r="I14" s="1" t="s">
        <v>1360</v>
      </c>
      <c r="J14" s="1" t="n">
        <v>1</v>
      </c>
      <c r="K14" s="2" t="s">
        <v>1362</v>
      </c>
      <c r="L14" s="2" t="s">
        <v>1364</v>
      </c>
      <c r="M14" s="1" t="s">
        <v>1360</v>
      </c>
      <c r="N14" s="1" t="n">
        <v>0</v>
      </c>
      <c r="O14" s="2" t="n">
        <v>89.21</v>
      </c>
      <c r="P14" s="2" t="n">
        <v>89.21</v>
      </c>
      <c r="Q14" s="2" t="n">
        <v>89.21</v>
      </c>
      <c r="R14" s="1" t="n">
        <v>1</v>
      </c>
      <c r="S14" s="1" t="n">
        <v>0</v>
      </c>
      <c r="T14" s="1" t="s">
        <v>1360</v>
      </c>
      <c r="U14" s="1" t="n">
        <v>4</v>
      </c>
      <c r="V14" s="1" t="n">
        <v>0</v>
      </c>
    </row>
    <row r="15" customFormat="false" ht="18.7" hidden="false" customHeight="true" outlineLevel="0" collapsed="false">
      <c r="A15" s="1" t="n">
        <v>14</v>
      </c>
      <c r="B15" s="7" t="str">
        <f aca="false">HYPERLINK("https://mncourtfraud.com/file/27-CR-19-26893.pdf","27-CR-19-26893")</f>
        <v>27-CR-19-26893</v>
      </c>
      <c r="C15" s="1" t="n">
        <v>1</v>
      </c>
      <c r="D15" s="2" t="s">
        <v>12</v>
      </c>
      <c r="E15" s="8" t="n">
        <v>43970</v>
      </c>
      <c r="F15" s="2" t="s">
        <v>17</v>
      </c>
      <c r="G15" s="7" t="str">
        <f aca="false">HYPERLINK("https://mncourtfraud.com/file/MCRO_27-CR-19-26893_Returned Mail_2020-05-19_20251126174953.pdf","MCRO_27-CR-19-26893_Returned Mail_2020-05-19_20251126174953.pdf")</f>
        <v>MCRO_27-CR-19-26893_Returned Mail_2020-05-19_20251126174953.pdf</v>
      </c>
      <c r="H15" s="1" t="n">
        <v>4</v>
      </c>
      <c r="I15" s="1" t="s">
        <v>1360</v>
      </c>
      <c r="J15" s="1" t="n">
        <v>1</v>
      </c>
      <c r="K15" s="2" t="s">
        <v>1362</v>
      </c>
      <c r="L15" s="2" t="s">
        <v>1364</v>
      </c>
      <c r="M15" s="1" t="s">
        <v>1360</v>
      </c>
      <c r="N15" s="1" t="n">
        <v>0</v>
      </c>
      <c r="O15" s="2" t="n">
        <v>93.77</v>
      </c>
      <c r="P15" s="2" t="n">
        <v>93.77</v>
      </c>
      <c r="Q15" s="2" t="n">
        <v>93.77</v>
      </c>
      <c r="R15" s="1" t="n">
        <v>1</v>
      </c>
      <c r="S15" s="1" t="n">
        <v>0</v>
      </c>
      <c r="T15" s="1" t="s">
        <v>1360</v>
      </c>
      <c r="U15" s="1" t="n">
        <v>4</v>
      </c>
      <c r="V15" s="1" t="n">
        <v>0</v>
      </c>
    </row>
    <row r="16" customFormat="false" ht="18.7" hidden="false" customHeight="true" outlineLevel="0" collapsed="false">
      <c r="A16" s="1" t="n">
        <v>15</v>
      </c>
      <c r="B16" s="7" t="str">
        <f aca="false">HYPERLINK("https://mncourtfraud.com/file/27-CR-19-4578.pdf","27-CR-19-4578")</f>
        <v>27-CR-19-4578</v>
      </c>
      <c r="C16" s="1" t="n">
        <v>1</v>
      </c>
      <c r="D16" s="2" t="s">
        <v>12</v>
      </c>
      <c r="E16" s="8" t="n">
        <v>44103</v>
      </c>
      <c r="F16" s="2" t="s">
        <v>19</v>
      </c>
      <c r="G16" s="7" t="str">
        <f aca="false">HYPERLINK("https://mncourtfraud.com/file/MCRO_27-CR-19-4578_Findings and Order_2020-09-29_20251126175057.pdf","MCRO_27-CR-19-4578_Findings and Order_2020-09-29_20251126175057.pdf")</f>
        <v>MCRO_27-CR-19-4578_Findings and Order_2020-09-29_20251126175057.pdf</v>
      </c>
      <c r="H16" s="1" t="n">
        <v>4</v>
      </c>
      <c r="I16" s="1" t="s">
        <v>1360</v>
      </c>
      <c r="J16" s="1" t="n">
        <v>1</v>
      </c>
      <c r="K16" s="2" t="s">
        <v>1362</v>
      </c>
      <c r="L16" s="2" t="s">
        <v>1364</v>
      </c>
      <c r="M16" s="1" t="s">
        <v>1360</v>
      </c>
      <c r="N16" s="1" t="n">
        <v>0</v>
      </c>
      <c r="O16" s="2" t="n">
        <v>95.11</v>
      </c>
      <c r="P16" s="2" t="n">
        <v>95.11</v>
      </c>
      <c r="Q16" s="2" t="n">
        <v>95.11</v>
      </c>
      <c r="R16" s="1" t="n">
        <v>1</v>
      </c>
      <c r="S16" s="1" t="n">
        <v>0</v>
      </c>
      <c r="T16" s="1" t="s">
        <v>1360</v>
      </c>
      <c r="U16" s="1" t="n">
        <v>4</v>
      </c>
      <c r="V16" s="1" t="n">
        <v>0</v>
      </c>
    </row>
    <row r="17" customFormat="false" ht="18.7" hidden="false" customHeight="true" outlineLevel="0" collapsed="false">
      <c r="A17" s="1" t="n">
        <v>16</v>
      </c>
      <c r="B17" s="7" t="str">
        <f aca="false">HYPERLINK("https://mncourtfraud.com/file/27-CR-19-4578.pdf","27-CR-19-4578")</f>
        <v>27-CR-19-4578</v>
      </c>
      <c r="C17" s="1" t="n">
        <v>1</v>
      </c>
      <c r="D17" s="2" t="s">
        <v>12</v>
      </c>
      <c r="E17" s="8" t="n">
        <v>44439</v>
      </c>
      <c r="F17" s="2" t="s">
        <v>19</v>
      </c>
      <c r="G17" s="7" t="str">
        <f aca="false">HYPERLINK("https://mncourtfraud.com/file/MCRO_27-CR-19-4578_Findings and Order_2021-08-31_20251126175106.pdf","MCRO_27-CR-19-4578_Findings and Order_2021-08-31_20251126175106.pdf")</f>
        <v>MCRO_27-CR-19-4578_Findings and Order_2021-08-31_20251126175106.pdf</v>
      </c>
      <c r="H17" s="1" t="n">
        <v>5</v>
      </c>
      <c r="I17" s="1" t="s">
        <v>1366</v>
      </c>
      <c r="J17" s="1" t="n">
        <v>2</v>
      </c>
      <c r="K17" s="2" t="s">
        <v>2267</v>
      </c>
      <c r="L17" s="2" t="s">
        <v>1364</v>
      </c>
      <c r="M17" s="1" t="s">
        <v>1366</v>
      </c>
      <c r="N17" s="1" t="n">
        <v>1</v>
      </c>
      <c r="O17" s="2" t="n">
        <v>39.94</v>
      </c>
      <c r="P17" s="2" t="n">
        <v>95.64</v>
      </c>
      <c r="Q17" s="2" t="n">
        <v>67.79</v>
      </c>
      <c r="R17" s="1" t="n">
        <v>2</v>
      </c>
      <c r="S17" s="1" t="n">
        <v>0</v>
      </c>
      <c r="T17" s="1" t="s">
        <v>1360</v>
      </c>
      <c r="U17" s="1" t="n">
        <v>2</v>
      </c>
      <c r="V17" s="1" t="n">
        <v>0</v>
      </c>
    </row>
    <row r="18" customFormat="false" ht="18.7" hidden="false" customHeight="true" outlineLevel="0" collapsed="false">
      <c r="A18" s="1" t="n">
        <v>17</v>
      </c>
      <c r="B18" s="7" t="str">
        <f aca="false">HYPERLINK("https://mncourtfraud.com/file/27-CR-19-4578.pdf","27-CR-19-4578")</f>
        <v>27-CR-19-4578</v>
      </c>
      <c r="C18" s="1" t="n">
        <v>1</v>
      </c>
      <c r="D18" s="2" t="s">
        <v>12</v>
      </c>
      <c r="E18" s="8" t="n">
        <v>44593</v>
      </c>
      <c r="F18" s="2" t="s">
        <v>19</v>
      </c>
      <c r="G18" s="7" t="str">
        <f aca="false">HYPERLINK("https://mncourtfraud.com/file/MCRO_27-CR-19-4578_Findings and Order_2022-02-01_20251126175043.pdf","MCRO_27-CR-19-4578_Findings and Order_2022-02-01_20251126175043.pdf")</f>
        <v>MCRO_27-CR-19-4578_Findings and Order_2022-02-01_20251126175043.pdf</v>
      </c>
      <c r="H18" s="1" t="n">
        <v>4</v>
      </c>
      <c r="I18" s="1" t="s">
        <v>1360</v>
      </c>
      <c r="J18" s="1" t="n">
        <v>2</v>
      </c>
      <c r="K18" s="2" t="s">
        <v>2267</v>
      </c>
      <c r="L18" s="2" t="s">
        <v>1364</v>
      </c>
      <c r="M18" s="1" t="s">
        <v>1366</v>
      </c>
      <c r="N18" s="1" t="n">
        <v>1</v>
      </c>
      <c r="O18" s="2" t="n">
        <v>47.77</v>
      </c>
      <c r="P18" s="2" t="n">
        <v>95.47</v>
      </c>
      <c r="Q18" s="2" t="n">
        <v>71.62</v>
      </c>
      <c r="R18" s="1" t="n">
        <v>2</v>
      </c>
      <c r="S18" s="1" t="n">
        <v>0</v>
      </c>
      <c r="T18" s="1" t="s">
        <v>1360</v>
      </c>
      <c r="U18" s="1" t="n">
        <v>2</v>
      </c>
      <c r="V18" s="1" t="n">
        <v>0</v>
      </c>
    </row>
    <row r="19" customFormat="false" ht="18.7" hidden="false" customHeight="true" outlineLevel="0" collapsed="false">
      <c r="A19" s="1" t="n">
        <v>18</v>
      </c>
      <c r="B19" s="7" t="str">
        <f aca="false">HYPERLINK("https://mncourtfraud.com/file/27-CR-19-4578.pdf","27-CR-19-4578")</f>
        <v>27-CR-19-4578</v>
      </c>
      <c r="C19" s="1" t="n">
        <v>1</v>
      </c>
      <c r="D19" s="2" t="s">
        <v>12</v>
      </c>
      <c r="E19" s="8" t="n">
        <v>43844</v>
      </c>
      <c r="F19" s="2" t="s">
        <v>13</v>
      </c>
      <c r="G19" s="7" t="str">
        <f aca="false">HYPERLINK("https://mncourtfraud.com/file/MCRO_27-CR-19-4578_Find of Fact-Order, Pet Commitment-Dfd Found Incompetent_2020-01-14_20251126175028.pdf","MCRO_27-CR-19-4578_Find of Fact-Order, Pet Commitment-Dfd Found Incompetent_2020-01-14_20251126175028.pdf")</f>
        <v>MCRO_27-CR-19-4578_Find of Fact-Order, Pet Commitment-Dfd Found Incompetent_2020-01-14_20251126175028.pdf</v>
      </c>
      <c r="H19" s="1" t="n">
        <v>5</v>
      </c>
      <c r="I19" s="1" t="s">
        <v>1360</v>
      </c>
      <c r="J19" s="1" t="n">
        <v>1</v>
      </c>
      <c r="K19" s="2" t="s">
        <v>1362</v>
      </c>
      <c r="L19" s="2" t="s">
        <v>1364</v>
      </c>
      <c r="M19" s="1" t="s">
        <v>1360</v>
      </c>
      <c r="N19" s="1" t="n">
        <v>0</v>
      </c>
      <c r="O19" s="2" t="n">
        <v>92.96</v>
      </c>
      <c r="P19" s="2" t="n">
        <v>92.96</v>
      </c>
      <c r="Q19" s="2" t="n">
        <v>92.96</v>
      </c>
      <c r="R19" s="1" t="n">
        <v>1</v>
      </c>
      <c r="S19" s="1" t="n">
        <v>0</v>
      </c>
      <c r="T19" s="1" t="s">
        <v>1360</v>
      </c>
      <c r="U19" s="1" t="n">
        <v>5</v>
      </c>
      <c r="V19" s="1" t="n">
        <v>0</v>
      </c>
    </row>
    <row r="20" customFormat="false" ht="18.7" hidden="false" customHeight="true" outlineLevel="0" collapsed="false">
      <c r="A20" s="1" t="n">
        <v>19</v>
      </c>
      <c r="B20" s="7" t="str">
        <f aca="false">HYPERLINK("https://mncourtfraud.com/file/27-CR-19-4578.pdf","27-CR-19-4578")</f>
        <v>27-CR-19-4578</v>
      </c>
      <c r="C20" s="1" t="n">
        <v>1</v>
      </c>
      <c r="D20" s="2" t="s">
        <v>12</v>
      </c>
      <c r="E20" s="8" t="n">
        <v>43902</v>
      </c>
      <c r="F20" s="2" t="s">
        <v>15</v>
      </c>
      <c r="G20" s="7" t="str">
        <f aca="false">HYPERLINK("https://mncourtfraud.com/file/MCRO_27-CR-19-4578_Order-Evaluation for Competency to Proceed (Rule 20.01)_2020-03-12_20251126175310.pdf","MCRO_27-CR-19-4578_Order-Evaluation for Competency to Proceed (Rule 20.01)_2020-03-12_20251126175310.pdf")</f>
        <v>MCRO_27-CR-19-4578_Order-Evaluation for Competency to Proceed (Rule 20.01)_2020-03-12_20251126175310.pdf</v>
      </c>
      <c r="H20" s="1" t="n">
        <v>4</v>
      </c>
      <c r="I20" s="1" t="s">
        <v>1360</v>
      </c>
      <c r="J20" s="1" t="n">
        <v>1</v>
      </c>
      <c r="K20" s="2" t="s">
        <v>1362</v>
      </c>
      <c r="L20" s="2" t="s">
        <v>1364</v>
      </c>
      <c r="M20" s="1" t="s">
        <v>1360</v>
      </c>
      <c r="N20" s="1" t="n">
        <v>0</v>
      </c>
      <c r="O20" s="2" t="n">
        <v>98.62</v>
      </c>
      <c r="P20" s="2" t="n">
        <v>98.62</v>
      </c>
      <c r="Q20" s="2" t="n">
        <v>98.62</v>
      </c>
      <c r="R20" s="1" t="n">
        <v>1</v>
      </c>
      <c r="S20" s="1" t="n">
        <v>0</v>
      </c>
      <c r="T20" s="1" t="s">
        <v>1360</v>
      </c>
      <c r="U20" s="1" t="n">
        <v>4</v>
      </c>
      <c r="V20" s="1" t="n">
        <v>0</v>
      </c>
    </row>
    <row r="21" customFormat="false" ht="18.7" hidden="false" customHeight="true" outlineLevel="0" collapsed="false">
      <c r="A21" s="1" t="n">
        <v>20</v>
      </c>
      <c r="B21" s="7" t="str">
        <f aca="false">HYPERLINK("https://mncourtfraud.com/file/27-CR-19-4578.pdf","27-CR-19-4578")</f>
        <v>27-CR-19-4578</v>
      </c>
      <c r="C21" s="1" t="n">
        <v>1</v>
      </c>
      <c r="D21" s="2" t="s">
        <v>12</v>
      </c>
      <c r="E21" s="8" t="n">
        <v>44225</v>
      </c>
      <c r="F21" s="2" t="s">
        <v>15</v>
      </c>
      <c r="G21" s="7" t="str">
        <f aca="false">HYPERLINK("https://mncourtfraud.com/file/MCRO_27-CR-19-4578_Order-Evaluation for Competency to Proceed (Rule 20.01)_2021-01-29_20251126175321.pdf","MCRO_27-CR-19-4578_Order-Evaluation for Competency to Proceed (Rule 20.01)_2021-01-29_20251126175321.pdf")</f>
        <v>MCRO_27-CR-19-4578_Order-Evaluation for Competency to Proceed (Rule 20.01)_2021-01-29_20251126175321.pdf</v>
      </c>
      <c r="H21" s="1" t="n">
        <v>3</v>
      </c>
      <c r="I21" s="1" t="s">
        <v>1360</v>
      </c>
      <c r="J21" s="1" t="n">
        <v>1</v>
      </c>
      <c r="K21" s="2" t="s">
        <v>1362</v>
      </c>
      <c r="L21" s="2" t="s">
        <v>1364</v>
      </c>
      <c r="M21" s="1" t="s">
        <v>1360</v>
      </c>
      <c r="N21" s="1" t="n">
        <v>0</v>
      </c>
      <c r="O21" s="2" t="n">
        <v>96.39</v>
      </c>
      <c r="P21" s="2" t="n">
        <v>96.39</v>
      </c>
      <c r="Q21" s="2" t="n">
        <v>96.39</v>
      </c>
      <c r="R21" s="1" t="n">
        <v>1</v>
      </c>
      <c r="S21" s="1" t="n">
        <v>0</v>
      </c>
      <c r="T21" s="1" t="s">
        <v>1360</v>
      </c>
      <c r="U21" s="1" t="n">
        <v>3</v>
      </c>
      <c r="V21" s="1" t="n">
        <v>0</v>
      </c>
    </row>
    <row r="22" customFormat="false" ht="18.7" hidden="false" customHeight="true" outlineLevel="0" collapsed="false">
      <c r="A22" s="1" t="n">
        <v>21</v>
      </c>
      <c r="B22" s="7" t="str">
        <f aca="false">HYPERLINK("https://mncourtfraud.com/file/27-CR-19-4578.pdf","27-CR-19-4578")</f>
        <v>27-CR-19-4578</v>
      </c>
      <c r="C22" s="1" t="n">
        <v>1</v>
      </c>
      <c r="D22" s="2" t="s">
        <v>12</v>
      </c>
      <c r="E22" s="8" t="n">
        <v>44396</v>
      </c>
      <c r="F22" s="2" t="s">
        <v>15</v>
      </c>
      <c r="G22" s="7" t="str">
        <f aca="false">HYPERLINK("https://mncourtfraud.com/file/MCRO_27-CR-19-4578_Order-Evaluation for Competency to Proceed (Rule 20.01)_2021-07-19_20251126175155.pdf","MCRO_27-CR-19-4578_Order-Evaluation for Competency to Proceed (Rule 20.01)_2021-07-19_20251126175155.pdf")</f>
        <v>MCRO_27-CR-19-4578_Order-Evaluation for Competency to Proceed (Rule 20.01)_2021-07-19_20251126175155.pdf</v>
      </c>
      <c r="H22" s="1" t="n">
        <v>4</v>
      </c>
      <c r="I22" s="1" t="s">
        <v>1360</v>
      </c>
      <c r="J22" s="1" t="n">
        <v>1</v>
      </c>
      <c r="K22" s="2" t="s">
        <v>1362</v>
      </c>
      <c r="L22" s="2" t="s">
        <v>1364</v>
      </c>
      <c r="M22" s="1" t="s">
        <v>1360</v>
      </c>
      <c r="N22" s="1" t="n">
        <v>0</v>
      </c>
      <c r="O22" s="2" t="n">
        <v>91.59</v>
      </c>
      <c r="P22" s="2" t="n">
        <v>91.59</v>
      </c>
      <c r="Q22" s="2" t="n">
        <v>91.59</v>
      </c>
      <c r="R22" s="1" t="n">
        <v>1</v>
      </c>
      <c r="S22" s="1" t="n">
        <v>0</v>
      </c>
      <c r="T22" s="1" t="s">
        <v>1360</v>
      </c>
      <c r="U22" s="1" t="n">
        <v>4</v>
      </c>
      <c r="V22" s="1" t="n">
        <v>0</v>
      </c>
    </row>
    <row r="23" customFormat="false" ht="18.7" hidden="false" customHeight="true" outlineLevel="0" collapsed="false">
      <c r="A23" s="1" t="n">
        <v>22</v>
      </c>
      <c r="B23" s="7" t="str">
        <f aca="false">HYPERLINK("https://mncourtfraud.com/file/27-CR-19-4578.pdf","27-CR-19-4578")</f>
        <v>27-CR-19-4578</v>
      </c>
      <c r="C23" s="1" t="n">
        <v>1</v>
      </c>
      <c r="D23" s="2" t="s">
        <v>12</v>
      </c>
      <c r="E23" s="8" t="n">
        <v>44543</v>
      </c>
      <c r="F23" s="2" t="s">
        <v>15</v>
      </c>
      <c r="G23" s="7" t="str">
        <f aca="false">HYPERLINK("https://mncourtfraud.com/file/MCRO_27-CR-19-4578_Order-Evaluation for Competency to Proceed (Rule 20.01)_2021-12-13_20251126175209.pdf","MCRO_27-CR-19-4578_Order-Evaluation for Competency to Proceed (Rule 20.01)_2021-12-13_20251126175209.pdf")</f>
        <v>MCRO_27-CR-19-4578_Order-Evaluation for Competency to Proceed (Rule 20.01)_2021-12-13_20251126175209.pdf</v>
      </c>
      <c r="H23" s="1" t="n">
        <v>3</v>
      </c>
      <c r="I23" s="1" t="s">
        <v>1360</v>
      </c>
      <c r="J23" s="1" t="n">
        <v>1</v>
      </c>
      <c r="K23" s="2" t="s">
        <v>1362</v>
      </c>
      <c r="L23" s="2" t="s">
        <v>1364</v>
      </c>
      <c r="M23" s="1" t="s">
        <v>1360</v>
      </c>
      <c r="N23" s="1" t="n">
        <v>0</v>
      </c>
      <c r="O23" s="2" t="n">
        <v>92.99</v>
      </c>
      <c r="P23" s="2" t="n">
        <v>92.99</v>
      </c>
      <c r="Q23" s="2" t="n">
        <v>92.99</v>
      </c>
      <c r="R23" s="1" t="n">
        <v>1</v>
      </c>
      <c r="S23" s="1" t="n">
        <v>0</v>
      </c>
      <c r="T23" s="1" t="s">
        <v>1360</v>
      </c>
      <c r="U23" s="1" t="n">
        <v>3</v>
      </c>
      <c r="V23" s="1" t="n">
        <v>0</v>
      </c>
    </row>
    <row r="24" customFormat="false" ht="18.7" hidden="false" customHeight="true" outlineLevel="0" collapsed="false">
      <c r="A24" s="1" t="n">
        <v>23</v>
      </c>
      <c r="B24" s="7" t="str">
        <f aca="false">HYPERLINK("https://mncourtfraud.com/file/27-CR-19-4578.pdf","27-CR-19-4578")</f>
        <v>27-CR-19-4578</v>
      </c>
      <c r="C24" s="1" t="n">
        <v>1</v>
      </c>
      <c r="D24" s="2" t="s">
        <v>12</v>
      </c>
      <c r="E24" s="8" t="n">
        <v>44558</v>
      </c>
      <c r="F24" s="2" t="s">
        <v>15</v>
      </c>
      <c r="G24" s="7" t="str">
        <f aca="false">HYPERLINK("https://mncourtfraud.com/file/MCRO_27-CR-19-4578_Order-Evaluation for Competency to Proceed (Rule 20.01)_2021-12-28_20251126175221.pdf","MCRO_27-CR-19-4578_Order-Evaluation for Competency to Proceed (Rule 20.01)_2021-12-28_20251126175221.pdf")</f>
        <v>MCRO_27-CR-19-4578_Order-Evaluation for Competency to Proceed (Rule 20.01)_2021-12-28_20251126175221.pdf</v>
      </c>
      <c r="H24" s="1" t="n">
        <v>4</v>
      </c>
      <c r="I24" s="1" t="s">
        <v>1360</v>
      </c>
      <c r="J24" s="1" t="n">
        <v>1</v>
      </c>
      <c r="K24" s="2" t="s">
        <v>1362</v>
      </c>
      <c r="L24" s="2" t="s">
        <v>1364</v>
      </c>
      <c r="M24" s="1" t="s">
        <v>1360</v>
      </c>
      <c r="N24" s="1" t="n">
        <v>0</v>
      </c>
      <c r="O24" s="2" t="n">
        <v>93.14</v>
      </c>
      <c r="P24" s="2" t="n">
        <v>93.14</v>
      </c>
      <c r="Q24" s="2" t="n">
        <v>93.14</v>
      </c>
      <c r="R24" s="1" t="n">
        <v>1</v>
      </c>
      <c r="S24" s="1" t="n">
        <v>0</v>
      </c>
      <c r="T24" s="1" t="s">
        <v>1360</v>
      </c>
      <c r="U24" s="1" t="n">
        <v>4</v>
      </c>
      <c r="V24" s="1" t="n">
        <v>0</v>
      </c>
    </row>
    <row r="25" customFormat="false" ht="18.7" hidden="false" customHeight="true" outlineLevel="0" collapsed="false">
      <c r="A25" s="1" t="n">
        <v>24</v>
      </c>
      <c r="B25" s="7" t="str">
        <f aca="false">HYPERLINK("https://mncourtfraud.com/file/27-CR-19-4578.pdf","27-CR-19-4578")</f>
        <v>27-CR-19-4578</v>
      </c>
      <c r="C25" s="1" t="n">
        <v>1</v>
      </c>
      <c r="D25" s="2" t="s">
        <v>12</v>
      </c>
      <c r="E25" s="8" t="n">
        <v>44692</v>
      </c>
      <c r="F25" s="2" t="s">
        <v>15</v>
      </c>
      <c r="G25" s="7" t="str">
        <f aca="false">HYPERLINK("https://mncourtfraud.com/file/MCRO_27-CR-19-4578_Order-Evaluation for Competency to Proceed (Rule 20.01)_2022-05-11_20251126175233.pdf","MCRO_27-CR-19-4578_Order-Evaluation for Competency to Proceed (Rule 20.01)_2022-05-11_20251126175233.pdf")</f>
        <v>MCRO_27-CR-19-4578_Order-Evaluation for Competency to Proceed (Rule 20.01)_2022-05-11_20251126175233.pdf</v>
      </c>
      <c r="H25" s="1" t="n">
        <v>3</v>
      </c>
      <c r="I25" s="1" t="s">
        <v>1360</v>
      </c>
      <c r="J25" s="1" t="n">
        <v>1</v>
      </c>
      <c r="K25" s="2" t="s">
        <v>1362</v>
      </c>
      <c r="L25" s="2" t="s">
        <v>1364</v>
      </c>
      <c r="M25" s="1" t="s">
        <v>1360</v>
      </c>
      <c r="N25" s="1" t="n">
        <v>0</v>
      </c>
      <c r="O25" s="2" t="n">
        <v>93.17</v>
      </c>
      <c r="P25" s="2" t="n">
        <v>93.17</v>
      </c>
      <c r="Q25" s="2" t="n">
        <v>93.17</v>
      </c>
      <c r="R25" s="1" t="n">
        <v>1</v>
      </c>
      <c r="S25" s="1" t="n">
        <v>0</v>
      </c>
      <c r="T25" s="1" t="s">
        <v>1360</v>
      </c>
      <c r="U25" s="1" t="n">
        <v>3</v>
      </c>
      <c r="V25" s="1" t="n">
        <v>0</v>
      </c>
    </row>
    <row r="26" customFormat="false" ht="18.7" hidden="false" customHeight="true" outlineLevel="0" collapsed="false">
      <c r="A26" s="1" t="n">
        <v>25</v>
      </c>
      <c r="B26" s="7" t="str">
        <f aca="false">HYPERLINK("https://mncourtfraud.com/file/27-CR-19-4578.pdf","27-CR-19-4578")</f>
        <v>27-CR-19-4578</v>
      </c>
      <c r="C26" s="1" t="n">
        <v>1</v>
      </c>
      <c r="D26" s="2" t="s">
        <v>12</v>
      </c>
      <c r="E26" s="8" t="n">
        <v>44895</v>
      </c>
      <c r="F26" s="2" t="s">
        <v>15</v>
      </c>
      <c r="G26" s="7" t="str">
        <f aca="false">HYPERLINK("https://mncourtfraud.com/file/MCRO_27-CR-19-4578_Order-Evaluation for Competency to Proceed (Rule 20.01)_2022-11-30_20251126175245.pdf","MCRO_27-CR-19-4578_Order-Evaluation for Competency to Proceed (Rule 20.01)_2022-11-30_20251126175245.pdf")</f>
        <v>MCRO_27-CR-19-4578_Order-Evaluation for Competency to Proceed (Rule 20.01)_2022-11-30_20251126175245.pdf</v>
      </c>
      <c r="H26" s="1" t="n">
        <v>4</v>
      </c>
      <c r="I26" s="1" t="s">
        <v>1360</v>
      </c>
      <c r="J26" s="1" t="n">
        <v>1</v>
      </c>
      <c r="K26" s="2" t="s">
        <v>1362</v>
      </c>
      <c r="L26" s="2" t="s">
        <v>1364</v>
      </c>
      <c r="M26" s="1" t="s">
        <v>1360</v>
      </c>
      <c r="N26" s="1" t="n">
        <v>0</v>
      </c>
      <c r="O26" s="2" t="n">
        <v>97.99</v>
      </c>
      <c r="P26" s="2" t="n">
        <v>97.99</v>
      </c>
      <c r="Q26" s="2" t="n">
        <v>97.99</v>
      </c>
      <c r="R26" s="1" t="n">
        <v>1</v>
      </c>
      <c r="S26" s="1" t="n">
        <v>0</v>
      </c>
      <c r="T26" s="1" t="s">
        <v>1360</v>
      </c>
      <c r="U26" s="1" t="n">
        <v>4</v>
      </c>
      <c r="V26" s="1" t="n">
        <v>0</v>
      </c>
    </row>
    <row r="27" customFormat="false" ht="18.7" hidden="false" customHeight="true" outlineLevel="0" collapsed="false">
      <c r="A27" s="1" t="n">
        <v>26</v>
      </c>
      <c r="B27" s="7" t="str">
        <f aca="false">HYPERLINK("https://mncourtfraud.com/file/27-CR-19-4578.pdf","27-CR-19-4578")</f>
        <v>27-CR-19-4578</v>
      </c>
      <c r="C27" s="1" t="n">
        <v>1</v>
      </c>
      <c r="D27" s="2" t="s">
        <v>12</v>
      </c>
      <c r="E27" s="8" t="n">
        <v>44460</v>
      </c>
      <c r="F27" s="2" t="s">
        <v>24</v>
      </c>
      <c r="G27" s="7" t="str">
        <f aca="false">HYPERLINK("https://mncourtfraud.com/file/MCRO_27-CR-19-4578_Order for Conditional Release_2021-09-21_20251126175125.pdf","MCRO_27-CR-19-4578_Order for Conditional Release_2021-09-21_20251126175125.pdf")</f>
        <v>MCRO_27-CR-19-4578_Order for Conditional Release_2021-09-21_20251126175125.pdf</v>
      </c>
      <c r="H27" s="1" t="n">
        <v>4</v>
      </c>
      <c r="I27" s="1" t="s">
        <v>1360</v>
      </c>
      <c r="J27" s="1" t="n">
        <v>1</v>
      </c>
      <c r="K27" s="2" t="s">
        <v>1362</v>
      </c>
      <c r="L27" s="2" t="s">
        <v>1364</v>
      </c>
      <c r="M27" s="1" t="s">
        <v>1360</v>
      </c>
      <c r="N27" s="1" t="n">
        <v>0</v>
      </c>
      <c r="O27" s="2" t="n">
        <v>84.52</v>
      </c>
      <c r="P27" s="2" t="n">
        <v>84.52</v>
      </c>
      <c r="Q27" s="2" t="n">
        <v>84.52</v>
      </c>
      <c r="R27" s="1" t="n">
        <v>1</v>
      </c>
      <c r="S27" s="1" t="n">
        <v>0</v>
      </c>
      <c r="T27" s="1" t="s">
        <v>1360</v>
      </c>
      <c r="U27" s="1" t="n">
        <v>4</v>
      </c>
      <c r="V27" s="1" t="n">
        <v>0</v>
      </c>
    </row>
    <row r="28" customFormat="false" ht="18.7" hidden="false" customHeight="true" outlineLevel="0" collapsed="false">
      <c r="A28" s="1" t="n">
        <v>27</v>
      </c>
      <c r="B28" s="7" t="str">
        <f aca="false">HYPERLINK("https://mncourtfraud.com/file/27-CR-19-4578.pdf","27-CR-19-4578")</f>
        <v>27-CR-19-4578</v>
      </c>
      <c r="C28" s="1" t="n">
        <v>1</v>
      </c>
      <c r="D28" s="2" t="s">
        <v>12</v>
      </c>
      <c r="E28" s="8" t="n">
        <v>44468</v>
      </c>
      <c r="F28" s="2" t="s">
        <v>24</v>
      </c>
      <c r="G28" s="7" t="str">
        <f aca="false">HYPERLINK("https://mncourtfraud.com/file/MCRO_27-CR-19-4578_Order for Conditional Release_2021-09-29_20251126175138.pdf","MCRO_27-CR-19-4578_Order for Conditional Release_2021-09-29_20251126175138.pdf")</f>
        <v>MCRO_27-CR-19-4578_Order for Conditional Release_2021-09-29_20251126175138.pdf</v>
      </c>
      <c r="H28" s="1" t="n">
        <v>4</v>
      </c>
      <c r="I28" s="1" t="s">
        <v>1360</v>
      </c>
      <c r="J28" s="1" t="n">
        <v>1</v>
      </c>
      <c r="K28" s="2" t="s">
        <v>1362</v>
      </c>
      <c r="L28" s="2" t="s">
        <v>1364</v>
      </c>
      <c r="M28" s="1" t="s">
        <v>1360</v>
      </c>
      <c r="N28" s="1" t="n">
        <v>0</v>
      </c>
      <c r="O28" s="2" t="n">
        <v>89.21</v>
      </c>
      <c r="P28" s="2" t="n">
        <v>89.21</v>
      </c>
      <c r="Q28" s="2" t="n">
        <v>89.21</v>
      </c>
      <c r="R28" s="1" t="n">
        <v>1</v>
      </c>
      <c r="S28" s="1" t="n">
        <v>0</v>
      </c>
      <c r="T28" s="1" t="s">
        <v>1360</v>
      </c>
      <c r="U28" s="1" t="n">
        <v>4</v>
      </c>
      <c r="V28" s="1" t="n">
        <v>0</v>
      </c>
    </row>
    <row r="29" customFormat="false" ht="18.7" hidden="false" customHeight="true" outlineLevel="0" collapsed="false">
      <c r="A29" s="1" t="n">
        <v>28</v>
      </c>
      <c r="B29" s="7" t="str">
        <f aca="false">HYPERLINK("https://mncourtfraud.com/file/27-CR-19-4578.pdf","27-CR-19-4578")</f>
        <v>27-CR-19-4578</v>
      </c>
      <c r="C29" s="1" t="n">
        <v>1</v>
      </c>
      <c r="D29" s="2" t="s">
        <v>12</v>
      </c>
      <c r="E29" s="8" t="n">
        <v>43970</v>
      </c>
      <c r="F29" s="2" t="s">
        <v>17</v>
      </c>
      <c r="G29" s="7" t="str">
        <f aca="false">HYPERLINK("https://mncourtfraud.com/file/MCRO_27-CR-19-4578_Returned Mail_2020-05-19_20251126175340.pdf","MCRO_27-CR-19-4578_Returned Mail_2020-05-19_20251126175340.pdf")</f>
        <v>MCRO_27-CR-19-4578_Returned Mail_2020-05-19_20251126175340.pdf</v>
      </c>
      <c r="H29" s="1" t="n">
        <v>4</v>
      </c>
      <c r="I29" s="1" t="s">
        <v>1360</v>
      </c>
      <c r="J29" s="1" t="n">
        <v>1</v>
      </c>
      <c r="K29" s="2" t="s">
        <v>1362</v>
      </c>
      <c r="L29" s="2" t="s">
        <v>1364</v>
      </c>
      <c r="M29" s="1" t="s">
        <v>1360</v>
      </c>
      <c r="N29" s="1" t="n">
        <v>0</v>
      </c>
      <c r="O29" s="2" t="n">
        <v>93.77</v>
      </c>
      <c r="P29" s="2" t="n">
        <v>93.77</v>
      </c>
      <c r="Q29" s="2" t="n">
        <v>93.77</v>
      </c>
      <c r="R29" s="1" t="n">
        <v>1</v>
      </c>
      <c r="S29" s="1" t="n">
        <v>0</v>
      </c>
      <c r="T29" s="1" t="s">
        <v>1360</v>
      </c>
      <c r="U29" s="1" t="n">
        <v>4</v>
      </c>
      <c r="V29" s="1" t="n">
        <v>0</v>
      </c>
    </row>
    <row r="30" customFormat="false" ht="18.7" hidden="false" customHeight="true" outlineLevel="0" collapsed="false">
      <c r="A30" s="1" t="n">
        <v>29</v>
      </c>
      <c r="B30" s="7" t="str">
        <f aca="false">HYPERLINK("https://mncourtfraud.com/file/27-CR-19-5875.pdf","27-CR-19-5875")</f>
        <v>27-CR-19-5875</v>
      </c>
      <c r="C30" s="1" t="n">
        <v>1</v>
      </c>
      <c r="D30" s="2" t="s">
        <v>12</v>
      </c>
      <c r="E30" s="8" t="n">
        <v>44103</v>
      </c>
      <c r="F30" s="2" t="s">
        <v>19</v>
      </c>
      <c r="G30" s="7" t="str">
        <f aca="false">HYPERLINK("https://mncourtfraud.com/file/MCRO_27-CR-19-5875_Findings and Order_2020-09-29_20251126175434.pdf","MCRO_27-CR-19-5875_Findings and Order_2020-09-29_20251126175434.pdf")</f>
        <v>MCRO_27-CR-19-5875_Findings and Order_2020-09-29_20251126175434.pdf</v>
      </c>
      <c r="H30" s="1" t="n">
        <v>4</v>
      </c>
      <c r="I30" s="1" t="s">
        <v>1360</v>
      </c>
      <c r="J30" s="1" t="n">
        <v>1</v>
      </c>
      <c r="K30" s="2" t="s">
        <v>1362</v>
      </c>
      <c r="L30" s="2" t="s">
        <v>1364</v>
      </c>
      <c r="M30" s="1" t="s">
        <v>1360</v>
      </c>
      <c r="N30" s="1" t="n">
        <v>0</v>
      </c>
      <c r="O30" s="2" t="n">
        <v>95.11</v>
      </c>
      <c r="P30" s="2" t="n">
        <v>95.11</v>
      </c>
      <c r="Q30" s="2" t="n">
        <v>95.11</v>
      </c>
      <c r="R30" s="1" t="n">
        <v>1</v>
      </c>
      <c r="S30" s="1" t="n">
        <v>0</v>
      </c>
      <c r="T30" s="1" t="s">
        <v>1360</v>
      </c>
      <c r="U30" s="1" t="n">
        <v>4</v>
      </c>
      <c r="V30" s="1" t="n">
        <v>0</v>
      </c>
    </row>
    <row r="31" customFormat="false" ht="18.7" hidden="false" customHeight="true" outlineLevel="0" collapsed="false">
      <c r="A31" s="1" t="n">
        <v>30</v>
      </c>
      <c r="B31" s="7" t="str">
        <f aca="false">HYPERLINK("https://mncourtfraud.com/file/27-CR-19-5875.pdf","27-CR-19-5875")</f>
        <v>27-CR-19-5875</v>
      </c>
      <c r="C31" s="1" t="n">
        <v>1</v>
      </c>
      <c r="D31" s="2" t="s">
        <v>12</v>
      </c>
      <c r="E31" s="8" t="n">
        <v>44439</v>
      </c>
      <c r="F31" s="2" t="s">
        <v>19</v>
      </c>
      <c r="G31" s="7" t="str">
        <f aca="false">HYPERLINK("https://mncourtfraud.com/file/MCRO_27-CR-19-5875_Findings and Order_2021-08-31_20251126175446.pdf","MCRO_27-CR-19-5875_Findings and Order_2021-08-31_20251126175446.pdf")</f>
        <v>MCRO_27-CR-19-5875_Findings and Order_2021-08-31_20251126175446.pdf</v>
      </c>
      <c r="H31" s="1" t="n">
        <v>5</v>
      </c>
      <c r="I31" s="1" t="s">
        <v>1366</v>
      </c>
      <c r="J31" s="1" t="n">
        <v>2</v>
      </c>
      <c r="K31" s="2" t="s">
        <v>2267</v>
      </c>
      <c r="L31" s="2" t="s">
        <v>1364</v>
      </c>
      <c r="M31" s="1" t="s">
        <v>1366</v>
      </c>
      <c r="N31" s="1" t="n">
        <v>1</v>
      </c>
      <c r="O31" s="2" t="n">
        <v>39.94</v>
      </c>
      <c r="P31" s="2" t="n">
        <v>95.64</v>
      </c>
      <c r="Q31" s="2" t="n">
        <v>67.79</v>
      </c>
      <c r="R31" s="1" t="n">
        <v>2</v>
      </c>
      <c r="S31" s="1" t="n">
        <v>0</v>
      </c>
      <c r="T31" s="1" t="s">
        <v>1360</v>
      </c>
      <c r="U31" s="1" t="n">
        <v>2</v>
      </c>
      <c r="V31" s="1" t="n">
        <v>0</v>
      </c>
    </row>
    <row r="32" customFormat="false" ht="18.7" hidden="false" customHeight="true" outlineLevel="0" collapsed="false">
      <c r="A32" s="1" t="n">
        <v>31</v>
      </c>
      <c r="B32" s="7" t="str">
        <f aca="false">HYPERLINK("https://mncourtfraud.com/file/27-CR-19-5875.pdf","27-CR-19-5875")</f>
        <v>27-CR-19-5875</v>
      </c>
      <c r="C32" s="1" t="n">
        <v>1</v>
      </c>
      <c r="D32" s="2" t="s">
        <v>12</v>
      </c>
      <c r="E32" s="8" t="n">
        <v>44593</v>
      </c>
      <c r="F32" s="2" t="s">
        <v>19</v>
      </c>
      <c r="G32" s="7" t="str">
        <f aca="false">HYPERLINK("https://mncourtfraud.com/file/MCRO_27-CR-19-5875_Findings and Order_2022-02-01_20251126175424.pdf","MCRO_27-CR-19-5875_Findings and Order_2022-02-01_20251126175424.pdf")</f>
        <v>MCRO_27-CR-19-5875_Findings and Order_2022-02-01_20251126175424.pdf</v>
      </c>
      <c r="H32" s="1" t="n">
        <v>4</v>
      </c>
      <c r="I32" s="1" t="s">
        <v>1360</v>
      </c>
      <c r="J32" s="1" t="n">
        <v>2</v>
      </c>
      <c r="K32" s="2" t="s">
        <v>2267</v>
      </c>
      <c r="L32" s="2" t="s">
        <v>1364</v>
      </c>
      <c r="M32" s="1" t="s">
        <v>1366</v>
      </c>
      <c r="N32" s="1" t="n">
        <v>1</v>
      </c>
      <c r="O32" s="2" t="n">
        <v>47.77</v>
      </c>
      <c r="P32" s="2" t="n">
        <v>95.47</v>
      </c>
      <c r="Q32" s="2" t="n">
        <v>71.62</v>
      </c>
      <c r="R32" s="1" t="n">
        <v>2</v>
      </c>
      <c r="S32" s="1" t="n">
        <v>0</v>
      </c>
      <c r="T32" s="1" t="s">
        <v>1360</v>
      </c>
      <c r="U32" s="1" t="n">
        <v>2</v>
      </c>
      <c r="V32" s="1" t="n">
        <v>0</v>
      </c>
    </row>
    <row r="33" customFormat="false" ht="18.7" hidden="false" customHeight="true" outlineLevel="0" collapsed="false">
      <c r="A33" s="1" t="n">
        <v>32</v>
      </c>
      <c r="B33" s="7" t="str">
        <f aca="false">HYPERLINK("https://mncourtfraud.com/file/27-CR-19-5875.pdf","27-CR-19-5875")</f>
        <v>27-CR-19-5875</v>
      </c>
      <c r="C33" s="1" t="n">
        <v>1</v>
      </c>
      <c r="D33" s="2" t="s">
        <v>12</v>
      </c>
      <c r="E33" s="8" t="n">
        <v>43844</v>
      </c>
      <c r="F33" s="2" t="s">
        <v>13</v>
      </c>
      <c r="G33" s="7" t="str">
        <f aca="false">HYPERLINK("https://mncourtfraud.com/file/MCRO_27-CR-19-5875_Find of Fact-Order, Pet Commitment-Dfd Found Incompetent_2020-01-14_20251126175409.pdf","MCRO_27-CR-19-5875_Find of Fact-Order, Pet Commitment-Dfd Found Incompetent_2020-01-14_20251126175409.pdf")</f>
        <v>MCRO_27-CR-19-5875_Find of Fact-Order, Pet Commitment-Dfd Found Incompetent_2020-01-14_20251126175409.pdf</v>
      </c>
      <c r="H33" s="1" t="n">
        <v>5</v>
      </c>
      <c r="I33" s="1" t="s">
        <v>1360</v>
      </c>
      <c r="J33" s="1" t="n">
        <v>1</v>
      </c>
      <c r="K33" s="2" t="s">
        <v>1362</v>
      </c>
      <c r="L33" s="2" t="s">
        <v>1364</v>
      </c>
      <c r="M33" s="1" t="s">
        <v>1360</v>
      </c>
      <c r="N33" s="1" t="n">
        <v>0</v>
      </c>
      <c r="O33" s="2" t="n">
        <v>92.96</v>
      </c>
      <c r="P33" s="2" t="n">
        <v>92.96</v>
      </c>
      <c r="Q33" s="2" t="n">
        <v>92.96</v>
      </c>
      <c r="R33" s="1" t="n">
        <v>1</v>
      </c>
      <c r="S33" s="1" t="n">
        <v>0</v>
      </c>
      <c r="T33" s="1" t="s">
        <v>1360</v>
      </c>
      <c r="U33" s="1" t="n">
        <v>5</v>
      </c>
      <c r="V33" s="1" t="n">
        <v>0</v>
      </c>
    </row>
    <row r="34" customFormat="false" ht="18.7" hidden="false" customHeight="true" outlineLevel="0" collapsed="false">
      <c r="A34" s="1" t="n">
        <v>33</v>
      </c>
      <c r="B34" s="7" t="str">
        <f aca="false">HYPERLINK("https://mncourtfraud.com/file/27-CR-19-5875.pdf","27-CR-19-5875")</f>
        <v>27-CR-19-5875</v>
      </c>
      <c r="C34" s="1" t="n">
        <v>1</v>
      </c>
      <c r="D34" s="2" t="s">
        <v>12</v>
      </c>
      <c r="E34" s="8" t="n">
        <v>43902</v>
      </c>
      <c r="F34" s="2" t="s">
        <v>15</v>
      </c>
      <c r="G34" s="7" t="str">
        <f aca="false">HYPERLINK("https://mncourtfraud.com/file/MCRO_27-CR-19-5875_Order-Evaluation for Competency to Proceed (Rule 20.01)_2020-03-12_20251126175636.pdf","MCRO_27-CR-19-5875_Order-Evaluation for Competency to Proceed (Rule 20.01)_2020-03-12_20251126175636.pdf")</f>
        <v>MCRO_27-CR-19-5875_Order-Evaluation for Competency to Proceed (Rule 20.01)_2020-03-12_20251126175636.pdf</v>
      </c>
      <c r="H34" s="1" t="n">
        <v>4</v>
      </c>
      <c r="I34" s="1" t="s">
        <v>1360</v>
      </c>
      <c r="J34" s="1" t="n">
        <v>1</v>
      </c>
      <c r="K34" s="2" t="s">
        <v>1362</v>
      </c>
      <c r="L34" s="2" t="s">
        <v>1364</v>
      </c>
      <c r="M34" s="1" t="s">
        <v>1360</v>
      </c>
      <c r="N34" s="1" t="n">
        <v>0</v>
      </c>
      <c r="O34" s="2" t="n">
        <v>98.61</v>
      </c>
      <c r="P34" s="2" t="n">
        <v>98.61</v>
      </c>
      <c r="Q34" s="2" t="n">
        <v>98.61</v>
      </c>
      <c r="R34" s="1" t="n">
        <v>1</v>
      </c>
      <c r="S34" s="1" t="n">
        <v>0</v>
      </c>
      <c r="T34" s="1" t="s">
        <v>1360</v>
      </c>
      <c r="U34" s="1" t="n">
        <v>4</v>
      </c>
      <c r="V34" s="1" t="n">
        <v>0</v>
      </c>
    </row>
    <row r="35" customFormat="false" ht="18.7" hidden="false" customHeight="true" outlineLevel="0" collapsed="false">
      <c r="A35" s="1" t="n">
        <v>34</v>
      </c>
      <c r="B35" s="7" t="str">
        <f aca="false">HYPERLINK("https://mncourtfraud.com/file/27-CR-19-5875.pdf","27-CR-19-5875")</f>
        <v>27-CR-19-5875</v>
      </c>
      <c r="C35" s="1" t="n">
        <v>1</v>
      </c>
      <c r="D35" s="2" t="s">
        <v>12</v>
      </c>
      <c r="E35" s="8" t="n">
        <v>44225</v>
      </c>
      <c r="F35" s="2" t="s">
        <v>15</v>
      </c>
      <c r="G35" s="7" t="str">
        <f aca="false">HYPERLINK("https://mncourtfraud.com/file/MCRO_27-CR-19-5875_Order-Evaluation for Competency to Proceed (Rule 20.01)_2021-01-29_20251126175645.pdf","MCRO_27-CR-19-5875_Order-Evaluation for Competency to Proceed (Rule 20.01)_2021-01-29_20251126175645.pdf")</f>
        <v>MCRO_27-CR-19-5875_Order-Evaluation for Competency to Proceed (Rule 20.01)_2021-01-29_20251126175645.pdf</v>
      </c>
      <c r="H35" s="1" t="n">
        <v>3</v>
      </c>
      <c r="I35" s="1" t="s">
        <v>1360</v>
      </c>
      <c r="J35" s="1" t="n">
        <v>1</v>
      </c>
      <c r="K35" s="2" t="s">
        <v>1362</v>
      </c>
      <c r="L35" s="2" t="s">
        <v>1364</v>
      </c>
      <c r="M35" s="1" t="s">
        <v>1360</v>
      </c>
      <c r="N35" s="1" t="n">
        <v>0</v>
      </c>
      <c r="O35" s="2" t="n">
        <v>96.39</v>
      </c>
      <c r="P35" s="2" t="n">
        <v>96.39</v>
      </c>
      <c r="Q35" s="2" t="n">
        <v>96.39</v>
      </c>
      <c r="R35" s="1" t="n">
        <v>1</v>
      </c>
      <c r="S35" s="1" t="n">
        <v>0</v>
      </c>
      <c r="T35" s="1" t="s">
        <v>1360</v>
      </c>
      <c r="U35" s="1" t="n">
        <v>3</v>
      </c>
      <c r="V35" s="1" t="n">
        <v>0</v>
      </c>
    </row>
    <row r="36" customFormat="false" ht="18.7" hidden="false" customHeight="true" outlineLevel="0" collapsed="false">
      <c r="A36" s="1" t="n">
        <v>35</v>
      </c>
      <c r="B36" s="7" t="str">
        <f aca="false">HYPERLINK("https://mncourtfraud.com/file/27-CR-19-5875.pdf","27-CR-19-5875")</f>
        <v>27-CR-19-5875</v>
      </c>
      <c r="C36" s="1" t="n">
        <v>1</v>
      </c>
      <c r="D36" s="2" t="s">
        <v>12</v>
      </c>
      <c r="E36" s="8" t="n">
        <v>44396</v>
      </c>
      <c r="F36" s="2" t="s">
        <v>15</v>
      </c>
      <c r="G36" s="7" t="str">
        <f aca="false">HYPERLINK("https://mncourtfraud.com/file/MCRO_27-CR-19-5875_Order-Evaluation for Competency to Proceed (Rule 20.01)_2021-07-19_20251126175529.pdf","MCRO_27-CR-19-5875_Order-Evaluation for Competency to Proceed (Rule 20.01)_2021-07-19_20251126175529.pdf")</f>
        <v>MCRO_27-CR-19-5875_Order-Evaluation for Competency to Proceed (Rule 20.01)_2021-07-19_20251126175529.pdf</v>
      </c>
      <c r="H36" s="1" t="n">
        <v>4</v>
      </c>
      <c r="I36" s="1" t="s">
        <v>1360</v>
      </c>
      <c r="J36" s="1" t="n">
        <v>1</v>
      </c>
      <c r="K36" s="2" t="s">
        <v>1362</v>
      </c>
      <c r="L36" s="2" t="s">
        <v>1364</v>
      </c>
      <c r="M36" s="1" t="s">
        <v>1360</v>
      </c>
      <c r="N36" s="1" t="n">
        <v>0</v>
      </c>
      <c r="O36" s="2" t="n">
        <v>91.6</v>
      </c>
      <c r="P36" s="2" t="n">
        <v>91.6</v>
      </c>
      <c r="Q36" s="2" t="n">
        <v>91.6</v>
      </c>
      <c r="R36" s="1" t="n">
        <v>1</v>
      </c>
      <c r="S36" s="1" t="n">
        <v>0</v>
      </c>
      <c r="T36" s="1" t="s">
        <v>1360</v>
      </c>
      <c r="U36" s="1" t="n">
        <v>4</v>
      </c>
      <c r="V36" s="1" t="n">
        <v>0</v>
      </c>
    </row>
    <row r="37" customFormat="false" ht="18.7" hidden="false" customHeight="true" outlineLevel="0" collapsed="false">
      <c r="A37" s="1" t="n">
        <v>36</v>
      </c>
      <c r="B37" s="7" t="str">
        <f aca="false">HYPERLINK("https://mncourtfraud.com/file/27-CR-19-5875.pdf","27-CR-19-5875")</f>
        <v>27-CR-19-5875</v>
      </c>
      <c r="C37" s="1" t="n">
        <v>1</v>
      </c>
      <c r="D37" s="2" t="s">
        <v>12</v>
      </c>
      <c r="E37" s="8" t="n">
        <v>44543</v>
      </c>
      <c r="F37" s="2" t="s">
        <v>15</v>
      </c>
      <c r="G37" s="7" t="str">
        <f aca="false">HYPERLINK("https://mncourtfraud.com/file/MCRO_27-CR-19-5875_Order-Evaluation for Competency to Proceed (Rule 20.01)_2021-12-13_20251126175541.pdf","MCRO_27-CR-19-5875_Order-Evaluation for Competency to Proceed (Rule 20.01)_2021-12-13_20251126175541.pdf")</f>
        <v>MCRO_27-CR-19-5875_Order-Evaluation for Competency to Proceed (Rule 20.01)_2021-12-13_20251126175541.pdf</v>
      </c>
      <c r="H37" s="1" t="n">
        <v>3</v>
      </c>
      <c r="I37" s="1" t="s">
        <v>1360</v>
      </c>
      <c r="J37" s="1" t="n">
        <v>1</v>
      </c>
      <c r="K37" s="2" t="s">
        <v>1362</v>
      </c>
      <c r="L37" s="2" t="s">
        <v>1364</v>
      </c>
      <c r="M37" s="1" t="s">
        <v>1360</v>
      </c>
      <c r="N37" s="1" t="n">
        <v>0</v>
      </c>
      <c r="O37" s="2" t="n">
        <v>92.99</v>
      </c>
      <c r="P37" s="2" t="n">
        <v>92.99</v>
      </c>
      <c r="Q37" s="2" t="n">
        <v>92.99</v>
      </c>
      <c r="R37" s="1" t="n">
        <v>1</v>
      </c>
      <c r="S37" s="1" t="n">
        <v>0</v>
      </c>
      <c r="T37" s="1" t="s">
        <v>1360</v>
      </c>
      <c r="U37" s="1" t="n">
        <v>3</v>
      </c>
      <c r="V37" s="1" t="n">
        <v>0</v>
      </c>
    </row>
    <row r="38" customFormat="false" ht="18.7" hidden="false" customHeight="true" outlineLevel="0" collapsed="false">
      <c r="A38" s="1" t="n">
        <v>37</v>
      </c>
      <c r="B38" s="7" t="str">
        <f aca="false">HYPERLINK("https://mncourtfraud.com/file/27-CR-19-5875.pdf","27-CR-19-5875")</f>
        <v>27-CR-19-5875</v>
      </c>
      <c r="C38" s="1" t="n">
        <v>1</v>
      </c>
      <c r="D38" s="2" t="s">
        <v>12</v>
      </c>
      <c r="E38" s="8" t="n">
        <v>44558</v>
      </c>
      <c r="F38" s="2" t="s">
        <v>15</v>
      </c>
      <c r="G38" s="7" t="str">
        <f aca="false">HYPERLINK("https://mncourtfraud.com/file/MCRO_27-CR-19-5875_Order-Evaluation for Competency to Proceed (Rule 20.01)_2021-12-28_20251126175553.pdf","MCRO_27-CR-19-5875_Order-Evaluation for Competency to Proceed (Rule 20.01)_2021-12-28_20251126175553.pdf")</f>
        <v>MCRO_27-CR-19-5875_Order-Evaluation for Competency to Proceed (Rule 20.01)_2021-12-28_20251126175553.pdf</v>
      </c>
      <c r="H38" s="1" t="n">
        <v>4</v>
      </c>
      <c r="I38" s="1" t="s">
        <v>1360</v>
      </c>
      <c r="J38" s="1" t="n">
        <v>1</v>
      </c>
      <c r="K38" s="2" t="s">
        <v>1362</v>
      </c>
      <c r="L38" s="2" t="s">
        <v>1364</v>
      </c>
      <c r="M38" s="1" t="s">
        <v>1360</v>
      </c>
      <c r="N38" s="1" t="n">
        <v>0</v>
      </c>
      <c r="O38" s="2" t="n">
        <v>93.14</v>
      </c>
      <c r="P38" s="2" t="n">
        <v>93.14</v>
      </c>
      <c r="Q38" s="2" t="n">
        <v>93.14</v>
      </c>
      <c r="R38" s="1" t="n">
        <v>1</v>
      </c>
      <c r="S38" s="1" t="n">
        <v>0</v>
      </c>
      <c r="T38" s="1" t="s">
        <v>1360</v>
      </c>
      <c r="U38" s="1" t="n">
        <v>4</v>
      </c>
      <c r="V38" s="1" t="n">
        <v>0</v>
      </c>
    </row>
    <row r="39" customFormat="false" ht="18.7" hidden="false" customHeight="true" outlineLevel="0" collapsed="false">
      <c r="A39" s="1" t="n">
        <v>38</v>
      </c>
      <c r="B39" s="7" t="str">
        <f aca="false">HYPERLINK("https://mncourtfraud.com/file/27-CR-19-5875.pdf","27-CR-19-5875")</f>
        <v>27-CR-19-5875</v>
      </c>
      <c r="C39" s="1" t="n">
        <v>1</v>
      </c>
      <c r="D39" s="2" t="s">
        <v>12</v>
      </c>
      <c r="E39" s="8" t="n">
        <v>44692</v>
      </c>
      <c r="F39" s="2" t="s">
        <v>15</v>
      </c>
      <c r="G39" s="7" t="str">
        <f aca="false">HYPERLINK("https://mncourtfraud.com/file/MCRO_27-CR-19-5875_Order-Evaluation for Competency to Proceed (Rule 20.01)_2022-05-11_20251126175604.pdf","MCRO_27-CR-19-5875_Order-Evaluation for Competency to Proceed (Rule 20.01)_2022-05-11_20251126175604.pdf")</f>
        <v>MCRO_27-CR-19-5875_Order-Evaluation for Competency to Proceed (Rule 20.01)_2022-05-11_20251126175604.pdf</v>
      </c>
      <c r="H39" s="1" t="n">
        <v>3</v>
      </c>
      <c r="I39" s="1" t="s">
        <v>1360</v>
      </c>
      <c r="J39" s="1" t="n">
        <v>1</v>
      </c>
      <c r="K39" s="2" t="s">
        <v>1362</v>
      </c>
      <c r="L39" s="2" t="s">
        <v>1364</v>
      </c>
      <c r="M39" s="1" t="s">
        <v>1360</v>
      </c>
      <c r="N39" s="1" t="n">
        <v>0</v>
      </c>
      <c r="O39" s="2" t="n">
        <v>93.17</v>
      </c>
      <c r="P39" s="2" t="n">
        <v>93.17</v>
      </c>
      <c r="Q39" s="2" t="n">
        <v>93.17</v>
      </c>
      <c r="R39" s="1" t="n">
        <v>1</v>
      </c>
      <c r="S39" s="1" t="n">
        <v>0</v>
      </c>
      <c r="T39" s="1" t="s">
        <v>1360</v>
      </c>
      <c r="U39" s="1" t="n">
        <v>3</v>
      </c>
      <c r="V39" s="1" t="n">
        <v>0</v>
      </c>
    </row>
    <row r="40" customFormat="false" ht="18.7" hidden="false" customHeight="true" outlineLevel="0" collapsed="false">
      <c r="A40" s="1" t="n">
        <v>39</v>
      </c>
      <c r="B40" s="7" t="str">
        <f aca="false">HYPERLINK("https://mncourtfraud.com/file/27-CR-19-5875.pdf","27-CR-19-5875")</f>
        <v>27-CR-19-5875</v>
      </c>
      <c r="C40" s="1" t="n">
        <v>1</v>
      </c>
      <c r="D40" s="2" t="s">
        <v>12</v>
      </c>
      <c r="E40" s="8" t="n">
        <v>44895</v>
      </c>
      <c r="F40" s="2" t="s">
        <v>15</v>
      </c>
      <c r="G40" s="7" t="str">
        <f aca="false">HYPERLINK("https://mncourtfraud.com/file/MCRO_27-CR-19-5875_Order-Evaluation for Competency to Proceed (Rule 20.01)_2022-11-30_20251126175616.pdf","MCRO_27-CR-19-5875_Order-Evaluation for Competency to Proceed (Rule 20.01)_2022-11-30_20251126175616.pdf")</f>
        <v>MCRO_27-CR-19-5875_Order-Evaluation for Competency to Proceed (Rule 20.01)_2022-11-30_20251126175616.pdf</v>
      </c>
      <c r="H40" s="1" t="n">
        <v>4</v>
      </c>
      <c r="I40" s="1" t="s">
        <v>1360</v>
      </c>
      <c r="J40" s="1" t="n">
        <v>1</v>
      </c>
      <c r="K40" s="2" t="s">
        <v>1362</v>
      </c>
      <c r="L40" s="2" t="s">
        <v>1364</v>
      </c>
      <c r="M40" s="1" t="s">
        <v>1360</v>
      </c>
      <c r="N40" s="1" t="n">
        <v>0</v>
      </c>
      <c r="O40" s="2" t="n">
        <v>97.99</v>
      </c>
      <c r="P40" s="2" t="n">
        <v>97.99</v>
      </c>
      <c r="Q40" s="2" t="n">
        <v>97.99</v>
      </c>
      <c r="R40" s="1" t="n">
        <v>1</v>
      </c>
      <c r="S40" s="1" t="n">
        <v>0</v>
      </c>
      <c r="T40" s="1" t="s">
        <v>1360</v>
      </c>
      <c r="U40" s="1" t="n">
        <v>4</v>
      </c>
      <c r="V40" s="1" t="n">
        <v>0</v>
      </c>
    </row>
    <row r="41" customFormat="false" ht="18.7" hidden="false" customHeight="true" outlineLevel="0" collapsed="false">
      <c r="A41" s="1" t="n">
        <v>40</v>
      </c>
      <c r="B41" s="7" t="str">
        <f aca="false">HYPERLINK("https://mncourtfraud.com/file/27-CR-19-5875.pdf","27-CR-19-5875")</f>
        <v>27-CR-19-5875</v>
      </c>
      <c r="C41" s="1" t="n">
        <v>1</v>
      </c>
      <c r="D41" s="2" t="s">
        <v>12</v>
      </c>
      <c r="E41" s="8" t="n">
        <v>44460</v>
      </c>
      <c r="F41" s="2" t="s">
        <v>24</v>
      </c>
      <c r="G41" s="7" t="str">
        <f aca="false">HYPERLINK("https://mncourtfraud.com/file/MCRO_27-CR-19-5875_Order for Conditional Release_2021-09-21_20251126175513.pdf","MCRO_27-CR-19-5875_Order for Conditional Release_2021-09-21_20251126175513.pdf")</f>
        <v>MCRO_27-CR-19-5875_Order for Conditional Release_2021-09-21_20251126175513.pdf</v>
      </c>
      <c r="H41" s="1" t="n">
        <v>4</v>
      </c>
      <c r="I41" s="1" t="s">
        <v>1360</v>
      </c>
      <c r="J41" s="1" t="n">
        <v>1</v>
      </c>
      <c r="K41" s="2" t="s">
        <v>1362</v>
      </c>
      <c r="L41" s="2" t="s">
        <v>1364</v>
      </c>
      <c r="M41" s="1" t="s">
        <v>1360</v>
      </c>
      <c r="N41" s="1" t="n">
        <v>0</v>
      </c>
      <c r="O41" s="2" t="n">
        <v>84.52</v>
      </c>
      <c r="P41" s="2" t="n">
        <v>84.52</v>
      </c>
      <c r="Q41" s="2" t="n">
        <v>84.52</v>
      </c>
      <c r="R41" s="1" t="n">
        <v>1</v>
      </c>
      <c r="S41" s="1" t="n">
        <v>0</v>
      </c>
      <c r="T41" s="1" t="s">
        <v>1360</v>
      </c>
      <c r="U41" s="1" t="n">
        <v>4</v>
      </c>
      <c r="V41" s="1" t="n">
        <v>0</v>
      </c>
    </row>
    <row r="42" customFormat="false" ht="18.7" hidden="false" customHeight="true" outlineLevel="0" collapsed="false">
      <c r="A42" s="1" t="n">
        <v>41</v>
      </c>
      <c r="B42" s="7" t="str">
        <f aca="false">HYPERLINK("https://mncourtfraud.com/file/27-CR-19-5875.pdf","27-CR-19-5875")</f>
        <v>27-CR-19-5875</v>
      </c>
      <c r="C42" s="1" t="n">
        <v>1</v>
      </c>
      <c r="D42" s="2" t="s">
        <v>12</v>
      </c>
      <c r="E42" s="8" t="n">
        <v>44468</v>
      </c>
      <c r="F42" s="2" t="s">
        <v>24</v>
      </c>
      <c r="G42" s="7" t="str">
        <f aca="false">HYPERLINK("https://mncourtfraud.com/file/MCRO_27-CR-19-5875_Order for Conditional Release_2021-09-29_20251126175502.pdf","MCRO_27-CR-19-5875_Order for Conditional Release_2021-09-29_20251126175502.pdf")</f>
        <v>MCRO_27-CR-19-5875_Order for Conditional Release_2021-09-29_20251126175502.pdf</v>
      </c>
      <c r="H42" s="1" t="n">
        <v>4</v>
      </c>
      <c r="I42" s="1" t="s">
        <v>1360</v>
      </c>
      <c r="J42" s="1" t="n">
        <v>1</v>
      </c>
      <c r="K42" s="2" t="s">
        <v>1362</v>
      </c>
      <c r="L42" s="2" t="s">
        <v>1364</v>
      </c>
      <c r="M42" s="1" t="s">
        <v>1360</v>
      </c>
      <c r="N42" s="1" t="n">
        <v>0</v>
      </c>
      <c r="O42" s="2" t="n">
        <v>89.21</v>
      </c>
      <c r="P42" s="2" t="n">
        <v>89.21</v>
      </c>
      <c r="Q42" s="2" t="n">
        <v>89.21</v>
      </c>
      <c r="R42" s="1" t="n">
        <v>1</v>
      </c>
      <c r="S42" s="1" t="n">
        <v>0</v>
      </c>
      <c r="T42" s="1" t="s">
        <v>1360</v>
      </c>
      <c r="U42" s="1" t="n">
        <v>4</v>
      </c>
      <c r="V42" s="1" t="n">
        <v>0</v>
      </c>
    </row>
    <row r="43" customFormat="false" ht="18.7" hidden="false" customHeight="true" outlineLevel="0" collapsed="false">
      <c r="A43" s="1" t="n">
        <v>42</v>
      </c>
      <c r="B43" s="7" t="str">
        <f aca="false">HYPERLINK("https://mncourtfraud.com/file/27-CR-19-5875.pdf","27-CR-19-5875")</f>
        <v>27-CR-19-5875</v>
      </c>
      <c r="C43" s="1" t="n">
        <v>1</v>
      </c>
      <c r="D43" s="2" t="s">
        <v>12</v>
      </c>
      <c r="E43" s="8" t="n">
        <v>43970</v>
      </c>
      <c r="F43" s="2" t="s">
        <v>17</v>
      </c>
      <c r="G43" s="7" t="str">
        <f aca="false">HYPERLINK("https://mncourtfraud.com/file/MCRO_27-CR-19-5875_Returned Mail_2020-05-19_20251126175700.pdf","MCRO_27-CR-19-5875_Returned Mail_2020-05-19_20251126175700.pdf")</f>
        <v>MCRO_27-CR-19-5875_Returned Mail_2020-05-19_20251126175700.pdf</v>
      </c>
      <c r="H43" s="1" t="n">
        <v>4</v>
      </c>
      <c r="I43" s="1" t="s">
        <v>1360</v>
      </c>
      <c r="J43" s="1" t="n">
        <v>1</v>
      </c>
      <c r="K43" s="2" t="s">
        <v>1362</v>
      </c>
      <c r="L43" s="2" t="s">
        <v>1364</v>
      </c>
      <c r="M43" s="1" t="s">
        <v>1360</v>
      </c>
      <c r="N43" s="1" t="n">
        <v>0</v>
      </c>
      <c r="O43" s="2" t="n">
        <v>93.77</v>
      </c>
      <c r="P43" s="2" t="n">
        <v>93.77</v>
      </c>
      <c r="Q43" s="2" t="n">
        <v>93.77</v>
      </c>
      <c r="R43" s="1" t="n">
        <v>1</v>
      </c>
      <c r="S43" s="1" t="n">
        <v>0</v>
      </c>
      <c r="T43" s="1" t="s">
        <v>1360</v>
      </c>
      <c r="U43" s="1" t="n">
        <v>4</v>
      </c>
      <c r="V43" s="1" t="n">
        <v>0</v>
      </c>
    </row>
    <row r="44" customFormat="false" ht="18.7" hidden="false" customHeight="true" outlineLevel="0" collapsed="false">
      <c r="A44" s="1" t="n">
        <v>43</v>
      </c>
      <c r="B44" s="7" t="str">
        <f aca="false">HYPERLINK("https://mncourtfraud.com/file/27-CR-20-14626.pdf","27-CR-20-14626")</f>
        <v>27-CR-20-14626</v>
      </c>
      <c r="C44" s="1" t="n">
        <v>1</v>
      </c>
      <c r="D44" s="2" t="s">
        <v>12</v>
      </c>
      <c r="E44" s="8" t="n">
        <v>44103</v>
      </c>
      <c r="F44" s="2" t="s">
        <v>19</v>
      </c>
      <c r="G44" s="7" t="str">
        <f aca="false">HYPERLINK("https://mncourtfraud.com/file/MCRO_27-CR-20-14626_Findings and Order_2020-09-29_20251126175748.pdf","MCRO_27-CR-20-14626_Findings and Order_2020-09-29_20251126175748.pdf")</f>
        <v>MCRO_27-CR-20-14626_Findings and Order_2020-09-29_20251126175748.pdf</v>
      </c>
      <c r="H44" s="1" t="n">
        <v>4</v>
      </c>
      <c r="I44" s="1" t="s">
        <v>1360</v>
      </c>
      <c r="J44" s="1" t="n">
        <v>1</v>
      </c>
      <c r="K44" s="2" t="s">
        <v>1362</v>
      </c>
      <c r="L44" s="2" t="s">
        <v>1364</v>
      </c>
      <c r="M44" s="1" t="s">
        <v>1360</v>
      </c>
      <c r="N44" s="1" t="n">
        <v>0</v>
      </c>
      <c r="O44" s="2" t="n">
        <v>95.11</v>
      </c>
      <c r="P44" s="2" t="n">
        <v>95.11</v>
      </c>
      <c r="Q44" s="2" t="n">
        <v>95.11</v>
      </c>
      <c r="R44" s="1" t="n">
        <v>1</v>
      </c>
      <c r="S44" s="1" t="n">
        <v>0</v>
      </c>
      <c r="T44" s="1" t="s">
        <v>1360</v>
      </c>
      <c r="U44" s="1" t="n">
        <v>4</v>
      </c>
      <c r="V44" s="1" t="n">
        <v>0</v>
      </c>
    </row>
    <row r="45" customFormat="false" ht="18.7" hidden="false" customHeight="true" outlineLevel="0" collapsed="false">
      <c r="A45" s="1" t="n">
        <v>44</v>
      </c>
      <c r="B45" s="7" t="str">
        <f aca="false">HYPERLINK("https://mncourtfraud.com/file/27-CR-20-14626.pdf","27-CR-20-14626")</f>
        <v>27-CR-20-14626</v>
      </c>
      <c r="C45" s="1" t="n">
        <v>1</v>
      </c>
      <c r="D45" s="2" t="s">
        <v>12</v>
      </c>
      <c r="E45" s="8" t="n">
        <v>44439</v>
      </c>
      <c r="F45" s="2" t="s">
        <v>19</v>
      </c>
      <c r="G45" s="7" t="str">
        <f aca="false">HYPERLINK("https://mncourtfraud.com/file/MCRO_27-CR-20-14626_Findings and Order_2021-08-31_20251126175800.pdf","MCRO_27-CR-20-14626_Findings and Order_2021-08-31_20251126175800.pdf")</f>
        <v>MCRO_27-CR-20-14626_Findings and Order_2021-08-31_20251126175800.pdf</v>
      </c>
      <c r="H45" s="1" t="n">
        <v>5</v>
      </c>
      <c r="I45" s="1" t="s">
        <v>1366</v>
      </c>
      <c r="J45" s="1" t="n">
        <v>2</v>
      </c>
      <c r="K45" s="2" t="s">
        <v>2267</v>
      </c>
      <c r="L45" s="2" t="s">
        <v>1364</v>
      </c>
      <c r="M45" s="1" t="s">
        <v>1366</v>
      </c>
      <c r="N45" s="1" t="n">
        <v>1</v>
      </c>
      <c r="O45" s="2" t="n">
        <v>39.94</v>
      </c>
      <c r="P45" s="2" t="n">
        <v>95.64</v>
      </c>
      <c r="Q45" s="2" t="n">
        <v>67.79</v>
      </c>
      <c r="R45" s="1" t="n">
        <v>2</v>
      </c>
      <c r="S45" s="1" t="n">
        <v>0</v>
      </c>
      <c r="T45" s="1" t="s">
        <v>1360</v>
      </c>
      <c r="U45" s="1" t="n">
        <v>2</v>
      </c>
      <c r="V45" s="1" t="n">
        <v>0</v>
      </c>
    </row>
    <row r="46" customFormat="false" ht="18.7" hidden="false" customHeight="true" outlineLevel="0" collapsed="false">
      <c r="A46" s="1" t="n">
        <v>45</v>
      </c>
      <c r="B46" s="7" t="str">
        <f aca="false">HYPERLINK("https://mncourtfraud.com/file/27-CR-20-14626.pdf","27-CR-20-14626")</f>
        <v>27-CR-20-14626</v>
      </c>
      <c r="C46" s="1" t="n">
        <v>1</v>
      </c>
      <c r="D46" s="2" t="s">
        <v>12</v>
      </c>
      <c r="E46" s="8" t="n">
        <v>44593</v>
      </c>
      <c r="F46" s="2" t="s">
        <v>19</v>
      </c>
      <c r="G46" s="7" t="str">
        <f aca="false">HYPERLINK("https://mncourtfraud.com/file/MCRO_27-CR-20-14626_Findings and Order_2022-02-01_20251126175736.pdf","MCRO_27-CR-20-14626_Findings and Order_2022-02-01_20251126175736.pdf")</f>
        <v>MCRO_27-CR-20-14626_Findings and Order_2022-02-01_20251126175736.pdf</v>
      </c>
      <c r="H46" s="1" t="n">
        <v>4</v>
      </c>
      <c r="I46" s="1" t="s">
        <v>1360</v>
      </c>
      <c r="J46" s="1" t="n">
        <v>2</v>
      </c>
      <c r="K46" s="2" t="s">
        <v>2267</v>
      </c>
      <c r="L46" s="2" t="s">
        <v>1364</v>
      </c>
      <c r="M46" s="1" t="s">
        <v>1366</v>
      </c>
      <c r="N46" s="1" t="n">
        <v>1</v>
      </c>
      <c r="O46" s="2" t="n">
        <v>47.77</v>
      </c>
      <c r="P46" s="2" t="n">
        <v>95.47</v>
      </c>
      <c r="Q46" s="2" t="n">
        <v>71.62</v>
      </c>
      <c r="R46" s="1" t="n">
        <v>2</v>
      </c>
      <c r="S46" s="1" t="n">
        <v>0</v>
      </c>
      <c r="T46" s="1" t="s">
        <v>1360</v>
      </c>
      <c r="U46" s="1" t="n">
        <v>2</v>
      </c>
      <c r="V46" s="1" t="n">
        <v>0</v>
      </c>
    </row>
    <row r="47" customFormat="false" ht="18.7" hidden="false" customHeight="true" outlineLevel="0" collapsed="false">
      <c r="A47" s="1" t="n">
        <v>46</v>
      </c>
      <c r="B47" s="7" t="str">
        <f aca="false">HYPERLINK("https://mncourtfraud.com/file/27-CR-20-14626.pdf","27-CR-20-14626")</f>
        <v>27-CR-20-14626</v>
      </c>
      <c r="C47" s="1" t="n">
        <v>1</v>
      </c>
      <c r="D47" s="2" t="s">
        <v>12</v>
      </c>
      <c r="E47" s="8" t="n">
        <v>44225</v>
      </c>
      <c r="F47" s="2" t="s">
        <v>15</v>
      </c>
      <c r="G47" s="7" t="str">
        <f aca="false">HYPERLINK("https://mncourtfraud.com/file/MCRO_27-CR-20-14626_Order-Evaluation for Competency to Proceed (Rule 20.01)_2021-01-29_20251126175944.pdf","MCRO_27-CR-20-14626_Order-Evaluation for Competency to Proceed (Rule 20.01)_2021-01-29_20251126175944.pdf")</f>
        <v>MCRO_27-CR-20-14626_Order-Evaluation for Competency to Proceed (Rule 20.01)_2021-01-29_20251126175944.pdf</v>
      </c>
      <c r="H47" s="1" t="n">
        <v>3</v>
      </c>
      <c r="I47" s="1" t="s">
        <v>1360</v>
      </c>
      <c r="J47" s="1" t="n">
        <v>1</v>
      </c>
      <c r="K47" s="2" t="s">
        <v>1362</v>
      </c>
      <c r="L47" s="2" t="s">
        <v>1364</v>
      </c>
      <c r="M47" s="1" t="s">
        <v>1360</v>
      </c>
      <c r="N47" s="1" t="n">
        <v>0</v>
      </c>
      <c r="O47" s="2" t="n">
        <v>96.39</v>
      </c>
      <c r="P47" s="2" t="n">
        <v>96.39</v>
      </c>
      <c r="Q47" s="2" t="n">
        <v>96.39</v>
      </c>
      <c r="R47" s="1" t="n">
        <v>1</v>
      </c>
      <c r="S47" s="1" t="n">
        <v>0</v>
      </c>
      <c r="T47" s="1" t="s">
        <v>1360</v>
      </c>
      <c r="U47" s="1" t="n">
        <v>3</v>
      </c>
      <c r="V47" s="1" t="n">
        <v>0</v>
      </c>
    </row>
    <row r="48" customFormat="false" ht="18.7" hidden="false" customHeight="true" outlineLevel="0" collapsed="false">
      <c r="A48" s="1" t="n">
        <v>47</v>
      </c>
      <c r="B48" s="7" t="str">
        <f aca="false">HYPERLINK("https://mncourtfraud.com/file/27-CR-20-14626.pdf","27-CR-20-14626")</f>
        <v>27-CR-20-14626</v>
      </c>
      <c r="C48" s="1" t="n">
        <v>1</v>
      </c>
      <c r="D48" s="2" t="s">
        <v>12</v>
      </c>
      <c r="E48" s="8" t="n">
        <v>44396</v>
      </c>
      <c r="F48" s="2" t="s">
        <v>15</v>
      </c>
      <c r="G48" s="7" t="str">
        <f aca="false">HYPERLINK("https://mncourtfraud.com/file/MCRO_27-CR-20-14626_Order-Evaluation for Competency to Proceed (Rule 20.01)_2021-07-19_20251126175844.pdf","MCRO_27-CR-20-14626_Order-Evaluation for Competency to Proceed (Rule 20.01)_2021-07-19_20251126175844.pdf")</f>
        <v>MCRO_27-CR-20-14626_Order-Evaluation for Competency to Proceed (Rule 20.01)_2021-07-19_20251126175844.pdf</v>
      </c>
      <c r="H48" s="1" t="n">
        <v>4</v>
      </c>
      <c r="I48" s="1" t="s">
        <v>1360</v>
      </c>
      <c r="J48" s="1" t="n">
        <v>1</v>
      </c>
      <c r="K48" s="2" t="s">
        <v>1362</v>
      </c>
      <c r="L48" s="2" t="s">
        <v>1364</v>
      </c>
      <c r="M48" s="1" t="s">
        <v>1360</v>
      </c>
      <c r="N48" s="1" t="n">
        <v>0</v>
      </c>
      <c r="O48" s="2" t="n">
        <v>91.65</v>
      </c>
      <c r="P48" s="2" t="n">
        <v>91.65</v>
      </c>
      <c r="Q48" s="2" t="n">
        <v>91.65</v>
      </c>
      <c r="R48" s="1" t="n">
        <v>1</v>
      </c>
      <c r="S48" s="1" t="n">
        <v>0</v>
      </c>
      <c r="T48" s="1" t="s">
        <v>1360</v>
      </c>
      <c r="U48" s="1" t="n">
        <v>4</v>
      </c>
      <c r="V48" s="1" t="n">
        <v>0</v>
      </c>
    </row>
    <row r="49" customFormat="false" ht="18.7" hidden="false" customHeight="true" outlineLevel="0" collapsed="false">
      <c r="A49" s="1" t="n">
        <v>48</v>
      </c>
      <c r="B49" s="7" t="str">
        <f aca="false">HYPERLINK("https://mncourtfraud.com/file/27-CR-20-14626.pdf","27-CR-20-14626")</f>
        <v>27-CR-20-14626</v>
      </c>
      <c r="C49" s="1" t="n">
        <v>1</v>
      </c>
      <c r="D49" s="2" t="s">
        <v>12</v>
      </c>
      <c r="E49" s="8" t="n">
        <v>44543</v>
      </c>
      <c r="F49" s="2" t="s">
        <v>15</v>
      </c>
      <c r="G49" s="7" t="str">
        <f aca="false">HYPERLINK("https://mncourtfraud.com/file/MCRO_27-CR-20-14626_Order-Evaluation for Competency to Proceed (Rule 20.01)_2021-12-13_20251126175855.pdf","MCRO_27-CR-20-14626_Order-Evaluation for Competency to Proceed (Rule 20.01)_2021-12-13_20251126175855.pdf")</f>
        <v>MCRO_27-CR-20-14626_Order-Evaluation for Competency to Proceed (Rule 20.01)_2021-12-13_20251126175855.pdf</v>
      </c>
      <c r="H49" s="1" t="n">
        <v>3</v>
      </c>
      <c r="I49" s="1" t="s">
        <v>1360</v>
      </c>
      <c r="J49" s="1" t="n">
        <v>1</v>
      </c>
      <c r="K49" s="2" t="s">
        <v>1362</v>
      </c>
      <c r="L49" s="2" t="s">
        <v>1364</v>
      </c>
      <c r="M49" s="1" t="s">
        <v>1360</v>
      </c>
      <c r="N49" s="1" t="n">
        <v>0</v>
      </c>
      <c r="O49" s="2" t="n">
        <v>92.99</v>
      </c>
      <c r="P49" s="2" t="n">
        <v>92.99</v>
      </c>
      <c r="Q49" s="2" t="n">
        <v>92.99</v>
      </c>
      <c r="R49" s="1" t="n">
        <v>1</v>
      </c>
      <c r="S49" s="1" t="n">
        <v>0</v>
      </c>
      <c r="T49" s="1" t="s">
        <v>1360</v>
      </c>
      <c r="U49" s="1" t="n">
        <v>3</v>
      </c>
      <c r="V49" s="1" t="n">
        <v>0</v>
      </c>
    </row>
    <row r="50" customFormat="false" ht="18.7" hidden="false" customHeight="true" outlineLevel="0" collapsed="false">
      <c r="A50" s="1" t="n">
        <v>49</v>
      </c>
      <c r="B50" s="7" t="str">
        <f aca="false">HYPERLINK("https://mncourtfraud.com/file/27-CR-20-14626.pdf","27-CR-20-14626")</f>
        <v>27-CR-20-14626</v>
      </c>
      <c r="C50" s="1" t="n">
        <v>1</v>
      </c>
      <c r="D50" s="2" t="s">
        <v>12</v>
      </c>
      <c r="E50" s="8" t="n">
        <v>44558</v>
      </c>
      <c r="F50" s="2" t="s">
        <v>15</v>
      </c>
      <c r="G50" s="7" t="str">
        <f aca="false">HYPERLINK("https://mncourtfraud.com/file/MCRO_27-CR-20-14626_Order-Evaluation for Competency to Proceed (Rule 20.01)_2021-12-28_20251126175907.pdf","MCRO_27-CR-20-14626_Order-Evaluation for Competency to Proceed (Rule 20.01)_2021-12-28_20251126175907.pdf")</f>
        <v>MCRO_27-CR-20-14626_Order-Evaluation for Competency to Proceed (Rule 20.01)_2021-12-28_20251126175907.pdf</v>
      </c>
      <c r="H50" s="1" t="n">
        <v>4</v>
      </c>
      <c r="I50" s="1" t="s">
        <v>1360</v>
      </c>
      <c r="J50" s="1" t="n">
        <v>1</v>
      </c>
      <c r="K50" s="2" t="s">
        <v>1362</v>
      </c>
      <c r="L50" s="2" t="s">
        <v>1364</v>
      </c>
      <c r="M50" s="1" t="s">
        <v>1360</v>
      </c>
      <c r="N50" s="1" t="n">
        <v>0</v>
      </c>
      <c r="O50" s="2" t="n">
        <v>93.2</v>
      </c>
      <c r="P50" s="2" t="n">
        <v>93.2</v>
      </c>
      <c r="Q50" s="2" t="n">
        <v>93.2</v>
      </c>
      <c r="R50" s="1" t="n">
        <v>1</v>
      </c>
      <c r="S50" s="1" t="n">
        <v>0</v>
      </c>
      <c r="T50" s="1" t="s">
        <v>1360</v>
      </c>
      <c r="U50" s="1" t="n">
        <v>4</v>
      </c>
      <c r="V50" s="1" t="n">
        <v>0</v>
      </c>
    </row>
    <row r="51" customFormat="false" ht="18.7" hidden="false" customHeight="true" outlineLevel="0" collapsed="false">
      <c r="A51" s="1" t="n">
        <v>50</v>
      </c>
      <c r="B51" s="7" t="str">
        <f aca="false">HYPERLINK("https://mncourtfraud.com/file/27-CR-20-14626.pdf","27-CR-20-14626")</f>
        <v>27-CR-20-14626</v>
      </c>
      <c r="C51" s="1" t="n">
        <v>1</v>
      </c>
      <c r="D51" s="2" t="s">
        <v>12</v>
      </c>
      <c r="E51" s="8" t="n">
        <v>44692</v>
      </c>
      <c r="F51" s="2" t="s">
        <v>15</v>
      </c>
      <c r="G51" s="7" t="str">
        <f aca="false">HYPERLINK("https://mncourtfraud.com/file/MCRO_27-CR-20-14626_Order-Evaluation for Competency to Proceed (Rule 20.01)_2022-05-11_20251126175918.pdf","MCRO_27-CR-20-14626_Order-Evaluation for Competency to Proceed (Rule 20.01)_2022-05-11_20251126175918.pdf")</f>
        <v>MCRO_27-CR-20-14626_Order-Evaluation for Competency to Proceed (Rule 20.01)_2022-05-11_20251126175918.pdf</v>
      </c>
      <c r="H51" s="1" t="n">
        <v>3</v>
      </c>
      <c r="I51" s="1" t="s">
        <v>1360</v>
      </c>
      <c r="J51" s="1" t="n">
        <v>1</v>
      </c>
      <c r="K51" s="2" t="s">
        <v>1362</v>
      </c>
      <c r="L51" s="2" t="s">
        <v>1364</v>
      </c>
      <c r="M51" s="1" t="s">
        <v>1360</v>
      </c>
      <c r="N51" s="1" t="n">
        <v>0</v>
      </c>
      <c r="O51" s="2" t="n">
        <v>93.17</v>
      </c>
      <c r="P51" s="2" t="n">
        <v>93.17</v>
      </c>
      <c r="Q51" s="2" t="n">
        <v>93.17</v>
      </c>
      <c r="R51" s="1" t="n">
        <v>1</v>
      </c>
      <c r="S51" s="1" t="n">
        <v>0</v>
      </c>
      <c r="T51" s="1" t="s">
        <v>1360</v>
      </c>
      <c r="U51" s="1" t="n">
        <v>3</v>
      </c>
      <c r="V51" s="1" t="n">
        <v>0</v>
      </c>
    </row>
    <row r="52" customFormat="false" ht="18.7" hidden="false" customHeight="true" outlineLevel="0" collapsed="false">
      <c r="A52" s="1" t="n">
        <v>51</v>
      </c>
      <c r="B52" s="7" t="str">
        <f aca="false">HYPERLINK("https://mncourtfraud.com/file/27-CR-20-14626.pdf","27-CR-20-14626")</f>
        <v>27-CR-20-14626</v>
      </c>
      <c r="C52" s="1" t="n">
        <v>1</v>
      </c>
      <c r="D52" s="2" t="s">
        <v>12</v>
      </c>
      <c r="E52" s="8" t="n">
        <v>44895</v>
      </c>
      <c r="F52" s="2" t="s">
        <v>15</v>
      </c>
      <c r="G52" s="7" t="str">
        <f aca="false">HYPERLINK("https://mncourtfraud.com/file/MCRO_27-CR-20-14626_Order-Evaluation for Competency to Proceed (Rule 20.01)_2022-11-30_20251126175928.pdf","MCRO_27-CR-20-14626_Order-Evaluation for Competency to Proceed (Rule 20.01)_2022-11-30_20251126175928.pdf")</f>
        <v>MCRO_27-CR-20-14626_Order-Evaluation for Competency to Proceed (Rule 20.01)_2022-11-30_20251126175928.pdf</v>
      </c>
      <c r="H52" s="1" t="n">
        <v>4</v>
      </c>
      <c r="I52" s="1" t="s">
        <v>1360</v>
      </c>
      <c r="J52" s="1" t="n">
        <v>1</v>
      </c>
      <c r="K52" s="2" t="s">
        <v>1362</v>
      </c>
      <c r="L52" s="2" t="s">
        <v>1364</v>
      </c>
      <c r="M52" s="1" t="s">
        <v>1360</v>
      </c>
      <c r="N52" s="1" t="n">
        <v>0</v>
      </c>
      <c r="O52" s="2" t="n">
        <v>97.99</v>
      </c>
      <c r="P52" s="2" t="n">
        <v>97.99</v>
      </c>
      <c r="Q52" s="2" t="n">
        <v>97.99</v>
      </c>
      <c r="R52" s="1" t="n">
        <v>1</v>
      </c>
      <c r="S52" s="1" t="n">
        <v>0</v>
      </c>
      <c r="T52" s="1" t="s">
        <v>1360</v>
      </c>
      <c r="U52" s="1" t="n">
        <v>4</v>
      </c>
      <c r="V52" s="1" t="n">
        <v>0</v>
      </c>
    </row>
    <row r="53" customFormat="false" ht="18.7" hidden="false" customHeight="true" outlineLevel="0" collapsed="false">
      <c r="A53" s="1" t="n">
        <v>52</v>
      </c>
      <c r="B53" s="7" t="str">
        <f aca="false">HYPERLINK("https://mncourtfraud.com/file/27-CR-20-14626.pdf","27-CR-20-14626")</f>
        <v>27-CR-20-14626</v>
      </c>
      <c r="C53" s="1" t="n">
        <v>1</v>
      </c>
      <c r="D53" s="2" t="s">
        <v>12</v>
      </c>
      <c r="E53" s="8" t="n">
        <v>44460</v>
      </c>
      <c r="F53" s="2" t="s">
        <v>24</v>
      </c>
      <c r="G53" s="7" t="str">
        <f aca="false">HYPERLINK("https://mncourtfraud.com/file/MCRO_27-CR-20-14626_Order for Conditional Release_2021-09-21_20251126175819.pdf","MCRO_27-CR-20-14626_Order for Conditional Release_2021-09-21_20251126175819.pdf")</f>
        <v>MCRO_27-CR-20-14626_Order for Conditional Release_2021-09-21_20251126175819.pdf</v>
      </c>
      <c r="H53" s="1" t="n">
        <v>4</v>
      </c>
      <c r="I53" s="1" t="s">
        <v>1360</v>
      </c>
      <c r="J53" s="1" t="n">
        <v>1</v>
      </c>
      <c r="K53" s="2" t="s">
        <v>1362</v>
      </c>
      <c r="L53" s="2" t="s">
        <v>1364</v>
      </c>
      <c r="M53" s="1" t="s">
        <v>1360</v>
      </c>
      <c r="N53" s="1" t="n">
        <v>0</v>
      </c>
      <c r="O53" s="2" t="n">
        <v>84.52</v>
      </c>
      <c r="P53" s="2" t="n">
        <v>84.52</v>
      </c>
      <c r="Q53" s="2" t="n">
        <v>84.52</v>
      </c>
      <c r="R53" s="1" t="n">
        <v>1</v>
      </c>
      <c r="S53" s="1" t="n">
        <v>0</v>
      </c>
      <c r="T53" s="1" t="s">
        <v>1360</v>
      </c>
      <c r="U53" s="1" t="n">
        <v>4</v>
      </c>
      <c r="V53" s="1" t="n">
        <v>0</v>
      </c>
    </row>
    <row r="54" customFormat="false" ht="18.7" hidden="false" customHeight="true" outlineLevel="0" collapsed="false">
      <c r="A54" s="1" t="n">
        <v>53</v>
      </c>
      <c r="B54" s="7" t="str">
        <f aca="false">HYPERLINK("https://mncourtfraud.com/file/27-CR-20-14626.pdf","27-CR-20-14626")</f>
        <v>27-CR-20-14626</v>
      </c>
      <c r="C54" s="1" t="n">
        <v>1</v>
      </c>
      <c r="D54" s="2" t="s">
        <v>12</v>
      </c>
      <c r="E54" s="8" t="n">
        <v>44468</v>
      </c>
      <c r="F54" s="2" t="s">
        <v>24</v>
      </c>
      <c r="G54" s="7" t="str">
        <f aca="false">HYPERLINK("https://mncourtfraud.com/file/MCRO_27-CR-20-14626_Order for Conditional Release_2021-09-29_20251126175828.pdf","MCRO_27-CR-20-14626_Order for Conditional Release_2021-09-29_20251126175828.pdf")</f>
        <v>MCRO_27-CR-20-14626_Order for Conditional Release_2021-09-29_20251126175828.pdf</v>
      </c>
      <c r="H54" s="1" t="n">
        <v>4</v>
      </c>
      <c r="I54" s="1" t="s">
        <v>1360</v>
      </c>
      <c r="J54" s="1" t="n">
        <v>1</v>
      </c>
      <c r="K54" s="2" t="s">
        <v>1362</v>
      </c>
      <c r="L54" s="2" t="s">
        <v>1364</v>
      </c>
      <c r="M54" s="1" t="s">
        <v>1360</v>
      </c>
      <c r="N54" s="1" t="n">
        <v>0</v>
      </c>
      <c r="O54" s="2" t="n">
        <v>89.21</v>
      </c>
      <c r="P54" s="2" t="n">
        <v>89.21</v>
      </c>
      <c r="Q54" s="2" t="n">
        <v>89.21</v>
      </c>
      <c r="R54" s="1" t="n">
        <v>1</v>
      </c>
      <c r="S54" s="1" t="n">
        <v>0</v>
      </c>
      <c r="T54" s="1" t="s">
        <v>1360</v>
      </c>
      <c r="U54" s="1" t="n">
        <v>4</v>
      </c>
      <c r="V54" s="1" t="n">
        <v>0</v>
      </c>
    </row>
    <row r="55" customFormat="false" ht="18.7" hidden="false" customHeight="true" outlineLevel="0" collapsed="false">
      <c r="A55" s="1" t="n">
        <v>54</v>
      </c>
      <c r="B55" s="7" t="str">
        <f aca="false">HYPERLINK("https://mncourtfraud.com/file/27-CR-20-25524.pdf","27-CR-20-25524")</f>
        <v>27-CR-20-25524</v>
      </c>
      <c r="C55" s="1" t="n">
        <v>1</v>
      </c>
      <c r="D55" s="2" t="s">
        <v>12</v>
      </c>
      <c r="E55" s="8" t="n">
        <v>45048</v>
      </c>
      <c r="F55" s="2" t="s">
        <v>80</v>
      </c>
      <c r="G55" s="7" t="str">
        <f aca="false">HYPERLINK("https://mncourtfraud.com/file/MCRO_27-CR-20-25524_Finding of Incompetency and Order_2023-05-02_20251126180022.pdf","MCRO_27-CR-20-25524_Finding of Incompetency and Order_2023-05-02_20251126180022.pdf")</f>
        <v>MCRO_27-CR-20-25524_Finding of Incompetency and Order_2023-05-02_20251126180022.pdf</v>
      </c>
      <c r="H55" s="1" t="n">
        <v>9</v>
      </c>
      <c r="I55" s="1" t="s">
        <v>1366</v>
      </c>
      <c r="J55" s="1" t="n">
        <v>3</v>
      </c>
      <c r="K55" s="2" t="s">
        <v>2268</v>
      </c>
      <c r="L55" s="2" t="s">
        <v>2269</v>
      </c>
      <c r="M55" s="1" t="s">
        <v>1366</v>
      </c>
      <c r="N55" s="1" t="n">
        <v>2</v>
      </c>
      <c r="O55" s="2" t="n">
        <v>15.21</v>
      </c>
      <c r="P55" s="2" t="n">
        <v>98.32</v>
      </c>
      <c r="Q55" s="2" t="n">
        <v>45.35</v>
      </c>
      <c r="R55" s="1" t="n">
        <v>3</v>
      </c>
      <c r="S55" s="1" t="n">
        <v>0</v>
      </c>
      <c r="T55" s="1" t="s">
        <v>1360</v>
      </c>
      <c r="U55" s="1" t="n">
        <v>5</v>
      </c>
      <c r="V55" s="1" t="n">
        <v>3</v>
      </c>
    </row>
    <row r="56" customFormat="false" ht="18.7" hidden="false" customHeight="true" outlineLevel="0" collapsed="false">
      <c r="A56" s="1" t="n">
        <v>55</v>
      </c>
      <c r="B56" s="7" t="str">
        <f aca="false">HYPERLINK("https://mncourtfraud.com/file/27-CR-20-25524.pdf","27-CR-20-25524")</f>
        <v>27-CR-20-25524</v>
      </c>
      <c r="C56" s="1" t="n">
        <v>1</v>
      </c>
      <c r="D56" s="2" t="s">
        <v>12</v>
      </c>
      <c r="E56" s="8" t="n">
        <v>44439</v>
      </c>
      <c r="F56" s="2" t="s">
        <v>19</v>
      </c>
      <c r="G56" s="7" t="str">
        <f aca="false">HYPERLINK("https://mncourtfraud.com/file/MCRO_27-CR-20-25524_Findings and Order_2021-08-31_20251126180048.pdf","MCRO_27-CR-20-25524_Findings and Order_2021-08-31_20251126180048.pdf")</f>
        <v>MCRO_27-CR-20-25524_Findings and Order_2021-08-31_20251126180048.pdf</v>
      </c>
      <c r="H56" s="1" t="n">
        <v>5</v>
      </c>
      <c r="I56" s="1" t="s">
        <v>1366</v>
      </c>
      <c r="J56" s="1" t="n">
        <v>2</v>
      </c>
      <c r="K56" s="2" t="s">
        <v>2267</v>
      </c>
      <c r="L56" s="2" t="s">
        <v>1364</v>
      </c>
      <c r="M56" s="1" t="s">
        <v>1366</v>
      </c>
      <c r="N56" s="1" t="n">
        <v>1</v>
      </c>
      <c r="O56" s="2" t="n">
        <v>39.94</v>
      </c>
      <c r="P56" s="2" t="n">
        <v>95.64</v>
      </c>
      <c r="Q56" s="2" t="n">
        <v>67.79</v>
      </c>
      <c r="R56" s="1" t="n">
        <v>2</v>
      </c>
      <c r="S56" s="1" t="n">
        <v>0</v>
      </c>
      <c r="T56" s="1" t="s">
        <v>1360</v>
      </c>
      <c r="U56" s="1" t="n">
        <v>2</v>
      </c>
      <c r="V56" s="1" t="n">
        <v>0</v>
      </c>
    </row>
    <row r="57" customFormat="false" ht="18.7" hidden="false" customHeight="true" outlineLevel="0" collapsed="false">
      <c r="A57" s="1" t="n">
        <v>56</v>
      </c>
      <c r="B57" s="7" t="str">
        <f aca="false">HYPERLINK("https://mncourtfraud.com/file/27-CR-20-25524.pdf","27-CR-20-25524")</f>
        <v>27-CR-20-25524</v>
      </c>
      <c r="C57" s="1" t="n">
        <v>1</v>
      </c>
      <c r="D57" s="2" t="s">
        <v>12</v>
      </c>
      <c r="E57" s="8" t="n">
        <v>44593</v>
      </c>
      <c r="F57" s="2" t="s">
        <v>19</v>
      </c>
      <c r="G57" s="7" t="str">
        <f aca="false">HYPERLINK("https://mncourtfraud.com/file/MCRO_27-CR-20-25524_Findings and Order_2022-02-01_20251126180037.pdf","MCRO_27-CR-20-25524_Findings and Order_2022-02-01_20251126180037.pdf")</f>
        <v>MCRO_27-CR-20-25524_Findings and Order_2022-02-01_20251126180037.pdf</v>
      </c>
      <c r="H57" s="1" t="n">
        <v>4</v>
      </c>
      <c r="I57" s="1" t="s">
        <v>1360</v>
      </c>
      <c r="J57" s="1" t="n">
        <v>2</v>
      </c>
      <c r="K57" s="2" t="s">
        <v>2267</v>
      </c>
      <c r="L57" s="2" t="s">
        <v>1364</v>
      </c>
      <c r="M57" s="1" t="s">
        <v>1366</v>
      </c>
      <c r="N57" s="1" t="n">
        <v>1</v>
      </c>
      <c r="O57" s="2" t="n">
        <v>47.77</v>
      </c>
      <c r="P57" s="2" t="n">
        <v>95.47</v>
      </c>
      <c r="Q57" s="2" t="n">
        <v>71.62</v>
      </c>
      <c r="R57" s="1" t="n">
        <v>2</v>
      </c>
      <c r="S57" s="1" t="n">
        <v>0</v>
      </c>
      <c r="T57" s="1" t="s">
        <v>1360</v>
      </c>
      <c r="U57" s="1" t="n">
        <v>2</v>
      </c>
      <c r="V57" s="1" t="n">
        <v>0</v>
      </c>
    </row>
    <row r="58" customFormat="false" ht="18.7" hidden="false" customHeight="true" outlineLevel="0" collapsed="false">
      <c r="A58" s="1" t="n">
        <v>57</v>
      </c>
      <c r="B58" s="7" t="str">
        <f aca="false">HYPERLINK("https://mncourtfraud.com/file/27-CR-20-25524.pdf","27-CR-20-25524")</f>
        <v>27-CR-20-25524</v>
      </c>
      <c r="C58" s="1" t="n">
        <v>1</v>
      </c>
      <c r="D58" s="2" t="s">
        <v>12</v>
      </c>
      <c r="E58" s="8" t="n">
        <v>45093</v>
      </c>
      <c r="F58" s="2" t="s">
        <v>82</v>
      </c>
      <c r="G58" s="7" t="str">
        <f aca="false">HYPERLINK("https://mncourtfraud.com/file/MCRO_27-CR-20-25524_Notice of Case Reassignment_2023-06-16_20251126180103.pdf","MCRO_27-CR-20-25524_Notice of Case Reassignment_2023-06-16_20251126180103.pdf")</f>
        <v>MCRO_27-CR-20-25524_Notice of Case Reassignment_2023-06-16_20251126180103.pdf</v>
      </c>
      <c r="H58" s="1" t="n">
        <v>3</v>
      </c>
      <c r="I58" s="1" t="s">
        <v>1360</v>
      </c>
      <c r="J58" s="1" t="n">
        <v>1</v>
      </c>
      <c r="K58" s="2" t="s">
        <v>1362</v>
      </c>
      <c r="L58" s="2" t="s">
        <v>1364</v>
      </c>
      <c r="M58" s="1" t="s">
        <v>1360</v>
      </c>
      <c r="N58" s="1" t="n">
        <v>0</v>
      </c>
      <c r="O58" s="2" t="n">
        <v>85.58</v>
      </c>
      <c r="P58" s="2" t="n">
        <v>85.58</v>
      </c>
      <c r="Q58" s="2" t="n">
        <v>85.58</v>
      </c>
      <c r="R58" s="1" t="n">
        <v>1</v>
      </c>
      <c r="S58" s="1" t="n">
        <v>0</v>
      </c>
      <c r="T58" s="1" t="s">
        <v>1360</v>
      </c>
      <c r="U58" s="1" t="n">
        <v>3</v>
      </c>
      <c r="V58" s="1" t="n">
        <v>0</v>
      </c>
    </row>
    <row r="59" customFormat="false" ht="18.7" hidden="false" customHeight="true" outlineLevel="0" collapsed="false">
      <c r="A59" s="1" t="n">
        <v>58</v>
      </c>
      <c r="B59" s="7" t="str">
        <f aca="false">HYPERLINK("https://mncourtfraud.com/file/27-CR-20-25524.pdf","27-CR-20-25524")</f>
        <v>27-CR-20-25524</v>
      </c>
      <c r="C59" s="1" t="n">
        <v>1</v>
      </c>
      <c r="D59" s="2" t="s">
        <v>12</v>
      </c>
      <c r="E59" s="8" t="n">
        <v>44396</v>
      </c>
      <c r="F59" s="2" t="s">
        <v>15</v>
      </c>
      <c r="G59" s="7" t="str">
        <f aca="false">HYPERLINK("https://mncourtfraud.com/file/MCRO_27-CR-20-25524_Order-Evaluation for Competency to Proceed (Rule 20.01)_2021-07-19_20251126180153.pdf","MCRO_27-CR-20-25524_Order-Evaluation for Competency to Proceed (Rule 20.01)_2021-07-19_20251126180153.pdf")</f>
        <v>MCRO_27-CR-20-25524_Order-Evaluation for Competency to Proceed (Rule 20.01)_2021-07-19_20251126180153.pdf</v>
      </c>
      <c r="H59" s="1" t="n">
        <v>4</v>
      </c>
      <c r="I59" s="1" t="s">
        <v>1360</v>
      </c>
      <c r="J59" s="1" t="n">
        <v>1</v>
      </c>
      <c r="K59" s="2" t="s">
        <v>1362</v>
      </c>
      <c r="L59" s="2" t="s">
        <v>1364</v>
      </c>
      <c r="M59" s="1" t="s">
        <v>1360</v>
      </c>
      <c r="N59" s="1" t="n">
        <v>0</v>
      </c>
      <c r="O59" s="2" t="n">
        <v>91.69</v>
      </c>
      <c r="P59" s="2" t="n">
        <v>91.69</v>
      </c>
      <c r="Q59" s="2" t="n">
        <v>91.69</v>
      </c>
      <c r="R59" s="1" t="n">
        <v>1</v>
      </c>
      <c r="S59" s="1" t="n">
        <v>0</v>
      </c>
      <c r="T59" s="1" t="s">
        <v>1360</v>
      </c>
      <c r="U59" s="1" t="n">
        <v>4</v>
      </c>
      <c r="V59" s="1" t="n">
        <v>0</v>
      </c>
    </row>
    <row r="60" customFormat="false" ht="18.7" hidden="false" customHeight="true" outlineLevel="0" collapsed="false">
      <c r="A60" s="1" t="n">
        <v>59</v>
      </c>
      <c r="B60" s="7" t="str">
        <f aca="false">HYPERLINK("https://mncourtfraud.com/file/27-CR-20-25524.pdf","27-CR-20-25524")</f>
        <v>27-CR-20-25524</v>
      </c>
      <c r="C60" s="1" t="n">
        <v>1</v>
      </c>
      <c r="D60" s="2" t="s">
        <v>12</v>
      </c>
      <c r="E60" s="8" t="n">
        <v>44543</v>
      </c>
      <c r="F60" s="2" t="s">
        <v>15</v>
      </c>
      <c r="G60" s="7" t="str">
        <f aca="false">HYPERLINK("https://mncourtfraud.com/file/MCRO_27-CR-20-25524_Order-Evaluation for Competency to Proceed (Rule 20.01)_2021-12-13_20251126180204.pdf","MCRO_27-CR-20-25524_Order-Evaluation for Competency to Proceed (Rule 20.01)_2021-12-13_20251126180204.pdf")</f>
        <v>MCRO_27-CR-20-25524_Order-Evaluation for Competency to Proceed (Rule 20.01)_2021-12-13_20251126180204.pdf</v>
      </c>
      <c r="H60" s="1" t="n">
        <v>3</v>
      </c>
      <c r="I60" s="1" t="s">
        <v>1360</v>
      </c>
      <c r="J60" s="1" t="n">
        <v>1</v>
      </c>
      <c r="K60" s="2" t="s">
        <v>1362</v>
      </c>
      <c r="L60" s="2" t="s">
        <v>1364</v>
      </c>
      <c r="M60" s="1" t="s">
        <v>1360</v>
      </c>
      <c r="N60" s="1" t="n">
        <v>0</v>
      </c>
      <c r="O60" s="2" t="n">
        <v>92.99</v>
      </c>
      <c r="P60" s="2" t="n">
        <v>92.99</v>
      </c>
      <c r="Q60" s="2" t="n">
        <v>92.99</v>
      </c>
      <c r="R60" s="1" t="n">
        <v>1</v>
      </c>
      <c r="S60" s="1" t="n">
        <v>0</v>
      </c>
      <c r="T60" s="1" t="s">
        <v>1360</v>
      </c>
      <c r="U60" s="1" t="n">
        <v>3</v>
      </c>
      <c r="V60" s="1" t="n">
        <v>0</v>
      </c>
    </row>
    <row r="61" customFormat="false" ht="18.7" hidden="false" customHeight="true" outlineLevel="0" collapsed="false">
      <c r="A61" s="1" t="n">
        <v>60</v>
      </c>
      <c r="B61" s="7" t="str">
        <f aca="false">HYPERLINK("https://mncourtfraud.com/file/27-CR-20-25524.pdf","27-CR-20-25524")</f>
        <v>27-CR-20-25524</v>
      </c>
      <c r="C61" s="1" t="n">
        <v>1</v>
      </c>
      <c r="D61" s="2" t="s">
        <v>12</v>
      </c>
      <c r="E61" s="8" t="n">
        <v>44558</v>
      </c>
      <c r="F61" s="2" t="s">
        <v>15</v>
      </c>
      <c r="G61" s="7" t="str">
        <f aca="false">HYPERLINK("https://mncourtfraud.com/file/MCRO_27-CR-20-25524_Order-Evaluation for Competency to Proceed (Rule 20.01)_2021-12-28_20251126180216.pdf","MCRO_27-CR-20-25524_Order-Evaluation for Competency to Proceed (Rule 20.01)_2021-12-28_20251126180216.pdf")</f>
        <v>MCRO_27-CR-20-25524_Order-Evaluation for Competency to Proceed (Rule 20.01)_2021-12-28_20251126180216.pdf</v>
      </c>
      <c r="H61" s="1" t="n">
        <v>4</v>
      </c>
      <c r="I61" s="1" t="s">
        <v>1360</v>
      </c>
      <c r="J61" s="1" t="n">
        <v>1</v>
      </c>
      <c r="K61" s="2" t="s">
        <v>1362</v>
      </c>
      <c r="L61" s="2" t="s">
        <v>1364</v>
      </c>
      <c r="M61" s="1" t="s">
        <v>1360</v>
      </c>
      <c r="N61" s="1" t="n">
        <v>0</v>
      </c>
      <c r="O61" s="2" t="n">
        <v>93.2</v>
      </c>
      <c r="P61" s="2" t="n">
        <v>93.2</v>
      </c>
      <c r="Q61" s="2" t="n">
        <v>93.2</v>
      </c>
      <c r="R61" s="1" t="n">
        <v>1</v>
      </c>
      <c r="S61" s="1" t="n">
        <v>0</v>
      </c>
      <c r="T61" s="1" t="s">
        <v>1360</v>
      </c>
      <c r="U61" s="1" t="n">
        <v>4</v>
      </c>
      <c r="V61" s="1" t="n">
        <v>0</v>
      </c>
    </row>
    <row r="62" customFormat="false" ht="18.7" hidden="false" customHeight="true" outlineLevel="0" collapsed="false">
      <c r="A62" s="1" t="n">
        <v>61</v>
      </c>
      <c r="B62" s="7" t="str">
        <f aca="false">HYPERLINK("https://mncourtfraud.com/file/27-CR-20-25524.pdf","27-CR-20-25524")</f>
        <v>27-CR-20-25524</v>
      </c>
      <c r="C62" s="1" t="n">
        <v>1</v>
      </c>
      <c r="D62" s="2" t="s">
        <v>12</v>
      </c>
      <c r="E62" s="8" t="n">
        <v>44692</v>
      </c>
      <c r="F62" s="2" t="s">
        <v>15</v>
      </c>
      <c r="G62" s="7" t="str">
        <f aca="false">HYPERLINK("https://mncourtfraud.com/file/MCRO_27-CR-20-25524_Order-Evaluation for Competency to Proceed (Rule 20.01)_2022-05-11_20251126180226.pdf","MCRO_27-CR-20-25524_Order-Evaluation for Competency to Proceed (Rule 20.01)_2022-05-11_20251126180226.pdf")</f>
        <v>MCRO_27-CR-20-25524_Order-Evaluation for Competency to Proceed (Rule 20.01)_2022-05-11_20251126180226.pdf</v>
      </c>
      <c r="H62" s="1" t="n">
        <v>3</v>
      </c>
      <c r="I62" s="1" t="s">
        <v>1360</v>
      </c>
      <c r="J62" s="1" t="n">
        <v>1</v>
      </c>
      <c r="K62" s="2" t="s">
        <v>1362</v>
      </c>
      <c r="L62" s="2" t="s">
        <v>1364</v>
      </c>
      <c r="M62" s="1" t="s">
        <v>1360</v>
      </c>
      <c r="N62" s="1" t="n">
        <v>0</v>
      </c>
      <c r="O62" s="2" t="n">
        <v>93.17</v>
      </c>
      <c r="P62" s="2" t="n">
        <v>93.17</v>
      </c>
      <c r="Q62" s="2" t="n">
        <v>93.17</v>
      </c>
      <c r="R62" s="1" t="n">
        <v>1</v>
      </c>
      <c r="S62" s="1" t="n">
        <v>0</v>
      </c>
      <c r="T62" s="1" t="s">
        <v>1360</v>
      </c>
      <c r="U62" s="1" t="n">
        <v>3</v>
      </c>
      <c r="V62" s="1" t="n">
        <v>0</v>
      </c>
    </row>
    <row r="63" customFormat="false" ht="18.7" hidden="false" customHeight="true" outlineLevel="0" collapsed="false">
      <c r="A63" s="1" t="n">
        <v>62</v>
      </c>
      <c r="B63" s="7" t="str">
        <f aca="false">HYPERLINK("https://mncourtfraud.com/file/27-CR-20-25524.pdf","27-CR-20-25524")</f>
        <v>27-CR-20-25524</v>
      </c>
      <c r="C63" s="1" t="n">
        <v>1</v>
      </c>
      <c r="D63" s="2" t="s">
        <v>12</v>
      </c>
      <c r="E63" s="8" t="n">
        <v>44895</v>
      </c>
      <c r="F63" s="2" t="s">
        <v>15</v>
      </c>
      <c r="G63" s="7" t="str">
        <f aca="false">HYPERLINK("https://mncourtfraud.com/file/MCRO_27-CR-20-25524_Order-Evaluation for Competency to Proceed (Rule 20.01)_2022-11-30_20251126180238.pdf","MCRO_27-CR-20-25524_Order-Evaluation for Competency to Proceed (Rule 20.01)_2022-11-30_20251126180238.pdf")</f>
        <v>MCRO_27-CR-20-25524_Order-Evaluation for Competency to Proceed (Rule 20.01)_2022-11-30_20251126180238.pdf</v>
      </c>
      <c r="H63" s="1" t="n">
        <v>4</v>
      </c>
      <c r="I63" s="1" t="s">
        <v>1360</v>
      </c>
      <c r="J63" s="1" t="n">
        <v>1</v>
      </c>
      <c r="K63" s="2" t="s">
        <v>1362</v>
      </c>
      <c r="L63" s="2" t="s">
        <v>1364</v>
      </c>
      <c r="M63" s="1" t="s">
        <v>1360</v>
      </c>
      <c r="N63" s="1" t="n">
        <v>0</v>
      </c>
      <c r="O63" s="2" t="n">
        <v>97.99</v>
      </c>
      <c r="P63" s="2" t="n">
        <v>97.99</v>
      </c>
      <c r="Q63" s="2" t="n">
        <v>97.99</v>
      </c>
      <c r="R63" s="1" t="n">
        <v>1</v>
      </c>
      <c r="S63" s="1" t="n">
        <v>0</v>
      </c>
      <c r="T63" s="1" t="s">
        <v>1360</v>
      </c>
      <c r="U63" s="1" t="n">
        <v>4</v>
      </c>
      <c r="V63" s="1" t="n">
        <v>0</v>
      </c>
    </row>
    <row r="64" customFormat="false" ht="18.7" hidden="false" customHeight="true" outlineLevel="0" collapsed="false">
      <c r="A64" s="1" t="n">
        <v>63</v>
      </c>
      <c r="B64" s="7" t="str">
        <f aca="false">HYPERLINK("https://mncourtfraud.com/file/27-CR-20-25524.pdf","27-CR-20-25524")</f>
        <v>27-CR-20-25524</v>
      </c>
      <c r="C64" s="1" t="n">
        <v>1</v>
      </c>
      <c r="D64" s="2" t="s">
        <v>12</v>
      </c>
      <c r="E64" s="8" t="n">
        <v>45160</v>
      </c>
      <c r="F64" s="2" t="s">
        <v>15</v>
      </c>
      <c r="G64" s="7" t="str">
        <f aca="false">HYPERLINK("https://mncourtfraud.com/file/MCRO_27-CR-20-25524_Order-Evaluation for Competency to Proceed (Rule 20.01)_2023-08-22_20251126180250.pdf","MCRO_27-CR-20-25524_Order-Evaluation for Competency to Proceed (Rule 20.01)_2023-08-22_20251126180250.pdf")</f>
        <v>MCRO_27-CR-20-25524_Order-Evaluation for Competency to Proceed (Rule 20.01)_2023-08-22_20251126180250.pdf</v>
      </c>
      <c r="H64" s="1" t="n">
        <v>6</v>
      </c>
      <c r="I64" s="1" t="s">
        <v>1366</v>
      </c>
      <c r="J64" s="1" t="n">
        <v>2</v>
      </c>
      <c r="K64" s="2" t="s">
        <v>2270</v>
      </c>
      <c r="L64" s="2" t="s">
        <v>2269</v>
      </c>
      <c r="M64" s="1" t="s">
        <v>1366</v>
      </c>
      <c r="N64" s="1" t="n">
        <v>1</v>
      </c>
      <c r="O64" s="2" t="n">
        <v>23.95</v>
      </c>
      <c r="P64" s="2" t="n">
        <v>98.13</v>
      </c>
      <c r="Q64" s="2" t="n">
        <v>61.04</v>
      </c>
      <c r="R64" s="1" t="n">
        <v>2</v>
      </c>
      <c r="S64" s="1" t="n">
        <v>0</v>
      </c>
      <c r="T64" s="1" t="s">
        <v>1360</v>
      </c>
      <c r="U64" s="1" t="n">
        <v>3</v>
      </c>
      <c r="V64" s="1" t="n">
        <v>3</v>
      </c>
    </row>
    <row r="65" customFormat="false" ht="18.7" hidden="false" customHeight="true" outlineLevel="0" collapsed="false">
      <c r="A65" s="1" t="n">
        <v>64</v>
      </c>
      <c r="B65" s="7" t="str">
        <f aca="false">HYPERLINK("https://mncourtfraud.com/file/27-CR-20-25524.pdf","27-CR-20-25524")</f>
        <v>27-CR-20-25524</v>
      </c>
      <c r="C65" s="1" t="n">
        <v>1</v>
      </c>
      <c r="D65" s="2" t="s">
        <v>12</v>
      </c>
      <c r="E65" s="8" t="n">
        <v>45412</v>
      </c>
      <c r="F65" s="2" t="s">
        <v>15</v>
      </c>
      <c r="G65" s="7" t="str">
        <f aca="false">HYPERLINK("https://mncourtfraud.com/file/MCRO_27-CR-20-25524_Order-Evaluation for Competency to Proceed (Rule 20.01)_2024-04-30_20251126180301.pdf","MCRO_27-CR-20-25524_Order-Evaluation for Competency to Proceed (Rule 20.01)_2024-04-30_20251126180301.pdf")</f>
        <v>MCRO_27-CR-20-25524_Order-Evaluation for Competency to Proceed (Rule 20.01)_2024-04-30_20251126180301.pdf</v>
      </c>
      <c r="H65" s="1" t="n">
        <v>4</v>
      </c>
      <c r="I65" s="1" t="s">
        <v>1360</v>
      </c>
      <c r="J65" s="1" t="n">
        <v>1</v>
      </c>
      <c r="K65" s="2" t="s">
        <v>1362</v>
      </c>
      <c r="L65" s="2" t="s">
        <v>1364</v>
      </c>
      <c r="M65" s="1" t="s">
        <v>1360</v>
      </c>
      <c r="N65" s="1" t="n">
        <v>0</v>
      </c>
      <c r="O65" s="2" t="n">
        <v>92.54</v>
      </c>
      <c r="P65" s="2" t="n">
        <v>92.54</v>
      </c>
      <c r="Q65" s="2" t="n">
        <v>92.54</v>
      </c>
      <c r="R65" s="1" t="n">
        <v>1</v>
      </c>
      <c r="S65" s="1" t="n">
        <v>0</v>
      </c>
      <c r="T65" s="1" t="s">
        <v>1360</v>
      </c>
      <c r="U65" s="1" t="n">
        <v>4</v>
      </c>
      <c r="V65" s="1" t="n">
        <v>0</v>
      </c>
    </row>
    <row r="66" customFormat="false" ht="18.7" hidden="false" customHeight="true" outlineLevel="0" collapsed="false">
      <c r="A66" s="1" t="n">
        <v>65</v>
      </c>
      <c r="B66" s="7" t="str">
        <f aca="false">HYPERLINK("https://mncourtfraud.com/file/27-CR-20-25524.pdf","27-CR-20-25524")</f>
        <v>27-CR-20-25524</v>
      </c>
      <c r="C66" s="1" t="n">
        <v>1</v>
      </c>
      <c r="D66" s="2" t="s">
        <v>12</v>
      </c>
      <c r="E66" s="8" t="n">
        <v>45414</v>
      </c>
      <c r="F66" s="2" t="s">
        <v>15</v>
      </c>
      <c r="G66" s="7" t="str">
        <f aca="false">HYPERLINK("https://mncourtfraud.com/file/MCRO_27-CR-20-25524_Order-Evaluation for Competency to Proceed (Rule 20.01)_2024-05-02_20251126180315.pdf","MCRO_27-CR-20-25524_Order-Evaluation for Competency to Proceed (Rule 20.01)_2024-05-02_20251126180315.pdf")</f>
        <v>MCRO_27-CR-20-25524_Order-Evaluation for Competency to Proceed (Rule 20.01)_2024-05-02_20251126180315.pdf</v>
      </c>
      <c r="H66" s="1" t="n">
        <v>4</v>
      </c>
      <c r="I66" s="1" t="s">
        <v>1360</v>
      </c>
      <c r="J66" s="1" t="n">
        <v>1</v>
      </c>
      <c r="K66" s="2" t="s">
        <v>1362</v>
      </c>
      <c r="L66" s="2" t="s">
        <v>1364</v>
      </c>
      <c r="M66" s="1" t="s">
        <v>1360</v>
      </c>
      <c r="N66" s="1" t="n">
        <v>0</v>
      </c>
      <c r="O66" s="2" t="n">
        <v>93.07</v>
      </c>
      <c r="P66" s="2" t="n">
        <v>93.07</v>
      </c>
      <c r="Q66" s="2" t="n">
        <v>93.07</v>
      </c>
      <c r="R66" s="1" t="n">
        <v>1</v>
      </c>
      <c r="S66" s="1" t="n">
        <v>0</v>
      </c>
      <c r="T66" s="1" t="s">
        <v>1360</v>
      </c>
      <c r="U66" s="1" t="n">
        <v>4</v>
      </c>
      <c r="V66" s="1" t="n">
        <v>0</v>
      </c>
    </row>
    <row r="67" customFormat="false" ht="18.7" hidden="false" customHeight="true" outlineLevel="0" collapsed="false">
      <c r="A67" s="1" t="n">
        <v>66</v>
      </c>
      <c r="B67" s="7" t="str">
        <f aca="false">HYPERLINK("https://mncourtfraud.com/file/27-CR-20-25524.pdf","27-CR-20-25524")</f>
        <v>27-CR-20-25524</v>
      </c>
      <c r="C67" s="1" t="n">
        <v>1</v>
      </c>
      <c r="D67" s="2" t="s">
        <v>12</v>
      </c>
      <c r="E67" s="8" t="n">
        <v>44460</v>
      </c>
      <c r="F67" s="2" t="s">
        <v>24</v>
      </c>
      <c r="G67" s="7" t="str">
        <f aca="false">HYPERLINK("https://mncourtfraud.com/file/MCRO_27-CR-20-25524_Order for Conditional Release_2021-09-21_20251126180139.pdf","MCRO_27-CR-20-25524_Order for Conditional Release_2021-09-21_20251126180139.pdf")</f>
        <v>MCRO_27-CR-20-25524_Order for Conditional Release_2021-09-21_20251126180139.pdf</v>
      </c>
      <c r="H67" s="1" t="n">
        <v>4</v>
      </c>
      <c r="I67" s="1" t="s">
        <v>1360</v>
      </c>
      <c r="J67" s="1" t="n">
        <v>1</v>
      </c>
      <c r="K67" s="2" t="s">
        <v>1362</v>
      </c>
      <c r="L67" s="2" t="s">
        <v>1364</v>
      </c>
      <c r="M67" s="1" t="s">
        <v>1360</v>
      </c>
      <c r="N67" s="1" t="n">
        <v>0</v>
      </c>
      <c r="O67" s="2" t="n">
        <v>84.52</v>
      </c>
      <c r="P67" s="2" t="n">
        <v>84.52</v>
      </c>
      <c r="Q67" s="2" t="n">
        <v>84.52</v>
      </c>
      <c r="R67" s="1" t="n">
        <v>1</v>
      </c>
      <c r="S67" s="1" t="n">
        <v>0</v>
      </c>
      <c r="T67" s="1" t="s">
        <v>1360</v>
      </c>
      <c r="U67" s="1" t="n">
        <v>4</v>
      </c>
      <c r="V67" s="1" t="n">
        <v>0</v>
      </c>
    </row>
    <row r="68" customFormat="false" ht="18.7" hidden="false" customHeight="true" outlineLevel="0" collapsed="false">
      <c r="A68" s="1" t="n">
        <v>67</v>
      </c>
      <c r="B68" s="7" t="str">
        <f aca="false">HYPERLINK("https://mncourtfraud.com/file/27-CR-20-25524.pdf","27-CR-20-25524")</f>
        <v>27-CR-20-25524</v>
      </c>
      <c r="C68" s="1" t="n">
        <v>1</v>
      </c>
      <c r="D68" s="2" t="s">
        <v>12</v>
      </c>
      <c r="E68" s="8" t="n">
        <v>44468</v>
      </c>
      <c r="F68" s="2" t="s">
        <v>24</v>
      </c>
      <c r="G68" s="7" t="str">
        <f aca="false">HYPERLINK("https://mncourtfraud.com/file/MCRO_27-CR-20-25524_Order for Conditional Release_2021-09-29_20251126180115.pdf","MCRO_27-CR-20-25524_Order for Conditional Release_2021-09-29_20251126180115.pdf")</f>
        <v>MCRO_27-CR-20-25524_Order for Conditional Release_2021-09-29_20251126180115.pdf</v>
      </c>
      <c r="H68" s="1" t="n">
        <v>4</v>
      </c>
      <c r="I68" s="1" t="s">
        <v>1360</v>
      </c>
      <c r="J68" s="1" t="n">
        <v>1</v>
      </c>
      <c r="K68" s="2" t="s">
        <v>1362</v>
      </c>
      <c r="L68" s="2" t="s">
        <v>1364</v>
      </c>
      <c r="M68" s="1" t="s">
        <v>1360</v>
      </c>
      <c r="N68" s="1" t="n">
        <v>0</v>
      </c>
      <c r="O68" s="2" t="n">
        <v>89.21</v>
      </c>
      <c r="P68" s="2" t="n">
        <v>89.21</v>
      </c>
      <c r="Q68" s="2" t="n">
        <v>89.21</v>
      </c>
      <c r="R68" s="1" t="n">
        <v>1</v>
      </c>
      <c r="S68" s="1" t="n">
        <v>0</v>
      </c>
      <c r="T68" s="1" t="s">
        <v>1360</v>
      </c>
      <c r="U68" s="1" t="n">
        <v>4</v>
      </c>
      <c r="V68" s="1" t="n">
        <v>0</v>
      </c>
    </row>
    <row r="69" customFormat="false" ht="18.7" hidden="false" customHeight="true" outlineLevel="0" collapsed="false">
      <c r="A69" s="1" t="n">
        <v>68</v>
      </c>
      <c r="B69" s="7" t="str">
        <f aca="false">HYPERLINK("https://mncourtfraud.com/file/27-CR-20-25524.pdf","27-CR-20-25524")</f>
        <v>27-CR-20-25524</v>
      </c>
      <c r="C69" s="1" t="n">
        <v>1</v>
      </c>
      <c r="D69" s="2" t="s">
        <v>12</v>
      </c>
      <c r="E69" s="8" t="n">
        <v>45412</v>
      </c>
      <c r="F69" s="2" t="s">
        <v>24</v>
      </c>
      <c r="G69" s="7" t="str">
        <f aca="false">HYPERLINK("https://mncourtfraud.com/file/MCRO_27-CR-20-25524_Order for Conditional Release_2024-04-30_20251126180129.pdf","MCRO_27-CR-20-25524_Order for Conditional Release_2024-04-30_20251126180129.pdf")</f>
        <v>MCRO_27-CR-20-25524_Order for Conditional Release_2024-04-30_20251126180129.pdf</v>
      </c>
      <c r="H69" s="1" t="n">
        <v>4</v>
      </c>
      <c r="I69" s="1" t="s">
        <v>1360</v>
      </c>
      <c r="J69" s="1" t="n">
        <v>1</v>
      </c>
      <c r="K69" s="2" t="s">
        <v>1362</v>
      </c>
      <c r="L69" s="2" t="s">
        <v>1364</v>
      </c>
      <c r="M69" s="1" t="s">
        <v>1360</v>
      </c>
      <c r="N69" s="1" t="n">
        <v>0</v>
      </c>
      <c r="O69" s="2" t="n">
        <v>89.11</v>
      </c>
      <c r="P69" s="2" t="n">
        <v>89.11</v>
      </c>
      <c r="Q69" s="2" t="n">
        <v>89.11</v>
      </c>
      <c r="R69" s="1" t="n">
        <v>1</v>
      </c>
      <c r="S69" s="1" t="n">
        <v>0</v>
      </c>
      <c r="T69" s="1" t="s">
        <v>1360</v>
      </c>
      <c r="U69" s="1" t="n">
        <v>4</v>
      </c>
      <c r="V69" s="1" t="n">
        <v>0</v>
      </c>
    </row>
    <row r="70" customFormat="false" ht="18.7" hidden="false" customHeight="true" outlineLevel="0" collapsed="false">
      <c r="A70" s="1" t="n">
        <v>69</v>
      </c>
      <c r="B70" s="7" t="str">
        <f aca="false">HYPERLINK("https://mncourtfraud.com/file/27-CR-20-2581.pdf","27-CR-20-2581")</f>
        <v>27-CR-20-2581</v>
      </c>
      <c r="C70" s="1" t="n">
        <v>1</v>
      </c>
      <c r="D70" s="2" t="s">
        <v>12</v>
      </c>
      <c r="E70" s="8" t="n">
        <v>45048</v>
      </c>
      <c r="F70" s="2" t="s">
        <v>80</v>
      </c>
      <c r="G70" s="7" t="str">
        <f aca="false">HYPERLINK("https://mncourtfraud.com/file/MCRO_27-CR-20-2581_Finding of Incompetency and Order_2023-05-02_20251126180343.pdf","MCRO_27-CR-20-2581_Finding of Incompetency and Order_2023-05-02_20251126180343.pdf")</f>
        <v>MCRO_27-CR-20-2581_Finding of Incompetency and Order_2023-05-02_20251126180343.pdf</v>
      </c>
      <c r="H70" s="1" t="n">
        <v>9</v>
      </c>
      <c r="I70" s="1" t="s">
        <v>1366</v>
      </c>
      <c r="J70" s="1" t="n">
        <v>3</v>
      </c>
      <c r="K70" s="2" t="s">
        <v>2268</v>
      </c>
      <c r="L70" s="2" t="s">
        <v>2269</v>
      </c>
      <c r="M70" s="1" t="s">
        <v>1366</v>
      </c>
      <c r="N70" s="1" t="n">
        <v>2</v>
      </c>
      <c r="O70" s="2" t="n">
        <v>15.21</v>
      </c>
      <c r="P70" s="2" t="n">
        <v>98.32</v>
      </c>
      <c r="Q70" s="2" t="n">
        <v>45.35</v>
      </c>
      <c r="R70" s="1" t="n">
        <v>3</v>
      </c>
      <c r="S70" s="1" t="n">
        <v>0</v>
      </c>
      <c r="T70" s="1" t="s">
        <v>1360</v>
      </c>
      <c r="U70" s="1" t="n">
        <v>5</v>
      </c>
      <c r="V70" s="1" t="n">
        <v>3</v>
      </c>
    </row>
    <row r="71" customFormat="false" ht="18.7" hidden="false" customHeight="true" outlineLevel="0" collapsed="false">
      <c r="A71" s="1" t="n">
        <v>70</v>
      </c>
      <c r="B71" s="7" t="str">
        <f aca="false">HYPERLINK("https://mncourtfraud.com/file/27-CR-20-2581.pdf","27-CR-20-2581")</f>
        <v>27-CR-20-2581</v>
      </c>
      <c r="C71" s="1" t="n">
        <v>1</v>
      </c>
      <c r="D71" s="2" t="s">
        <v>12</v>
      </c>
      <c r="E71" s="8" t="n">
        <v>44103</v>
      </c>
      <c r="F71" s="2" t="s">
        <v>19</v>
      </c>
      <c r="G71" s="7" t="str">
        <f aca="false">HYPERLINK("https://mncourtfraud.com/file/MCRO_27-CR-20-2581_Findings and Order_2020-09-29_20251126180408.pdf","MCRO_27-CR-20-2581_Findings and Order_2020-09-29_20251126180408.pdf")</f>
        <v>MCRO_27-CR-20-2581_Findings and Order_2020-09-29_20251126180408.pdf</v>
      </c>
      <c r="H71" s="1" t="n">
        <v>4</v>
      </c>
      <c r="I71" s="1" t="s">
        <v>1360</v>
      </c>
      <c r="J71" s="1" t="n">
        <v>1</v>
      </c>
      <c r="K71" s="2" t="s">
        <v>1362</v>
      </c>
      <c r="L71" s="2" t="s">
        <v>1364</v>
      </c>
      <c r="M71" s="1" t="s">
        <v>1360</v>
      </c>
      <c r="N71" s="1" t="n">
        <v>0</v>
      </c>
      <c r="O71" s="2" t="n">
        <v>95.11</v>
      </c>
      <c r="P71" s="2" t="n">
        <v>95.11</v>
      </c>
      <c r="Q71" s="2" t="n">
        <v>95.11</v>
      </c>
      <c r="R71" s="1" t="n">
        <v>1</v>
      </c>
      <c r="S71" s="1" t="n">
        <v>0</v>
      </c>
      <c r="T71" s="1" t="s">
        <v>1360</v>
      </c>
      <c r="U71" s="1" t="n">
        <v>4</v>
      </c>
      <c r="V71" s="1" t="n">
        <v>0</v>
      </c>
    </row>
    <row r="72" customFormat="false" ht="18.7" hidden="false" customHeight="true" outlineLevel="0" collapsed="false">
      <c r="A72" s="1" t="n">
        <v>71</v>
      </c>
      <c r="B72" s="7" t="str">
        <f aca="false">HYPERLINK("https://mncourtfraud.com/file/27-CR-20-2581.pdf","27-CR-20-2581")</f>
        <v>27-CR-20-2581</v>
      </c>
      <c r="C72" s="1" t="n">
        <v>1</v>
      </c>
      <c r="D72" s="2" t="s">
        <v>12</v>
      </c>
      <c r="E72" s="8" t="n">
        <v>44439</v>
      </c>
      <c r="F72" s="2" t="s">
        <v>19</v>
      </c>
      <c r="G72" s="7" t="str">
        <f aca="false">HYPERLINK("https://mncourtfraud.com/file/MCRO_27-CR-20-2581_Findings and Order_2021-08-31_20251126180418.pdf","MCRO_27-CR-20-2581_Findings and Order_2021-08-31_20251126180418.pdf")</f>
        <v>MCRO_27-CR-20-2581_Findings and Order_2021-08-31_20251126180418.pdf</v>
      </c>
      <c r="H72" s="1" t="n">
        <v>5</v>
      </c>
      <c r="I72" s="1" t="s">
        <v>1366</v>
      </c>
      <c r="J72" s="1" t="n">
        <v>2</v>
      </c>
      <c r="K72" s="2" t="s">
        <v>2267</v>
      </c>
      <c r="L72" s="2" t="s">
        <v>1364</v>
      </c>
      <c r="M72" s="1" t="s">
        <v>1366</v>
      </c>
      <c r="N72" s="1" t="n">
        <v>1</v>
      </c>
      <c r="O72" s="2" t="n">
        <v>39.94</v>
      </c>
      <c r="P72" s="2" t="n">
        <v>95.64</v>
      </c>
      <c r="Q72" s="2" t="n">
        <v>67.79</v>
      </c>
      <c r="R72" s="1" t="n">
        <v>2</v>
      </c>
      <c r="S72" s="1" t="n">
        <v>0</v>
      </c>
      <c r="T72" s="1" t="s">
        <v>1360</v>
      </c>
      <c r="U72" s="1" t="n">
        <v>2</v>
      </c>
      <c r="V72" s="1" t="n">
        <v>0</v>
      </c>
    </row>
    <row r="73" customFormat="false" ht="18.7" hidden="false" customHeight="true" outlineLevel="0" collapsed="false">
      <c r="A73" s="1" t="n">
        <v>72</v>
      </c>
      <c r="B73" s="7" t="str">
        <f aca="false">HYPERLINK("https://mncourtfraud.com/file/27-CR-20-2581.pdf","27-CR-20-2581")</f>
        <v>27-CR-20-2581</v>
      </c>
      <c r="C73" s="1" t="n">
        <v>1</v>
      </c>
      <c r="D73" s="2" t="s">
        <v>12</v>
      </c>
      <c r="E73" s="8" t="n">
        <v>44593</v>
      </c>
      <c r="F73" s="2" t="s">
        <v>19</v>
      </c>
      <c r="G73" s="7" t="str">
        <f aca="false">HYPERLINK("https://mncourtfraud.com/file/MCRO_27-CR-20-2581_Findings and Order_2022-02-01_20251126180358.pdf","MCRO_27-CR-20-2581_Findings and Order_2022-02-01_20251126180358.pdf")</f>
        <v>MCRO_27-CR-20-2581_Findings and Order_2022-02-01_20251126180358.pdf</v>
      </c>
      <c r="H73" s="1" t="n">
        <v>4</v>
      </c>
      <c r="I73" s="1" t="s">
        <v>1360</v>
      </c>
      <c r="J73" s="1" t="n">
        <v>2</v>
      </c>
      <c r="K73" s="2" t="s">
        <v>2267</v>
      </c>
      <c r="L73" s="2" t="s">
        <v>1364</v>
      </c>
      <c r="M73" s="1" t="s">
        <v>1366</v>
      </c>
      <c r="N73" s="1" t="n">
        <v>1</v>
      </c>
      <c r="O73" s="2" t="n">
        <v>47.77</v>
      </c>
      <c r="P73" s="2" t="n">
        <v>95.47</v>
      </c>
      <c r="Q73" s="2" t="n">
        <v>71.62</v>
      </c>
      <c r="R73" s="1" t="n">
        <v>2</v>
      </c>
      <c r="S73" s="1" t="n">
        <v>0</v>
      </c>
      <c r="T73" s="1" t="s">
        <v>1360</v>
      </c>
      <c r="U73" s="1" t="n">
        <v>2</v>
      </c>
      <c r="V73" s="1" t="n">
        <v>0</v>
      </c>
    </row>
    <row r="74" customFormat="false" ht="18.7" hidden="false" customHeight="true" outlineLevel="0" collapsed="false">
      <c r="A74" s="1" t="n">
        <v>73</v>
      </c>
      <c r="B74" s="7" t="str">
        <f aca="false">HYPERLINK("https://mncourtfraud.com/file/27-CR-20-2581.pdf","27-CR-20-2581")</f>
        <v>27-CR-20-2581</v>
      </c>
      <c r="C74" s="1" t="n">
        <v>1</v>
      </c>
      <c r="D74" s="2" t="s">
        <v>12</v>
      </c>
      <c r="E74" s="8" t="n">
        <v>45093</v>
      </c>
      <c r="F74" s="2" t="s">
        <v>82</v>
      </c>
      <c r="G74" s="7" t="str">
        <f aca="false">HYPERLINK("https://mncourtfraud.com/file/MCRO_27-CR-20-2581_Notice of Case Reassignment_2023-06-16_20251126180444.pdf","MCRO_27-CR-20-2581_Notice of Case Reassignment_2023-06-16_20251126180444.pdf")</f>
        <v>MCRO_27-CR-20-2581_Notice of Case Reassignment_2023-06-16_20251126180444.pdf</v>
      </c>
      <c r="H74" s="1" t="n">
        <v>3</v>
      </c>
      <c r="I74" s="1" t="s">
        <v>1360</v>
      </c>
      <c r="J74" s="1" t="n">
        <v>1</v>
      </c>
      <c r="K74" s="2" t="s">
        <v>1362</v>
      </c>
      <c r="L74" s="2" t="s">
        <v>1364</v>
      </c>
      <c r="M74" s="1" t="s">
        <v>1360</v>
      </c>
      <c r="N74" s="1" t="n">
        <v>0</v>
      </c>
      <c r="O74" s="2" t="n">
        <v>85.58</v>
      </c>
      <c r="P74" s="2" t="n">
        <v>85.58</v>
      </c>
      <c r="Q74" s="2" t="n">
        <v>85.58</v>
      </c>
      <c r="R74" s="1" t="n">
        <v>1</v>
      </c>
      <c r="S74" s="1" t="n">
        <v>0</v>
      </c>
      <c r="T74" s="1" t="s">
        <v>1360</v>
      </c>
      <c r="U74" s="1" t="n">
        <v>3</v>
      </c>
      <c r="V74" s="1" t="n">
        <v>0</v>
      </c>
    </row>
    <row r="75" customFormat="false" ht="18.7" hidden="false" customHeight="true" outlineLevel="0" collapsed="false">
      <c r="A75" s="1" t="n">
        <v>74</v>
      </c>
      <c r="B75" s="7" t="str">
        <f aca="false">HYPERLINK("https://mncourtfraud.com/file/27-CR-20-2581.pdf","27-CR-20-2581")</f>
        <v>27-CR-20-2581</v>
      </c>
      <c r="C75" s="1" t="n">
        <v>1</v>
      </c>
      <c r="D75" s="2" t="s">
        <v>12</v>
      </c>
      <c r="E75" s="8" t="n">
        <v>44225</v>
      </c>
      <c r="F75" s="2" t="s">
        <v>15</v>
      </c>
      <c r="G75" s="7" t="str">
        <f aca="false">HYPERLINK("https://mncourtfraud.com/file/MCRO_27-CR-20-2581_Order-Evaluation for Competency to Proceed (Rule 20.01)_2021-01-29_20251126180652.pdf","MCRO_27-CR-20-2581_Order-Evaluation for Competency to Proceed (Rule 20.01)_2021-01-29_20251126180652.pdf")</f>
        <v>MCRO_27-CR-20-2581_Order-Evaluation for Competency to Proceed (Rule 20.01)_2021-01-29_20251126180652.pdf</v>
      </c>
      <c r="H75" s="1" t="n">
        <v>3</v>
      </c>
      <c r="I75" s="1" t="s">
        <v>1360</v>
      </c>
      <c r="J75" s="1" t="n">
        <v>1</v>
      </c>
      <c r="K75" s="2" t="s">
        <v>1362</v>
      </c>
      <c r="L75" s="2" t="s">
        <v>1364</v>
      </c>
      <c r="M75" s="1" t="s">
        <v>1360</v>
      </c>
      <c r="N75" s="1" t="n">
        <v>0</v>
      </c>
      <c r="O75" s="2" t="n">
        <v>96.39</v>
      </c>
      <c r="P75" s="2" t="n">
        <v>96.39</v>
      </c>
      <c r="Q75" s="2" t="n">
        <v>96.39</v>
      </c>
      <c r="R75" s="1" t="n">
        <v>1</v>
      </c>
      <c r="S75" s="1" t="n">
        <v>0</v>
      </c>
      <c r="T75" s="1" t="s">
        <v>1360</v>
      </c>
      <c r="U75" s="1" t="n">
        <v>3</v>
      </c>
      <c r="V75" s="1" t="n">
        <v>0</v>
      </c>
    </row>
    <row r="76" customFormat="false" ht="18.7" hidden="false" customHeight="true" outlineLevel="0" collapsed="false">
      <c r="A76" s="1" t="n">
        <v>75</v>
      </c>
      <c r="B76" s="7" t="str">
        <f aca="false">HYPERLINK("https://mncourtfraud.com/file/27-CR-20-2581.pdf","27-CR-20-2581")</f>
        <v>27-CR-20-2581</v>
      </c>
      <c r="C76" s="1" t="n">
        <v>1</v>
      </c>
      <c r="D76" s="2" t="s">
        <v>12</v>
      </c>
      <c r="E76" s="8" t="n">
        <v>44396</v>
      </c>
      <c r="F76" s="2" t="s">
        <v>15</v>
      </c>
      <c r="G76" s="7" t="str">
        <f aca="false">HYPERLINK("https://mncourtfraud.com/file/MCRO_27-CR-20-2581_Order-Evaluation for Competency to Proceed (Rule 20.01)_2021-07-19_20251126180534.pdf","MCRO_27-CR-20-2581_Order-Evaluation for Competency to Proceed (Rule 20.01)_2021-07-19_20251126180534.pdf")</f>
        <v>MCRO_27-CR-20-2581_Order-Evaluation for Competency to Proceed (Rule 20.01)_2021-07-19_20251126180534.pdf</v>
      </c>
      <c r="H76" s="1" t="n">
        <v>4</v>
      </c>
      <c r="I76" s="1" t="s">
        <v>1360</v>
      </c>
      <c r="J76" s="1" t="n">
        <v>1</v>
      </c>
      <c r="K76" s="2" t="s">
        <v>1362</v>
      </c>
      <c r="L76" s="2" t="s">
        <v>1364</v>
      </c>
      <c r="M76" s="1" t="s">
        <v>1360</v>
      </c>
      <c r="N76" s="1" t="n">
        <v>0</v>
      </c>
      <c r="O76" s="2" t="n">
        <v>91.52</v>
      </c>
      <c r="P76" s="2" t="n">
        <v>91.52</v>
      </c>
      <c r="Q76" s="2" t="n">
        <v>91.52</v>
      </c>
      <c r="R76" s="1" t="n">
        <v>1</v>
      </c>
      <c r="S76" s="1" t="n">
        <v>0</v>
      </c>
      <c r="T76" s="1" t="s">
        <v>1360</v>
      </c>
      <c r="U76" s="1" t="n">
        <v>4</v>
      </c>
      <c r="V76" s="1" t="n">
        <v>0</v>
      </c>
    </row>
    <row r="77" customFormat="false" ht="18.7" hidden="false" customHeight="true" outlineLevel="0" collapsed="false">
      <c r="A77" s="1" t="n">
        <v>76</v>
      </c>
      <c r="B77" s="7" t="str">
        <f aca="false">HYPERLINK("https://mncourtfraud.com/file/27-CR-20-2581.pdf","27-CR-20-2581")</f>
        <v>27-CR-20-2581</v>
      </c>
      <c r="C77" s="1" t="n">
        <v>1</v>
      </c>
      <c r="D77" s="2" t="s">
        <v>12</v>
      </c>
      <c r="E77" s="8" t="n">
        <v>44543</v>
      </c>
      <c r="F77" s="2" t="s">
        <v>15</v>
      </c>
      <c r="G77" s="7" t="str">
        <f aca="false">HYPERLINK("https://mncourtfraud.com/file/MCRO_27-CR-20-2581_Order-Evaluation for Competency to Proceed (Rule 20.01)_2021-12-13_20251126180544.pdf","MCRO_27-CR-20-2581_Order-Evaluation for Competency to Proceed (Rule 20.01)_2021-12-13_20251126180544.pdf")</f>
        <v>MCRO_27-CR-20-2581_Order-Evaluation for Competency to Proceed (Rule 20.01)_2021-12-13_20251126180544.pdf</v>
      </c>
      <c r="H77" s="1" t="n">
        <v>3</v>
      </c>
      <c r="I77" s="1" t="s">
        <v>1360</v>
      </c>
      <c r="J77" s="1" t="n">
        <v>1</v>
      </c>
      <c r="K77" s="2" t="s">
        <v>1362</v>
      </c>
      <c r="L77" s="2" t="s">
        <v>1364</v>
      </c>
      <c r="M77" s="1" t="s">
        <v>1360</v>
      </c>
      <c r="N77" s="1" t="n">
        <v>0</v>
      </c>
      <c r="O77" s="2" t="n">
        <v>92.99</v>
      </c>
      <c r="P77" s="2" t="n">
        <v>92.99</v>
      </c>
      <c r="Q77" s="2" t="n">
        <v>92.99</v>
      </c>
      <c r="R77" s="1" t="n">
        <v>1</v>
      </c>
      <c r="S77" s="1" t="n">
        <v>0</v>
      </c>
      <c r="T77" s="1" t="s">
        <v>1360</v>
      </c>
      <c r="U77" s="1" t="n">
        <v>3</v>
      </c>
      <c r="V77" s="1" t="n">
        <v>0</v>
      </c>
    </row>
    <row r="78" customFormat="false" ht="18.7" hidden="false" customHeight="true" outlineLevel="0" collapsed="false">
      <c r="A78" s="1" t="n">
        <v>77</v>
      </c>
      <c r="B78" s="7" t="str">
        <f aca="false">HYPERLINK("https://mncourtfraud.com/file/27-CR-20-2581.pdf","27-CR-20-2581")</f>
        <v>27-CR-20-2581</v>
      </c>
      <c r="C78" s="1" t="n">
        <v>1</v>
      </c>
      <c r="D78" s="2" t="s">
        <v>12</v>
      </c>
      <c r="E78" s="8" t="n">
        <v>44558</v>
      </c>
      <c r="F78" s="2" t="s">
        <v>15</v>
      </c>
      <c r="G78" s="7" t="str">
        <f aca="false">HYPERLINK("https://mncourtfraud.com/file/MCRO_27-CR-20-2581_Order-Evaluation for Competency to Proceed (Rule 20.01)_2021-12-28_20251126180556.pdf","MCRO_27-CR-20-2581_Order-Evaluation for Competency to Proceed (Rule 20.01)_2021-12-28_20251126180556.pdf")</f>
        <v>MCRO_27-CR-20-2581_Order-Evaluation for Competency to Proceed (Rule 20.01)_2021-12-28_20251126180556.pdf</v>
      </c>
      <c r="H78" s="1" t="n">
        <v>4</v>
      </c>
      <c r="I78" s="1" t="s">
        <v>1360</v>
      </c>
      <c r="J78" s="1" t="n">
        <v>1</v>
      </c>
      <c r="K78" s="2" t="s">
        <v>1362</v>
      </c>
      <c r="L78" s="2" t="s">
        <v>1364</v>
      </c>
      <c r="M78" s="1" t="s">
        <v>1360</v>
      </c>
      <c r="N78" s="1" t="n">
        <v>0</v>
      </c>
      <c r="O78" s="2" t="n">
        <v>93.86</v>
      </c>
      <c r="P78" s="2" t="n">
        <v>93.86</v>
      </c>
      <c r="Q78" s="2" t="n">
        <v>93.86</v>
      </c>
      <c r="R78" s="1" t="n">
        <v>1</v>
      </c>
      <c r="S78" s="1" t="n">
        <v>0</v>
      </c>
      <c r="T78" s="1" t="s">
        <v>1360</v>
      </c>
      <c r="U78" s="1" t="n">
        <v>4</v>
      </c>
      <c r="V78" s="1" t="n">
        <v>0</v>
      </c>
    </row>
    <row r="79" customFormat="false" ht="18.7" hidden="false" customHeight="true" outlineLevel="0" collapsed="false">
      <c r="A79" s="1" t="n">
        <v>78</v>
      </c>
      <c r="B79" s="7" t="str">
        <f aca="false">HYPERLINK("https://mncourtfraud.com/file/27-CR-20-2581.pdf","27-CR-20-2581")</f>
        <v>27-CR-20-2581</v>
      </c>
      <c r="C79" s="1" t="n">
        <v>1</v>
      </c>
      <c r="D79" s="2" t="s">
        <v>12</v>
      </c>
      <c r="E79" s="8" t="n">
        <v>44692</v>
      </c>
      <c r="F79" s="2" t="s">
        <v>15</v>
      </c>
      <c r="G79" s="7" t="str">
        <f aca="false">HYPERLINK("https://mncourtfraud.com/file/MCRO_27-CR-20-2581_Order-Evaluation for Competency to Proceed (Rule 20.01)_2022-05-11_20251126180606.pdf","MCRO_27-CR-20-2581_Order-Evaluation for Competency to Proceed (Rule 20.01)_2022-05-11_20251126180606.pdf")</f>
        <v>MCRO_27-CR-20-2581_Order-Evaluation for Competency to Proceed (Rule 20.01)_2022-05-11_20251126180606.pdf</v>
      </c>
      <c r="H79" s="1" t="n">
        <v>3</v>
      </c>
      <c r="I79" s="1" t="s">
        <v>1360</v>
      </c>
      <c r="J79" s="1" t="n">
        <v>1</v>
      </c>
      <c r="K79" s="2" t="s">
        <v>1362</v>
      </c>
      <c r="L79" s="2" t="s">
        <v>1364</v>
      </c>
      <c r="M79" s="1" t="s">
        <v>1360</v>
      </c>
      <c r="N79" s="1" t="n">
        <v>0</v>
      </c>
      <c r="O79" s="2" t="n">
        <v>93.17</v>
      </c>
      <c r="P79" s="2" t="n">
        <v>93.17</v>
      </c>
      <c r="Q79" s="2" t="n">
        <v>93.17</v>
      </c>
      <c r="R79" s="1" t="n">
        <v>1</v>
      </c>
      <c r="S79" s="1" t="n">
        <v>0</v>
      </c>
      <c r="T79" s="1" t="s">
        <v>1360</v>
      </c>
      <c r="U79" s="1" t="n">
        <v>3</v>
      </c>
      <c r="V79" s="1" t="n">
        <v>0</v>
      </c>
    </row>
    <row r="80" customFormat="false" ht="18.7" hidden="false" customHeight="true" outlineLevel="0" collapsed="false">
      <c r="A80" s="1" t="n">
        <v>79</v>
      </c>
      <c r="B80" s="7" t="str">
        <f aca="false">HYPERLINK("https://mncourtfraud.com/file/27-CR-20-2581.pdf","27-CR-20-2581")</f>
        <v>27-CR-20-2581</v>
      </c>
      <c r="C80" s="1" t="n">
        <v>1</v>
      </c>
      <c r="D80" s="2" t="s">
        <v>12</v>
      </c>
      <c r="E80" s="8" t="n">
        <v>44895</v>
      </c>
      <c r="F80" s="2" t="s">
        <v>15</v>
      </c>
      <c r="G80" s="7" t="str">
        <f aca="false">HYPERLINK("https://mncourtfraud.com/file/MCRO_27-CR-20-2581_Order-Evaluation for Competency to Proceed (Rule 20.01)_2022-11-30_20251126180618.pdf","MCRO_27-CR-20-2581_Order-Evaluation for Competency to Proceed (Rule 20.01)_2022-11-30_20251126180618.pdf")</f>
        <v>MCRO_27-CR-20-2581_Order-Evaluation for Competency to Proceed (Rule 20.01)_2022-11-30_20251126180618.pdf</v>
      </c>
      <c r="H80" s="1" t="n">
        <v>4</v>
      </c>
      <c r="I80" s="1" t="s">
        <v>1360</v>
      </c>
      <c r="J80" s="1" t="n">
        <v>1</v>
      </c>
      <c r="K80" s="2" t="s">
        <v>1362</v>
      </c>
      <c r="L80" s="2" t="s">
        <v>1364</v>
      </c>
      <c r="M80" s="1" t="s">
        <v>1360</v>
      </c>
      <c r="N80" s="1" t="n">
        <v>0</v>
      </c>
      <c r="O80" s="2" t="n">
        <v>97.99</v>
      </c>
      <c r="P80" s="2" t="n">
        <v>97.99</v>
      </c>
      <c r="Q80" s="2" t="n">
        <v>97.99</v>
      </c>
      <c r="R80" s="1" t="n">
        <v>1</v>
      </c>
      <c r="S80" s="1" t="n">
        <v>0</v>
      </c>
      <c r="T80" s="1" t="s">
        <v>1360</v>
      </c>
      <c r="U80" s="1" t="n">
        <v>4</v>
      </c>
      <c r="V80" s="1" t="n">
        <v>0</v>
      </c>
    </row>
    <row r="81" customFormat="false" ht="18.7" hidden="false" customHeight="true" outlineLevel="0" collapsed="false">
      <c r="A81" s="1" t="n">
        <v>80</v>
      </c>
      <c r="B81" s="7" t="str">
        <f aca="false">HYPERLINK("https://mncourtfraud.com/file/27-CR-20-2581.pdf","27-CR-20-2581")</f>
        <v>27-CR-20-2581</v>
      </c>
      <c r="C81" s="1" t="n">
        <v>1</v>
      </c>
      <c r="D81" s="2" t="s">
        <v>12</v>
      </c>
      <c r="E81" s="8" t="n">
        <v>45160</v>
      </c>
      <c r="F81" s="2" t="s">
        <v>15</v>
      </c>
      <c r="G81" s="7" t="str">
        <f aca="false">HYPERLINK("https://mncourtfraud.com/file/MCRO_27-CR-20-2581_Order-Evaluation for Competency to Proceed (Rule 20.01)_2023-08-22_20251126180632.pdf","MCRO_27-CR-20-2581_Order-Evaluation for Competency to Proceed (Rule 20.01)_2023-08-22_20251126180632.pdf")</f>
        <v>MCRO_27-CR-20-2581_Order-Evaluation for Competency to Proceed (Rule 20.01)_2023-08-22_20251126180632.pdf</v>
      </c>
      <c r="H81" s="1" t="n">
        <v>6</v>
      </c>
      <c r="I81" s="1" t="s">
        <v>1366</v>
      </c>
      <c r="J81" s="1" t="n">
        <v>2</v>
      </c>
      <c r="K81" s="2" t="s">
        <v>2270</v>
      </c>
      <c r="L81" s="2" t="s">
        <v>2269</v>
      </c>
      <c r="M81" s="1" t="s">
        <v>1366</v>
      </c>
      <c r="N81" s="1" t="n">
        <v>1</v>
      </c>
      <c r="O81" s="2" t="n">
        <v>23.95</v>
      </c>
      <c r="P81" s="2" t="n">
        <v>98.13</v>
      </c>
      <c r="Q81" s="2" t="n">
        <v>61.04</v>
      </c>
      <c r="R81" s="1" t="n">
        <v>2</v>
      </c>
      <c r="S81" s="1" t="n">
        <v>0</v>
      </c>
      <c r="T81" s="1" t="s">
        <v>1360</v>
      </c>
      <c r="U81" s="1" t="n">
        <v>3</v>
      </c>
      <c r="V81" s="1" t="n">
        <v>3</v>
      </c>
    </row>
    <row r="82" customFormat="false" ht="18.7" hidden="false" customHeight="true" outlineLevel="0" collapsed="false">
      <c r="A82" s="1" t="n">
        <v>81</v>
      </c>
      <c r="B82" s="7" t="str">
        <f aca="false">HYPERLINK("https://mncourtfraud.com/file/27-CR-20-2581.pdf","27-CR-20-2581")</f>
        <v>27-CR-20-2581</v>
      </c>
      <c r="C82" s="1" t="n">
        <v>1</v>
      </c>
      <c r="D82" s="2" t="s">
        <v>12</v>
      </c>
      <c r="E82" s="8" t="n">
        <v>44460</v>
      </c>
      <c r="F82" s="2" t="s">
        <v>24</v>
      </c>
      <c r="G82" s="7" t="str">
        <f aca="false">HYPERLINK("https://mncourtfraud.com/file/MCRO_27-CR-20-2581_Order for Conditional Release_2021-09-21_20251126180509.pdf","MCRO_27-CR-20-2581_Order for Conditional Release_2021-09-21_20251126180509.pdf")</f>
        <v>MCRO_27-CR-20-2581_Order for Conditional Release_2021-09-21_20251126180509.pdf</v>
      </c>
      <c r="H82" s="1" t="n">
        <v>4</v>
      </c>
      <c r="I82" s="1" t="s">
        <v>1360</v>
      </c>
      <c r="J82" s="1" t="n">
        <v>1</v>
      </c>
      <c r="K82" s="2" t="s">
        <v>1362</v>
      </c>
      <c r="L82" s="2" t="s">
        <v>1364</v>
      </c>
      <c r="M82" s="1" t="s">
        <v>1360</v>
      </c>
      <c r="N82" s="1" t="n">
        <v>0</v>
      </c>
      <c r="O82" s="2" t="n">
        <v>84.52</v>
      </c>
      <c r="P82" s="2" t="n">
        <v>84.52</v>
      </c>
      <c r="Q82" s="2" t="n">
        <v>84.52</v>
      </c>
      <c r="R82" s="1" t="n">
        <v>1</v>
      </c>
      <c r="S82" s="1" t="n">
        <v>0</v>
      </c>
      <c r="T82" s="1" t="s">
        <v>1360</v>
      </c>
      <c r="U82" s="1" t="n">
        <v>4</v>
      </c>
      <c r="V82" s="1" t="n">
        <v>0</v>
      </c>
    </row>
    <row r="83" customFormat="false" ht="18.7" hidden="false" customHeight="true" outlineLevel="0" collapsed="false">
      <c r="A83" s="1" t="n">
        <v>82</v>
      </c>
      <c r="B83" s="7" t="str">
        <f aca="false">HYPERLINK("https://mncourtfraud.com/file/27-CR-20-2581.pdf","27-CR-20-2581")</f>
        <v>27-CR-20-2581</v>
      </c>
      <c r="C83" s="1" t="n">
        <v>1</v>
      </c>
      <c r="D83" s="2" t="s">
        <v>12</v>
      </c>
      <c r="E83" s="8" t="n">
        <v>44468</v>
      </c>
      <c r="F83" s="2" t="s">
        <v>24</v>
      </c>
      <c r="G83" s="7" t="str">
        <f aca="false">HYPERLINK("https://mncourtfraud.com/file/MCRO_27-CR-20-2581_Order for Conditional Release_2021-09-29_20251126180519.pdf","MCRO_27-CR-20-2581_Order for Conditional Release_2021-09-29_20251126180519.pdf")</f>
        <v>MCRO_27-CR-20-2581_Order for Conditional Release_2021-09-29_20251126180519.pdf</v>
      </c>
      <c r="H83" s="1" t="n">
        <v>4</v>
      </c>
      <c r="I83" s="1" t="s">
        <v>1360</v>
      </c>
      <c r="J83" s="1" t="n">
        <v>1</v>
      </c>
      <c r="K83" s="2" t="s">
        <v>1362</v>
      </c>
      <c r="L83" s="2" t="s">
        <v>1364</v>
      </c>
      <c r="M83" s="1" t="s">
        <v>1360</v>
      </c>
      <c r="N83" s="1" t="n">
        <v>0</v>
      </c>
      <c r="O83" s="2" t="n">
        <v>89.21</v>
      </c>
      <c r="P83" s="2" t="n">
        <v>89.21</v>
      </c>
      <c r="Q83" s="2" t="n">
        <v>89.21</v>
      </c>
      <c r="R83" s="1" t="n">
        <v>1</v>
      </c>
      <c r="S83" s="1" t="n">
        <v>0</v>
      </c>
      <c r="T83" s="1" t="s">
        <v>1360</v>
      </c>
      <c r="U83" s="1" t="n">
        <v>4</v>
      </c>
      <c r="V83" s="1" t="n">
        <v>0</v>
      </c>
    </row>
    <row r="84" customFormat="false" ht="18.7" hidden="false" customHeight="true" outlineLevel="0" collapsed="false">
      <c r="A84" s="1" t="n">
        <v>83</v>
      </c>
      <c r="B84" s="7" t="str">
        <f aca="false">HYPERLINK("https://mncourtfraud.com/file/27-CR-20-2581.pdf","27-CR-20-2581")</f>
        <v>27-CR-20-2581</v>
      </c>
      <c r="C84" s="1" t="n">
        <v>1</v>
      </c>
      <c r="D84" s="2" t="s">
        <v>12</v>
      </c>
      <c r="E84" s="8" t="n">
        <v>43970</v>
      </c>
      <c r="F84" s="2" t="s">
        <v>17</v>
      </c>
      <c r="G84" s="7" t="str">
        <f aca="false">HYPERLINK("https://mncourtfraud.com/file/MCRO_27-CR-20-2581_Returned Mail_2020-05-19_20251126180706.pdf","MCRO_27-CR-20-2581_Returned Mail_2020-05-19_20251126180706.pdf")</f>
        <v>MCRO_27-CR-20-2581_Returned Mail_2020-05-19_20251126180706.pdf</v>
      </c>
      <c r="H84" s="1" t="n">
        <v>4</v>
      </c>
      <c r="I84" s="1" t="s">
        <v>1360</v>
      </c>
      <c r="J84" s="1" t="n">
        <v>1</v>
      </c>
      <c r="K84" s="2" t="s">
        <v>1362</v>
      </c>
      <c r="L84" s="2" t="s">
        <v>1364</v>
      </c>
      <c r="M84" s="1" t="s">
        <v>1360</v>
      </c>
      <c r="N84" s="1" t="n">
        <v>0</v>
      </c>
      <c r="O84" s="2" t="n">
        <v>93.77</v>
      </c>
      <c r="P84" s="2" t="n">
        <v>93.77</v>
      </c>
      <c r="Q84" s="2" t="n">
        <v>93.77</v>
      </c>
      <c r="R84" s="1" t="n">
        <v>1</v>
      </c>
      <c r="S84" s="1" t="n">
        <v>0</v>
      </c>
      <c r="T84" s="1" t="s">
        <v>1360</v>
      </c>
      <c r="U84" s="1" t="n">
        <v>4</v>
      </c>
      <c r="V84" s="1" t="n">
        <v>0</v>
      </c>
    </row>
    <row r="85" customFormat="false" ht="18.7" hidden="false" customHeight="true" outlineLevel="0" collapsed="false">
      <c r="A85" s="1" t="n">
        <v>84</v>
      </c>
      <c r="B85" s="7" t="str">
        <f aca="false">HYPERLINK("https://mncourtfraud.com/file/27-CR-20-5618.pdf","27-CR-20-5618")</f>
        <v>27-CR-20-5618</v>
      </c>
      <c r="C85" s="1" t="n">
        <v>1</v>
      </c>
      <c r="D85" s="2" t="s">
        <v>12</v>
      </c>
      <c r="E85" s="8" t="n">
        <v>45048</v>
      </c>
      <c r="F85" s="2" t="s">
        <v>80</v>
      </c>
      <c r="G85" s="7" t="str">
        <f aca="false">HYPERLINK("https://mncourtfraud.com/file/MCRO_27-CR-20-5618_Finding of Incompetency and Order_2023-05-02_20251126180741.pdf","MCRO_27-CR-20-5618_Finding of Incompetency and Order_2023-05-02_20251126180741.pdf")</f>
        <v>MCRO_27-CR-20-5618_Finding of Incompetency and Order_2023-05-02_20251126180741.pdf</v>
      </c>
      <c r="H85" s="1" t="n">
        <v>9</v>
      </c>
      <c r="I85" s="1" t="s">
        <v>1366</v>
      </c>
      <c r="J85" s="1" t="n">
        <v>3</v>
      </c>
      <c r="K85" s="2" t="s">
        <v>2268</v>
      </c>
      <c r="L85" s="2" t="s">
        <v>2269</v>
      </c>
      <c r="M85" s="1" t="s">
        <v>1366</v>
      </c>
      <c r="N85" s="1" t="n">
        <v>2</v>
      </c>
      <c r="O85" s="2" t="n">
        <v>15.21</v>
      </c>
      <c r="P85" s="2" t="n">
        <v>98.32</v>
      </c>
      <c r="Q85" s="2" t="n">
        <v>45.35</v>
      </c>
      <c r="R85" s="1" t="n">
        <v>3</v>
      </c>
      <c r="S85" s="1" t="n">
        <v>0</v>
      </c>
      <c r="T85" s="1" t="s">
        <v>1360</v>
      </c>
      <c r="U85" s="1" t="n">
        <v>5</v>
      </c>
      <c r="V85" s="1" t="n">
        <v>3</v>
      </c>
    </row>
    <row r="86" customFormat="false" ht="18.7" hidden="false" customHeight="true" outlineLevel="0" collapsed="false">
      <c r="A86" s="1" t="n">
        <v>85</v>
      </c>
      <c r="B86" s="7" t="str">
        <f aca="false">HYPERLINK("https://mncourtfraud.com/file/27-CR-20-5618.pdf","27-CR-20-5618")</f>
        <v>27-CR-20-5618</v>
      </c>
      <c r="C86" s="1" t="n">
        <v>1</v>
      </c>
      <c r="D86" s="2" t="s">
        <v>12</v>
      </c>
      <c r="E86" s="8" t="n">
        <v>44103</v>
      </c>
      <c r="F86" s="2" t="s">
        <v>19</v>
      </c>
      <c r="G86" s="7" t="str">
        <f aca="false">HYPERLINK("https://mncourtfraud.com/file/MCRO_27-CR-20-5618_Findings and Order_2020-09-29_20251126180807.pdf","MCRO_27-CR-20-5618_Findings and Order_2020-09-29_20251126180807.pdf")</f>
        <v>MCRO_27-CR-20-5618_Findings and Order_2020-09-29_20251126180807.pdf</v>
      </c>
      <c r="H86" s="1" t="n">
        <v>4</v>
      </c>
      <c r="I86" s="1" t="s">
        <v>1360</v>
      </c>
      <c r="J86" s="1" t="n">
        <v>1</v>
      </c>
      <c r="K86" s="2" t="s">
        <v>1362</v>
      </c>
      <c r="L86" s="2" t="s">
        <v>1364</v>
      </c>
      <c r="M86" s="1" t="s">
        <v>1360</v>
      </c>
      <c r="N86" s="1" t="n">
        <v>0</v>
      </c>
      <c r="O86" s="2" t="n">
        <v>95.11</v>
      </c>
      <c r="P86" s="2" t="n">
        <v>95.11</v>
      </c>
      <c r="Q86" s="2" t="n">
        <v>95.11</v>
      </c>
      <c r="R86" s="1" t="n">
        <v>1</v>
      </c>
      <c r="S86" s="1" t="n">
        <v>0</v>
      </c>
      <c r="T86" s="1" t="s">
        <v>1360</v>
      </c>
      <c r="U86" s="1" t="n">
        <v>4</v>
      </c>
      <c r="V86" s="1" t="n">
        <v>0</v>
      </c>
    </row>
    <row r="87" customFormat="false" ht="18.7" hidden="false" customHeight="true" outlineLevel="0" collapsed="false">
      <c r="A87" s="1" t="n">
        <v>86</v>
      </c>
      <c r="B87" s="7" t="str">
        <f aca="false">HYPERLINK("https://mncourtfraud.com/file/27-CR-20-5618.pdf","27-CR-20-5618")</f>
        <v>27-CR-20-5618</v>
      </c>
      <c r="C87" s="1" t="n">
        <v>1</v>
      </c>
      <c r="D87" s="2" t="s">
        <v>12</v>
      </c>
      <c r="E87" s="8" t="n">
        <v>44439</v>
      </c>
      <c r="F87" s="2" t="s">
        <v>19</v>
      </c>
      <c r="G87" s="7" t="str">
        <f aca="false">HYPERLINK("https://mncourtfraud.com/file/MCRO_27-CR-20-5618_Findings and Order_2021-08-31_20251126180821.pdf","MCRO_27-CR-20-5618_Findings and Order_2021-08-31_20251126180821.pdf")</f>
        <v>MCRO_27-CR-20-5618_Findings and Order_2021-08-31_20251126180821.pdf</v>
      </c>
      <c r="H87" s="1" t="n">
        <v>5</v>
      </c>
      <c r="I87" s="1" t="s">
        <v>1366</v>
      </c>
      <c r="J87" s="1" t="n">
        <v>2</v>
      </c>
      <c r="K87" s="2" t="s">
        <v>2267</v>
      </c>
      <c r="L87" s="2" t="s">
        <v>1364</v>
      </c>
      <c r="M87" s="1" t="s">
        <v>1366</v>
      </c>
      <c r="N87" s="1" t="n">
        <v>1</v>
      </c>
      <c r="O87" s="2" t="n">
        <v>39.94</v>
      </c>
      <c r="P87" s="2" t="n">
        <v>95.64</v>
      </c>
      <c r="Q87" s="2" t="n">
        <v>67.79</v>
      </c>
      <c r="R87" s="1" t="n">
        <v>2</v>
      </c>
      <c r="S87" s="1" t="n">
        <v>0</v>
      </c>
      <c r="T87" s="1" t="s">
        <v>1360</v>
      </c>
      <c r="U87" s="1" t="n">
        <v>2</v>
      </c>
      <c r="V87" s="1" t="n">
        <v>0</v>
      </c>
    </row>
    <row r="88" customFormat="false" ht="18.7" hidden="false" customHeight="true" outlineLevel="0" collapsed="false">
      <c r="A88" s="1" t="n">
        <v>87</v>
      </c>
      <c r="B88" s="7" t="str">
        <f aca="false">HYPERLINK("https://mncourtfraud.com/file/27-CR-20-5618.pdf","27-CR-20-5618")</f>
        <v>27-CR-20-5618</v>
      </c>
      <c r="C88" s="1" t="n">
        <v>1</v>
      </c>
      <c r="D88" s="2" t="s">
        <v>12</v>
      </c>
      <c r="E88" s="8" t="n">
        <v>44593</v>
      </c>
      <c r="F88" s="2" t="s">
        <v>19</v>
      </c>
      <c r="G88" s="7" t="str">
        <f aca="false">HYPERLINK("https://mncourtfraud.com/file/MCRO_27-CR-20-5618_Findings and Order_2022-02-01_20251126180755.pdf","MCRO_27-CR-20-5618_Findings and Order_2022-02-01_20251126180755.pdf")</f>
        <v>MCRO_27-CR-20-5618_Findings and Order_2022-02-01_20251126180755.pdf</v>
      </c>
      <c r="H88" s="1" t="n">
        <v>4</v>
      </c>
      <c r="I88" s="1" t="s">
        <v>1360</v>
      </c>
      <c r="J88" s="1" t="n">
        <v>2</v>
      </c>
      <c r="K88" s="2" t="s">
        <v>2267</v>
      </c>
      <c r="L88" s="2" t="s">
        <v>1364</v>
      </c>
      <c r="M88" s="1" t="s">
        <v>1366</v>
      </c>
      <c r="N88" s="1" t="n">
        <v>1</v>
      </c>
      <c r="O88" s="2" t="n">
        <v>47.77</v>
      </c>
      <c r="P88" s="2" t="n">
        <v>95.47</v>
      </c>
      <c r="Q88" s="2" t="n">
        <v>71.62</v>
      </c>
      <c r="R88" s="1" t="n">
        <v>2</v>
      </c>
      <c r="S88" s="1" t="n">
        <v>0</v>
      </c>
      <c r="T88" s="1" t="s">
        <v>1360</v>
      </c>
      <c r="U88" s="1" t="n">
        <v>2</v>
      </c>
      <c r="V88" s="1" t="n">
        <v>0</v>
      </c>
    </row>
    <row r="89" customFormat="false" ht="18.7" hidden="false" customHeight="true" outlineLevel="0" collapsed="false">
      <c r="A89" s="1" t="n">
        <v>88</v>
      </c>
      <c r="B89" s="7" t="str">
        <f aca="false">HYPERLINK("https://mncourtfraud.com/file/27-CR-20-5618.pdf","27-CR-20-5618")</f>
        <v>27-CR-20-5618</v>
      </c>
      <c r="C89" s="1" t="n">
        <v>1</v>
      </c>
      <c r="D89" s="2" t="s">
        <v>12</v>
      </c>
      <c r="E89" s="8" t="n">
        <v>45093</v>
      </c>
      <c r="F89" s="2" t="s">
        <v>82</v>
      </c>
      <c r="G89" s="7" t="str">
        <f aca="false">HYPERLINK("https://mncourtfraud.com/file/MCRO_27-CR-20-5618_Notice of Case Reassignment_2023-06-16_20251126180834.pdf","MCRO_27-CR-20-5618_Notice of Case Reassignment_2023-06-16_20251126180834.pdf")</f>
        <v>MCRO_27-CR-20-5618_Notice of Case Reassignment_2023-06-16_20251126180834.pdf</v>
      </c>
      <c r="H89" s="1" t="n">
        <v>3</v>
      </c>
      <c r="I89" s="1" t="s">
        <v>1360</v>
      </c>
      <c r="J89" s="1" t="n">
        <v>1</v>
      </c>
      <c r="K89" s="2" t="s">
        <v>1362</v>
      </c>
      <c r="L89" s="2" t="s">
        <v>1364</v>
      </c>
      <c r="M89" s="1" t="s">
        <v>1360</v>
      </c>
      <c r="N89" s="1" t="n">
        <v>0</v>
      </c>
      <c r="O89" s="2" t="n">
        <v>85.58</v>
      </c>
      <c r="P89" s="2" t="n">
        <v>85.58</v>
      </c>
      <c r="Q89" s="2" t="n">
        <v>85.58</v>
      </c>
      <c r="R89" s="1" t="n">
        <v>1</v>
      </c>
      <c r="S89" s="1" t="n">
        <v>0</v>
      </c>
      <c r="T89" s="1" t="s">
        <v>1360</v>
      </c>
      <c r="U89" s="1" t="n">
        <v>3</v>
      </c>
      <c r="V89" s="1" t="n">
        <v>0</v>
      </c>
    </row>
    <row r="90" customFormat="false" ht="18.7" hidden="false" customHeight="true" outlineLevel="0" collapsed="false">
      <c r="A90" s="1" t="n">
        <v>89</v>
      </c>
      <c r="B90" s="7" t="str">
        <f aca="false">HYPERLINK("https://mncourtfraud.com/file/27-CR-20-5618.pdf","27-CR-20-5618")</f>
        <v>27-CR-20-5618</v>
      </c>
      <c r="C90" s="1" t="n">
        <v>1</v>
      </c>
      <c r="D90" s="2" t="s">
        <v>12</v>
      </c>
      <c r="E90" s="8" t="n">
        <v>43902</v>
      </c>
      <c r="F90" s="2" t="s">
        <v>15</v>
      </c>
      <c r="G90" s="7" t="str">
        <f aca="false">HYPERLINK("https://mncourtfraud.com/file/MCRO_27-CR-20-5618_Order-Evaluation for Competency to Proceed (Rule 20.01)_2020-03-12_20251126181032.pdf","MCRO_27-CR-20-5618_Order-Evaluation for Competency to Proceed (Rule 20.01)_2020-03-12_20251126181032.pdf")</f>
        <v>MCRO_27-CR-20-5618_Order-Evaluation for Competency to Proceed (Rule 20.01)_2020-03-12_20251126181032.pdf</v>
      </c>
      <c r="H90" s="1" t="n">
        <v>4</v>
      </c>
      <c r="I90" s="1" t="s">
        <v>1360</v>
      </c>
      <c r="J90" s="1" t="n">
        <v>1</v>
      </c>
      <c r="K90" s="2" t="s">
        <v>1362</v>
      </c>
      <c r="L90" s="2" t="s">
        <v>1364</v>
      </c>
      <c r="M90" s="1" t="s">
        <v>1360</v>
      </c>
      <c r="N90" s="1" t="n">
        <v>0</v>
      </c>
      <c r="O90" s="2" t="n">
        <v>98.62</v>
      </c>
      <c r="P90" s="2" t="n">
        <v>98.62</v>
      </c>
      <c r="Q90" s="2" t="n">
        <v>98.62</v>
      </c>
      <c r="R90" s="1" t="n">
        <v>1</v>
      </c>
      <c r="S90" s="1" t="n">
        <v>0</v>
      </c>
      <c r="T90" s="1" t="s">
        <v>1360</v>
      </c>
      <c r="U90" s="1" t="n">
        <v>4</v>
      </c>
      <c r="V90" s="1" t="n">
        <v>0</v>
      </c>
    </row>
    <row r="91" customFormat="false" ht="18.7" hidden="false" customHeight="true" outlineLevel="0" collapsed="false">
      <c r="A91" s="1" t="n">
        <v>90</v>
      </c>
      <c r="B91" s="7" t="str">
        <f aca="false">HYPERLINK("https://mncourtfraud.com/file/27-CR-20-5618.pdf","27-CR-20-5618")</f>
        <v>27-CR-20-5618</v>
      </c>
      <c r="C91" s="1" t="n">
        <v>1</v>
      </c>
      <c r="D91" s="2" t="s">
        <v>12</v>
      </c>
      <c r="E91" s="8" t="n">
        <v>44225</v>
      </c>
      <c r="F91" s="2" t="s">
        <v>15</v>
      </c>
      <c r="G91" s="7" t="str">
        <f aca="false">HYPERLINK("https://mncourtfraud.com/file/MCRO_27-CR-20-5618_Order-Evaluation for Competency to Proceed (Rule 20.01)_2021-01-29_20251126181045.pdf","MCRO_27-CR-20-5618_Order-Evaluation for Competency to Proceed (Rule 20.01)_2021-01-29_20251126181045.pdf")</f>
        <v>MCRO_27-CR-20-5618_Order-Evaluation for Competency to Proceed (Rule 20.01)_2021-01-29_20251126181045.pdf</v>
      </c>
      <c r="H91" s="1" t="n">
        <v>3</v>
      </c>
      <c r="I91" s="1" t="s">
        <v>1360</v>
      </c>
      <c r="J91" s="1" t="n">
        <v>1</v>
      </c>
      <c r="K91" s="2" t="s">
        <v>1362</v>
      </c>
      <c r="L91" s="2" t="s">
        <v>1364</v>
      </c>
      <c r="M91" s="1" t="s">
        <v>1360</v>
      </c>
      <c r="N91" s="1" t="n">
        <v>0</v>
      </c>
      <c r="O91" s="2" t="n">
        <v>96.39</v>
      </c>
      <c r="P91" s="2" t="n">
        <v>96.39</v>
      </c>
      <c r="Q91" s="2" t="n">
        <v>96.39</v>
      </c>
      <c r="R91" s="1" t="n">
        <v>1</v>
      </c>
      <c r="S91" s="1" t="n">
        <v>0</v>
      </c>
      <c r="T91" s="1" t="s">
        <v>1360</v>
      </c>
      <c r="U91" s="1" t="n">
        <v>3</v>
      </c>
      <c r="V91" s="1" t="n">
        <v>0</v>
      </c>
    </row>
    <row r="92" customFormat="false" ht="18.7" hidden="false" customHeight="true" outlineLevel="0" collapsed="false">
      <c r="A92" s="1" t="n">
        <v>91</v>
      </c>
      <c r="B92" s="7" t="str">
        <f aca="false">HYPERLINK("https://mncourtfraud.com/file/27-CR-20-5618.pdf","27-CR-20-5618")</f>
        <v>27-CR-20-5618</v>
      </c>
      <c r="C92" s="1" t="n">
        <v>1</v>
      </c>
      <c r="D92" s="2" t="s">
        <v>12</v>
      </c>
      <c r="E92" s="8" t="n">
        <v>44396</v>
      </c>
      <c r="F92" s="2" t="s">
        <v>15</v>
      </c>
      <c r="G92" s="7" t="str">
        <f aca="false">HYPERLINK("https://mncourtfraud.com/file/MCRO_27-CR-20-5618_Order-Evaluation for Competency to Proceed (Rule 20.01)_2021-07-19_20251126180920.pdf","MCRO_27-CR-20-5618_Order-Evaluation for Competency to Proceed (Rule 20.01)_2021-07-19_20251126180920.pdf")</f>
        <v>MCRO_27-CR-20-5618_Order-Evaluation for Competency to Proceed (Rule 20.01)_2021-07-19_20251126180920.pdf</v>
      </c>
      <c r="H92" s="1" t="n">
        <v>4</v>
      </c>
      <c r="I92" s="1" t="s">
        <v>1360</v>
      </c>
      <c r="J92" s="1" t="n">
        <v>1</v>
      </c>
      <c r="K92" s="2" t="s">
        <v>1362</v>
      </c>
      <c r="L92" s="2" t="s">
        <v>1364</v>
      </c>
      <c r="M92" s="1" t="s">
        <v>1360</v>
      </c>
      <c r="N92" s="1" t="n">
        <v>0</v>
      </c>
      <c r="O92" s="2" t="n">
        <v>91.66</v>
      </c>
      <c r="P92" s="2" t="n">
        <v>91.66</v>
      </c>
      <c r="Q92" s="2" t="n">
        <v>91.66</v>
      </c>
      <c r="R92" s="1" t="n">
        <v>1</v>
      </c>
      <c r="S92" s="1" t="n">
        <v>0</v>
      </c>
      <c r="T92" s="1" t="s">
        <v>1360</v>
      </c>
      <c r="U92" s="1" t="n">
        <v>4</v>
      </c>
      <c r="V92" s="1" t="n">
        <v>0</v>
      </c>
    </row>
    <row r="93" customFormat="false" ht="18.7" hidden="false" customHeight="true" outlineLevel="0" collapsed="false">
      <c r="A93" s="1" t="n">
        <v>92</v>
      </c>
      <c r="B93" s="7" t="str">
        <f aca="false">HYPERLINK("https://mncourtfraud.com/file/27-CR-20-5618.pdf","27-CR-20-5618")</f>
        <v>27-CR-20-5618</v>
      </c>
      <c r="C93" s="1" t="n">
        <v>1</v>
      </c>
      <c r="D93" s="2" t="s">
        <v>12</v>
      </c>
      <c r="E93" s="8" t="n">
        <v>44543</v>
      </c>
      <c r="F93" s="2" t="s">
        <v>15</v>
      </c>
      <c r="G93" s="7" t="str">
        <f aca="false">HYPERLINK("https://mncourtfraud.com/file/MCRO_27-CR-20-5618_Order-Evaluation for Competency to Proceed (Rule 20.01)_2021-12-13_20251126180931.pdf","MCRO_27-CR-20-5618_Order-Evaluation for Competency to Proceed (Rule 20.01)_2021-12-13_20251126180931.pdf")</f>
        <v>MCRO_27-CR-20-5618_Order-Evaluation for Competency to Proceed (Rule 20.01)_2021-12-13_20251126180931.pdf</v>
      </c>
      <c r="H93" s="1" t="n">
        <v>3</v>
      </c>
      <c r="I93" s="1" t="s">
        <v>1360</v>
      </c>
      <c r="J93" s="1" t="n">
        <v>1</v>
      </c>
      <c r="K93" s="2" t="s">
        <v>1362</v>
      </c>
      <c r="L93" s="2" t="s">
        <v>1364</v>
      </c>
      <c r="M93" s="1" t="s">
        <v>1360</v>
      </c>
      <c r="N93" s="1" t="n">
        <v>0</v>
      </c>
      <c r="O93" s="2" t="n">
        <v>92.99</v>
      </c>
      <c r="P93" s="2" t="n">
        <v>92.99</v>
      </c>
      <c r="Q93" s="2" t="n">
        <v>92.99</v>
      </c>
      <c r="R93" s="1" t="n">
        <v>1</v>
      </c>
      <c r="S93" s="1" t="n">
        <v>0</v>
      </c>
      <c r="T93" s="1" t="s">
        <v>1360</v>
      </c>
      <c r="U93" s="1" t="n">
        <v>3</v>
      </c>
      <c r="V93" s="1" t="n">
        <v>0</v>
      </c>
    </row>
    <row r="94" customFormat="false" ht="18.7" hidden="false" customHeight="true" outlineLevel="0" collapsed="false">
      <c r="A94" s="1" t="n">
        <v>93</v>
      </c>
      <c r="B94" s="7" t="str">
        <f aca="false">HYPERLINK("https://mncourtfraud.com/file/27-CR-20-5618.pdf","27-CR-20-5618")</f>
        <v>27-CR-20-5618</v>
      </c>
      <c r="C94" s="1" t="n">
        <v>1</v>
      </c>
      <c r="D94" s="2" t="s">
        <v>12</v>
      </c>
      <c r="E94" s="8" t="n">
        <v>44558</v>
      </c>
      <c r="F94" s="2" t="s">
        <v>15</v>
      </c>
      <c r="G94" s="7" t="str">
        <f aca="false">HYPERLINK("https://mncourtfraud.com/file/MCRO_27-CR-20-5618_Order-Evaluation for Competency to Proceed (Rule 20.01)_2021-12-28_20251126180947.pdf","MCRO_27-CR-20-5618_Order-Evaluation for Competency to Proceed (Rule 20.01)_2021-12-28_20251126180947.pdf")</f>
        <v>MCRO_27-CR-20-5618_Order-Evaluation for Competency to Proceed (Rule 20.01)_2021-12-28_20251126180947.pdf</v>
      </c>
      <c r="H94" s="1" t="n">
        <v>4</v>
      </c>
      <c r="I94" s="1" t="s">
        <v>1360</v>
      </c>
      <c r="J94" s="1" t="n">
        <v>1</v>
      </c>
      <c r="K94" s="2" t="s">
        <v>1362</v>
      </c>
      <c r="L94" s="2" t="s">
        <v>1364</v>
      </c>
      <c r="M94" s="1" t="s">
        <v>1360</v>
      </c>
      <c r="N94" s="1" t="n">
        <v>0</v>
      </c>
      <c r="O94" s="2" t="n">
        <v>93.85</v>
      </c>
      <c r="P94" s="2" t="n">
        <v>93.85</v>
      </c>
      <c r="Q94" s="2" t="n">
        <v>93.85</v>
      </c>
      <c r="R94" s="1" t="n">
        <v>1</v>
      </c>
      <c r="S94" s="1" t="n">
        <v>0</v>
      </c>
      <c r="T94" s="1" t="s">
        <v>1360</v>
      </c>
      <c r="U94" s="1" t="n">
        <v>4</v>
      </c>
      <c r="V94" s="1" t="n">
        <v>0</v>
      </c>
    </row>
    <row r="95" customFormat="false" ht="18.7" hidden="false" customHeight="true" outlineLevel="0" collapsed="false">
      <c r="A95" s="1" t="n">
        <v>94</v>
      </c>
      <c r="B95" s="7" t="str">
        <f aca="false">HYPERLINK("https://mncourtfraud.com/file/27-CR-20-5618.pdf","27-CR-20-5618")</f>
        <v>27-CR-20-5618</v>
      </c>
      <c r="C95" s="1" t="n">
        <v>1</v>
      </c>
      <c r="D95" s="2" t="s">
        <v>12</v>
      </c>
      <c r="E95" s="8" t="n">
        <v>44692</v>
      </c>
      <c r="F95" s="2" t="s">
        <v>15</v>
      </c>
      <c r="G95" s="7" t="str">
        <f aca="false">HYPERLINK("https://mncourtfraud.com/file/MCRO_27-CR-20-5618_Order-Evaluation for Competency to Proceed (Rule 20.01)_2022-05-11_20251126180958.pdf","MCRO_27-CR-20-5618_Order-Evaluation for Competency to Proceed (Rule 20.01)_2022-05-11_20251126180958.pdf")</f>
        <v>MCRO_27-CR-20-5618_Order-Evaluation for Competency to Proceed (Rule 20.01)_2022-05-11_20251126180958.pdf</v>
      </c>
      <c r="H95" s="1" t="n">
        <v>3</v>
      </c>
      <c r="I95" s="1" t="s">
        <v>1360</v>
      </c>
      <c r="J95" s="1" t="n">
        <v>1</v>
      </c>
      <c r="K95" s="2" t="s">
        <v>1362</v>
      </c>
      <c r="L95" s="2" t="s">
        <v>1364</v>
      </c>
      <c r="M95" s="1" t="s">
        <v>1360</v>
      </c>
      <c r="N95" s="1" t="n">
        <v>0</v>
      </c>
      <c r="O95" s="2" t="n">
        <v>93.17</v>
      </c>
      <c r="P95" s="2" t="n">
        <v>93.17</v>
      </c>
      <c r="Q95" s="2" t="n">
        <v>93.17</v>
      </c>
      <c r="R95" s="1" t="n">
        <v>1</v>
      </c>
      <c r="S95" s="1" t="n">
        <v>0</v>
      </c>
      <c r="T95" s="1" t="s">
        <v>1360</v>
      </c>
      <c r="U95" s="1" t="n">
        <v>3</v>
      </c>
      <c r="V95" s="1" t="n">
        <v>0</v>
      </c>
    </row>
    <row r="96" customFormat="false" ht="18.7" hidden="false" customHeight="true" outlineLevel="0" collapsed="false">
      <c r="A96" s="1" t="n">
        <v>95</v>
      </c>
      <c r="B96" s="7" t="str">
        <f aca="false">HYPERLINK("https://mncourtfraud.com/file/27-CR-20-5618.pdf","27-CR-20-5618")</f>
        <v>27-CR-20-5618</v>
      </c>
      <c r="C96" s="1" t="n">
        <v>1</v>
      </c>
      <c r="D96" s="2" t="s">
        <v>12</v>
      </c>
      <c r="E96" s="8" t="n">
        <v>44895</v>
      </c>
      <c r="F96" s="2" t="s">
        <v>15</v>
      </c>
      <c r="G96" s="7" t="str">
        <f aca="false">HYPERLINK("https://mncourtfraud.com/file/MCRO_27-CR-20-5618_Order-Evaluation for Competency to Proceed (Rule 20.01)_2022-11-30_20251126181007.pdf","MCRO_27-CR-20-5618_Order-Evaluation for Competency to Proceed (Rule 20.01)_2022-11-30_20251126181007.pdf")</f>
        <v>MCRO_27-CR-20-5618_Order-Evaluation for Competency to Proceed (Rule 20.01)_2022-11-30_20251126181007.pdf</v>
      </c>
      <c r="H96" s="1" t="n">
        <v>4</v>
      </c>
      <c r="I96" s="1" t="s">
        <v>1360</v>
      </c>
      <c r="J96" s="1" t="n">
        <v>1</v>
      </c>
      <c r="K96" s="2" t="s">
        <v>1362</v>
      </c>
      <c r="L96" s="2" t="s">
        <v>1364</v>
      </c>
      <c r="M96" s="1" t="s">
        <v>1360</v>
      </c>
      <c r="N96" s="1" t="n">
        <v>0</v>
      </c>
      <c r="O96" s="2" t="n">
        <v>97.99</v>
      </c>
      <c r="P96" s="2" t="n">
        <v>97.99</v>
      </c>
      <c r="Q96" s="2" t="n">
        <v>97.99</v>
      </c>
      <c r="R96" s="1" t="n">
        <v>1</v>
      </c>
      <c r="S96" s="1" t="n">
        <v>0</v>
      </c>
      <c r="T96" s="1" t="s">
        <v>1360</v>
      </c>
      <c r="U96" s="1" t="n">
        <v>4</v>
      </c>
      <c r="V96" s="1" t="n">
        <v>0</v>
      </c>
    </row>
    <row r="97" customFormat="false" ht="18.7" hidden="false" customHeight="true" outlineLevel="0" collapsed="false">
      <c r="A97" s="1" t="n">
        <v>96</v>
      </c>
      <c r="B97" s="7" t="str">
        <f aca="false">HYPERLINK("https://mncourtfraud.com/file/27-CR-20-5618.pdf","27-CR-20-5618")</f>
        <v>27-CR-20-5618</v>
      </c>
      <c r="C97" s="1" t="n">
        <v>1</v>
      </c>
      <c r="D97" s="2" t="s">
        <v>12</v>
      </c>
      <c r="E97" s="8" t="n">
        <v>45160</v>
      </c>
      <c r="F97" s="2" t="s">
        <v>15</v>
      </c>
      <c r="G97" s="7" t="str">
        <f aca="false">HYPERLINK("https://mncourtfraud.com/file/MCRO_27-CR-20-5618_Order-Evaluation for Competency to Proceed (Rule 20.01)_2023-08-22_20251126181021.pdf","MCRO_27-CR-20-5618_Order-Evaluation for Competency to Proceed (Rule 20.01)_2023-08-22_20251126181021.pdf")</f>
        <v>MCRO_27-CR-20-5618_Order-Evaluation for Competency to Proceed (Rule 20.01)_2023-08-22_20251126181021.pdf</v>
      </c>
      <c r="H97" s="1" t="n">
        <v>6</v>
      </c>
      <c r="I97" s="1" t="s">
        <v>1366</v>
      </c>
      <c r="J97" s="1" t="n">
        <v>2</v>
      </c>
      <c r="K97" s="2" t="s">
        <v>2270</v>
      </c>
      <c r="L97" s="2" t="s">
        <v>2269</v>
      </c>
      <c r="M97" s="1" t="s">
        <v>1366</v>
      </c>
      <c r="N97" s="1" t="n">
        <v>1</v>
      </c>
      <c r="O97" s="2" t="n">
        <v>23.95</v>
      </c>
      <c r="P97" s="2" t="n">
        <v>98.13</v>
      </c>
      <c r="Q97" s="2" t="n">
        <v>61.04</v>
      </c>
      <c r="R97" s="1" t="n">
        <v>2</v>
      </c>
      <c r="S97" s="1" t="n">
        <v>0</v>
      </c>
      <c r="T97" s="1" t="s">
        <v>1360</v>
      </c>
      <c r="U97" s="1" t="n">
        <v>3</v>
      </c>
      <c r="V97" s="1" t="n">
        <v>3</v>
      </c>
    </row>
    <row r="98" customFormat="false" ht="18.7" hidden="false" customHeight="true" outlineLevel="0" collapsed="false">
      <c r="A98" s="1" t="n">
        <v>97</v>
      </c>
      <c r="B98" s="7" t="str">
        <f aca="false">HYPERLINK("https://mncourtfraud.com/file/27-CR-20-5618.pdf","27-CR-20-5618")</f>
        <v>27-CR-20-5618</v>
      </c>
      <c r="C98" s="1" t="n">
        <v>1</v>
      </c>
      <c r="D98" s="2" t="s">
        <v>12</v>
      </c>
      <c r="E98" s="8" t="n">
        <v>44460</v>
      </c>
      <c r="F98" s="2" t="s">
        <v>24</v>
      </c>
      <c r="G98" s="7" t="str">
        <f aca="false">HYPERLINK("https://mncourtfraud.com/file/MCRO_27-CR-20-5618_Order for Conditional Release_2021-09-21_20251126180857.pdf","MCRO_27-CR-20-5618_Order for Conditional Release_2021-09-21_20251126180857.pdf")</f>
        <v>MCRO_27-CR-20-5618_Order for Conditional Release_2021-09-21_20251126180857.pdf</v>
      </c>
      <c r="H98" s="1" t="n">
        <v>4</v>
      </c>
      <c r="I98" s="1" t="s">
        <v>1360</v>
      </c>
      <c r="J98" s="1" t="n">
        <v>1</v>
      </c>
      <c r="K98" s="2" t="s">
        <v>1362</v>
      </c>
      <c r="L98" s="2" t="s">
        <v>1364</v>
      </c>
      <c r="M98" s="1" t="s">
        <v>1360</v>
      </c>
      <c r="N98" s="1" t="n">
        <v>0</v>
      </c>
      <c r="O98" s="2" t="n">
        <v>84.52</v>
      </c>
      <c r="P98" s="2" t="n">
        <v>84.52</v>
      </c>
      <c r="Q98" s="2" t="n">
        <v>84.52</v>
      </c>
      <c r="R98" s="1" t="n">
        <v>1</v>
      </c>
      <c r="S98" s="1" t="n">
        <v>0</v>
      </c>
      <c r="T98" s="1" t="s">
        <v>1360</v>
      </c>
      <c r="U98" s="1" t="n">
        <v>4</v>
      </c>
      <c r="V98" s="1" t="n">
        <v>0</v>
      </c>
    </row>
    <row r="99" customFormat="false" ht="18.7" hidden="false" customHeight="true" outlineLevel="0" collapsed="false">
      <c r="A99" s="1" t="n">
        <v>98</v>
      </c>
      <c r="B99" s="7" t="str">
        <f aca="false">HYPERLINK("https://mncourtfraud.com/file/27-CR-20-5618.pdf","27-CR-20-5618")</f>
        <v>27-CR-20-5618</v>
      </c>
      <c r="C99" s="1" t="n">
        <v>1</v>
      </c>
      <c r="D99" s="2" t="s">
        <v>12</v>
      </c>
      <c r="E99" s="8" t="n">
        <v>44468</v>
      </c>
      <c r="F99" s="2" t="s">
        <v>24</v>
      </c>
      <c r="G99" s="7" t="str">
        <f aca="false">HYPERLINK("https://mncourtfraud.com/file/MCRO_27-CR-20-5618_Order for Conditional Release_2021-09-29_20251126180905.pdf","MCRO_27-CR-20-5618_Order for Conditional Release_2021-09-29_20251126180905.pdf")</f>
        <v>MCRO_27-CR-20-5618_Order for Conditional Release_2021-09-29_20251126180905.pdf</v>
      </c>
      <c r="H99" s="1" t="n">
        <v>4</v>
      </c>
      <c r="I99" s="1" t="s">
        <v>1360</v>
      </c>
      <c r="J99" s="1" t="n">
        <v>1</v>
      </c>
      <c r="K99" s="2" t="s">
        <v>1362</v>
      </c>
      <c r="L99" s="2" t="s">
        <v>1364</v>
      </c>
      <c r="M99" s="1" t="s">
        <v>1360</v>
      </c>
      <c r="N99" s="1" t="n">
        <v>0</v>
      </c>
      <c r="O99" s="2" t="n">
        <v>89.21</v>
      </c>
      <c r="P99" s="2" t="n">
        <v>89.21</v>
      </c>
      <c r="Q99" s="2" t="n">
        <v>89.21</v>
      </c>
      <c r="R99" s="1" t="n">
        <v>1</v>
      </c>
      <c r="S99" s="1" t="n">
        <v>0</v>
      </c>
      <c r="T99" s="1" t="s">
        <v>1360</v>
      </c>
      <c r="U99" s="1" t="n">
        <v>4</v>
      </c>
      <c r="V99" s="1" t="n">
        <v>0</v>
      </c>
    </row>
    <row r="100" customFormat="false" ht="18.7" hidden="false" customHeight="true" outlineLevel="0" collapsed="false">
      <c r="A100" s="1" t="n">
        <v>99</v>
      </c>
      <c r="B100" s="7" t="str">
        <f aca="false">HYPERLINK("https://mncourtfraud.com/file/27-CR-20-5618.pdf","27-CR-20-5618")</f>
        <v>27-CR-20-5618</v>
      </c>
      <c r="C100" s="1" t="n">
        <v>1</v>
      </c>
      <c r="D100" s="2" t="s">
        <v>12</v>
      </c>
      <c r="E100" s="8" t="n">
        <v>43970</v>
      </c>
      <c r="F100" s="2" t="s">
        <v>17</v>
      </c>
      <c r="G100" s="7" t="str">
        <f aca="false">HYPERLINK("https://mncourtfraud.com/file/MCRO_27-CR-20-5618_Returned Mail_2020-05-19_20251126181057.pdf","MCRO_27-CR-20-5618_Returned Mail_2020-05-19_20251126181057.pdf")</f>
        <v>MCRO_27-CR-20-5618_Returned Mail_2020-05-19_20251126181057.pdf</v>
      </c>
      <c r="H100" s="1" t="n">
        <v>4</v>
      </c>
      <c r="I100" s="1" t="s">
        <v>1360</v>
      </c>
      <c r="J100" s="1" t="n">
        <v>1</v>
      </c>
      <c r="K100" s="2" t="s">
        <v>1362</v>
      </c>
      <c r="L100" s="2" t="s">
        <v>1364</v>
      </c>
      <c r="M100" s="1" t="s">
        <v>1360</v>
      </c>
      <c r="N100" s="1" t="n">
        <v>0</v>
      </c>
      <c r="O100" s="2" t="n">
        <v>93.77</v>
      </c>
      <c r="P100" s="2" t="n">
        <v>93.77</v>
      </c>
      <c r="Q100" s="2" t="n">
        <v>93.77</v>
      </c>
      <c r="R100" s="1" t="n">
        <v>1</v>
      </c>
      <c r="S100" s="1" t="n">
        <v>0</v>
      </c>
      <c r="T100" s="1" t="s">
        <v>1360</v>
      </c>
      <c r="U100" s="1" t="n">
        <v>4</v>
      </c>
      <c r="V100" s="1" t="n">
        <v>0</v>
      </c>
    </row>
    <row r="101" customFormat="false" ht="18.7" hidden="false" customHeight="true" outlineLevel="0" collapsed="false">
      <c r="A101" s="1" t="n">
        <v>100</v>
      </c>
      <c r="B101" s="7" t="str">
        <f aca="false">HYPERLINK("https://mncourtfraud.com/file/27-CR-20-693.pdf","27-CR-20-693")</f>
        <v>27-CR-20-693</v>
      </c>
      <c r="C101" s="1" t="n">
        <v>1</v>
      </c>
      <c r="D101" s="2" t="s">
        <v>12</v>
      </c>
      <c r="E101" s="8" t="n">
        <v>44103</v>
      </c>
      <c r="F101" s="2" t="s">
        <v>19</v>
      </c>
      <c r="G101" s="7" t="str">
        <f aca="false">HYPERLINK("https://mncourtfraud.com/file/MCRO_27-CR-20-693_Findings and Order_2020-09-29_20251126181151.pdf","MCRO_27-CR-20-693_Findings and Order_2020-09-29_20251126181151.pdf")</f>
        <v>MCRO_27-CR-20-693_Findings and Order_2020-09-29_20251126181151.pdf</v>
      </c>
      <c r="H101" s="1" t="n">
        <v>4</v>
      </c>
      <c r="I101" s="1" t="s">
        <v>1360</v>
      </c>
      <c r="J101" s="1" t="n">
        <v>1</v>
      </c>
      <c r="K101" s="2" t="s">
        <v>1362</v>
      </c>
      <c r="L101" s="2" t="s">
        <v>1364</v>
      </c>
      <c r="M101" s="1" t="s">
        <v>1360</v>
      </c>
      <c r="N101" s="1" t="n">
        <v>0</v>
      </c>
      <c r="O101" s="2" t="n">
        <v>95.11</v>
      </c>
      <c r="P101" s="2" t="n">
        <v>95.11</v>
      </c>
      <c r="Q101" s="2" t="n">
        <v>95.11</v>
      </c>
      <c r="R101" s="1" t="n">
        <v>1</v>
      </c>
      <c r="S101" s="1" t="n">
        <v>0</v>
      </c>
      <c r="T101" s="1" t="s">
        <v>1360</v>
      </c>
      <c r="U101" s="1" t="n">
        <v>4</v>
      </c>
      <c r="V101" s="1" t="n">
        <v>0</v>
      </c>
    </row>
    <row r="102" customFormat="false" ht="18.7" hidden="false" customHeight="true" outlineLevel="0" collapsed="false">
      <c r="A102" s="1" t="n">
        <v>101</v>
      </c>
      <c r="B102" s="7" t="str">
        <f aca="false">HYPERLINK("https://mncourtfraud.com/file/27-CR-20-693.pdf","27-CR-20-693")</f>
        <v>27-CR-20-693</v>
      </c>
      <c r="C102" s="1" t="n">
        <v>1</v>
      </c>
      <c r="D102" s="2" t="s">
        <v>12</v>
      </c>
      <c r="E102" s="8" t="n">
        <v>44439</v>
      </c>
      <c r="F102" s="2" t="s">
        <v>19</v>
      </c>
      <c r="G102" s="7" t="str">
        <f aca="false">HYPERLINK("https://mncourtfraud.com/file/MCRO_27-CR-20-693_Findings and Order_2021-08-31_20251126181201.pdf","MCRO_27-CR-20-693_Findings and Order_2021-08-31_20251126181201.pdf")</f>
        <v>MCRO_27-CR-20-693_Findings and Order_2021-08-31_20251126181201.pdf</v>
      </c>
      <c r="H102" s="1" t="n">
        <v>5</v>
      </c>
      <c r="I102" s="1" t="s">
        <v>1366</v>
      </c>
      <c r="J102" s="1" t="n">
        <v>2</v>
      </c>
      <c r="K102" s="2" t="s">
        <v>2267</v>
      </c>
      <c r="L102" s="2" t="s">
        <v>1364</v>
      </c>
      <c r="M102" s="1" t="s">
        <v>1366</v>
      </c>
      <c r="N102" s="1" t="n">
        <v>1</v>
      </c>
      <c r="O102" s="2" t="n">
        <v>39.94</v>
      </c>
      <c r="P102" s="2" t="n">
        <v>95.64</v>
      </c>
      <c r="Q102" s="2" t="n">
        <v>67.79</v>
      </c>
      <c r="R102" s="1" t="n">
        <v>2</v>
      </c>
      <c r="S102" s="1" t="n">
        <v>0</v>
      </c>
      <c r="T102" s="1" t="s">
        <v>1360</v>
      </c>
      <c r="U102" s="1" t="n">
        <v>2</v>
      </c>
      <c r="V102" s="1" t="n">
        <v>0</v>
      </c>
    </row>
    <row r="103" customFormat="false" ht="18.7" hidden="false" customHeight="true" outlineLevel="0" collapsed="false">
      <c r="A103" s="1" t="n">
        <v>102</v>
      </c>
      <c r="B103" s="7" t="str">
        <f aca="false">HYPERLINK("https://mncourtfraud.com/file/27-CR-20-693.pdf","27-CR-20-693")</f>
        <v>27-CR-20-693</v>
      </c>
      <c r="C103" s="1" t="n">
        <v>1</v>
      </c>
      <c r="D103" s="2" t="s">
        <v>12</v>
      </c>
      <c r="E103" s="8" t="n">
        <v>44593</v>
      </c>
      <c r="F103" s="2" t="s">
        <v>19</v>
      </c>
      <c r="G103" s="7" t="str">
        <f aca="false">HYPERLINK("https://mncourtfraud.com/file/MCRO_27-CR-20-693_Findings and Order_2022-02-01_20251126181139.pdf","MCRO_27-CR-20-693_Findings and Order_2022-02-01_20251126181139.pdf")</f>
        <v>MCRO_27-CR-20-693_Findings and Order_2022-02-01_20251126181139.pdf</v>
      </c>
      <c r="H103" s="1" t="n">
        <v>4</v>
      </c>
      <c r="I103" s="1" t="s">
        <v>1360</v>
      </c>
      <c r="J103" s="1" t="n">
        <v>2</v>
      </c>
      <c r="K103" s="2" t="s">
        <v>2267</v>
      </c>
      <c r="L103" s="2" t="s">
        <v>1364</v>
      </c>
      <c r="M103" s="1" t="s">
        <v>1366</v>
      </c>
      <c r="N103" s="1" t="n">
        <v>1</v>
      </c>
      <c r="O103" s="2" t="n">
        <v>47.77</v>
      </c>
      <c r="P103" s="2" t="n">
        <v>95.47</v>
      </c>
      <c r="Q103" s="2" t="n">
        <v>71.62</v>
      </c>
      <c r="R103" s="1" t="n">
        <v>2</v>
      </c>
      <c r="S103" s="1" t="n">
        <v>0</v>
      </c>
      <c r="T103" s="1" t="s">
        <v>1360</v>
      </c>
      <c r="U103" s="1" t="n">
        <v>2</v>
      </c>
      <c r="V103" s="1" t="n">
        <v>0</v>
      </c>
    </row>
    <row r="104" customFormat="false" ht="18.7" hidden="false" customHeight="true" outlineLevel="0" collapsed="false">
      <c r="A104" s="1" t="n">
        <v>103</v>
      </c>
      <c r="B104" s="7" t="str">
        <f aca="false">HYPERLINK("https://mncourtfraud.com/file/27-CR-20-693.pdf","27-CR-20-693")</f>
        <v>27-CR-20-693</v>
      </c>
      <c r="C104" s="1" t="n">
        <v>1</v>
      </c>
      <c r="D104" s="2" t="s">
        <v>12</v>
      </c>
      <c r="E104" s="8" t="n">
        <v>43844</v>
      </c>
      <c r="F104" s="2" t="s">
        <v>13</v>
      </c>
      <c r="G104" s="7" t="str">
        <f aca="false">HYPERLINK("https://mncourtfraud.com/file/MCRO_27-CR-20-693_Find of Fact-Order, Pet Commitment-Dfd Found Incompetent_2020-01-14_20251126181126.pdf","MCRO_27-CR-20-693_Find of Fact-Order, Pet Commitment-Dfd Found Incompetent_2020-01-14_20251126181126.pdf")</f>
        <v>MCRO_27-CR-20-693_Find of Fact-Order, Pet Commitment-Dfd Found Incompetent_2020-01-14_20251126181126.pdf</v>
      </c>
      <c r="H104" s="1" t="n">
        <v>5</v>
      </c>
      <c r="I104" s="1" t="s">
        <v>1360</v>
      </c>
      <c r="J104" s="1" t="n">
        <v>1</v>
      </c>
      <c r="K104" s="2" t="s">
        <v>1362</v>
      </c>
      <c r="L104" s="2" t="s">
        <v>1364</v>
      </c>
      <c r="M104" s="1" t="s">
        <v>1360</v>
      </c>
      <c r="N104" s="1" t="n">
        <v>0</v>
      </c>
      <c r="O104" s="2" t="n">
        <v>92.96</v>
      </c>
      <c r="P104" s="2" t="n">
        <v>92.96</v>
      </c>
      <c r="Q104" s="2" t="n">
        <v>92.96</v>
      </c>
      <c r="R104" s="1" t="n">
        <v>1</v>
      </c>
      <c r="S104" s="1" t="n">
        <v>0</v>
      </c>
      <c r="T104" s="1" t="s">
        <v>1360</v>
      </c>
      <c r="U104" s="1" t="n">
        <v>5</v>
      </c>
      <c r="V104" s="1" t="n">
        <v>0</v>
      </c>
    </row>
    <row r="105" customFormat="false" ht="18.7" hidden="false" customHeight="true" outlineLevel="0" collapsed="false">
      <c r="A105" s="1" t="n">
        <v>104</v>
      </c>
      <c r="B105" s="7" t="str">
        <f aca="false">HYPERLINK("https://mncourtfraud.com/file/27-CR-20-693.pdf","27-CR-20-693")</f>
        <v>27-CR-20-693</v>
      </c>
      <c r="C105" s="1" t="n">
        <v>1</v>
      </c>
      <c r="D105" s="2" t="s">
        <v>12</v>
      </c>
      <c r="E105" s="8" t="n">
        <v>43902</v>
      </c>
      <c r="F105" s="2" t="s">
        <v>15</v>
      </c>
      <c r="G105" s="7" t="str">
        <f aca="false">HYPERLINK("https://mncourtfraud.com/file/MCRO_27-CR-20-693_Order-Evaluation for Competency to Proceed (Rule 20.01)_2020-03-12_20251126181339.pdf","MCRO_27-CR-20-693_Order-Evaluation for Competency to Proceed (Rule 20.01)_2020-03-12_20251126181339.pdf")</f>
        <v>MCRO_27-CR-20-693_Order-Evaluation for Competency to Proceed (Rule 20.01)_2020-03-12_20251126181339.pdf</v>
      </c>
      <c r="H105" s="1" t="n">
        <v>4</v>
      </c>
      <c r="I105" s="1" t="s">
        <v>1360</v>
      </c>
      <c r="J105" s="1" t="n">
        <v>1</v>
      </c>
      <c r="K105" s="2" t="s">
        <v>1362</v>
      </c>
      <c r="L105" s="2" t="s">
        <v>1364</v>
      </c>
      <c r="M105" s="1" t="s">
        <v>1360</v>
      </c>
      <c r="N105" s="1" t="n">
        <v>0</v>
      </c>
      <c r="O105" s="2" t="n">
        <v>98.61</v>
      </c>
      <c r="P105" s="2" t="n">
        <v>98.61</v>
      </c>
      <c r="Q105" s="2" t="n">
        <v>98.61</v>
      </c>
      <c r="R105" s="1" t="n">
        <v>1</v>
      </c>
      <c r="S105" s="1" t="n">
        <v>0</v>
      </c>
      <c r="T105" s="1" t="s">
        <v>1360</v>
      </c>
      <c r="U105" s="1" t="n">
        <v>4</v>
      </c>
      <c r="V105" s="1" t="n">
        <v>0</v>
      </c>
    </row>
    <row r="106" customFormat="false" ht="18.7" hidden="false" customHeight="true" outlineLevel="0" collapsed="false">
      <c r="A106" s="1" t="n">
        <v>105</v>
      </c>
      <c r="B106" s="7" t="str">
        <f aca="false">HYPERLINK("https://mncourtfraud.com/file/27-CR-20-693.pdf","27-CR-20-693")</f>
        <v>27-CR-20-693</v>
      </c>
      <c r="C106" s="1" t="n">
        <v>1</v>
      </c>
      <c r="D106" s="2" t="s">
        <v>12</v>
      </c>
      <c r="E106" s="8" t="n">
        <v>44225</v>
      </c>
      <c r="F106" s="2" t="s">
        <v>15</v>
      </c>
      <c r="G106" s="7" t="str">
        <f aca="false">HYPERLINK("https://mncourtfraud.com/file/MCRO_27-CR-20-693_Order-Evaluation for Competency to Proceed (Rule 20.01)_2021-01-29_20251126181349.pdf","MCRO_27-CR-20-693_Order-Evaluation for Competency to Proceed (Rule 20.01)_2021-01-29_20251126181349.pdf")</f>
        <v>MCRO_27-CR-20-693_Order-Evaluation for Competency to Proceed (Rule 20.01)_2021-01-29_20251126181349.pdf</v>
      </c>
      <c r="H106" s="1" t="n">
        <v>3</v>
      </c>
      <c r="I106" s="1" t="s">
        <v>1360</v>
      </c>
      <c r="J106" s="1" t="n">
        <v>1</v>
      </c>
      <c r="K106" s="2" t="s">
        <v>1362</v>
      </c>
      <c r="L106" s="2" t="s">
        <v>1364</v>
      </c>
      <c r="M106" s="1" t="s">
        <v>1360</v>
      </c>
      <c r="N106" s="1" t="n">
        <v>0</v>
      </c>
      <c r="O106" s="2" t="n">
        <v>96.39</v>
      </c>
      <c r="P106" s="2" t="n">
        <v>96.39</v>
      </c>
      <c r="Q106" s="2" t="n">
        <v>96.39</v>
      </c>
      <c r="R106" s="1" t="n">
        <v>1</v>
      </c>
      <c r="S106" s="1" t="n">
        <v>0</v>
      </c>
      <c r="T106" s="1" t="s">
        <v>1360</v>
      </c>
      <c r="U106" s="1" t="n">
        <v>3</v>
      </c>
      <c r="V106" s="1" t="n">
        <v>0</v>
      </c>
    </row>
    <row r="107" customFormat="false" ht="18.7" hidden="false" customHeight="true" outlineLevel="0" collapsed="false">
      <c r="A107" s="1" t="n">
        <v>106</v>
      </c>
      <c r="B107" s="7" t="str">
        <f aca="false">HYPERLINK("https://mncourtfraud.com/file/27-CR-20-693.pdf","27-CR-20-693")</f>
        <v>27-CR-20-693</v>
      </c>
      <c r="C107" s="1" t="n">
        <v>1</v>
      </c>
      <c r="D107" s="2" t="s">
        <v>12</v>
      </c>
      <c r="E107" s="8" t="n">
        <v>44396</v>
      </c>
      <c r="F107" s="2" t="s">
        <v>15</v>
      </c>
      <c r="G107" s="7" t="str">
        <f aca="false">HYPERLINK("https://mncourtfraud.com/file/MCRO_27-CR-20-693_Order-Evaluation for Competency to Proceed (Rule 20.01)_2021-07-19_20251126181241.pdf","MCRO_27-CR-20-693_Order-Evaluation for Competency to Proceed (Rule 20.01)_2021-07-19_20251126181241.pdf")</f>
        <v>MCRO_27-CR-20-693_Order-Evaluation for Competency to Proceed (Rule 20.01)_2021-07-19_20251126181241.pdf</v>
      </c>
      <c r="H107" s="1" t="n">
        <v>4</v>
      </c>
      <c r="I107" s="1" t="s">
        <v>1360</v>
      </c>
      <c r="J107" s="1" t="n">
        <v>1</v>
      </c>
      <c r="K107" s="2" t="s">
        <v>1362</v>
      </c>
      <c r="L107" s="2" t="s">
        <v>1364</v>
      </c>
      <c r="M107" s="1" t="s">
        <v>1360</v>
      </c>
      <c r="N107" s="1" t="n">
        <v>0</v>
      </c>
      <c r="O107" s="2" t="n">
        <v>91.52</v>
      </c>
      <c r="P107" s="2" t="n">
        <v>91.52</v>
      </c>
      <c r="Q107" s="2" t="n">
        <v>91.52</v>
      </c>
      <c r="R107" s="1" t="n">
        <v>1</v>
      </c>
      <c r="S107" s="1" t="n">
        <v>0</v>
      </c>
      <c r="T107" s="1" t="s">
        <v>1360</v>
      </c>
      <c r="U107" s="1" t="n">
        <v>4</v>
      </c>
      <c r="V107" s="1" t="n">
        <v>0</v>
      </c>
    </row>
    <row r="108" customFormat="false" ht="18.7" hidden="false" customHeight="true" outlineLevel="0" collapsed="false">
      <c r="A108" s="1" t="n">
        <v>107</v>
      </c>
      <c r="B108" s="7" t="str">
        <f aca="false">HYPERLINK("https://mncourtfraud.com/file/27-CR-20-693.pdf","27-CR-20-693")</f>
        <v>27-CR-20-693</v>
      </c>
      <c r="C108" s="1" t="n">
        <v>1</v>
      </c>
      <c r="D108" s="2" t="s">
        <v>12</v>
      </c>
      <c r="E108" s="8" t="n">
        <v>44543</v>
      </c>
      <c r="F108" s="2" t="s">
        <v>15</v>
      </c>
      <c r="G108" s="7" t="str">
        <f aca="false">HYPERLINK("https://mncourtfraud.com/file/MCRO_27-CR-20-693_Order-Evaluation for Competency to Proceed (Rule 20.01)_2021-12-13_20251126181255.pdf","MCRO_27-CR-20-693_Order-Evaluation for Competency to Proceed (Rule 20.01)_2021-12-13_20251126181255.pdf")</f>
        <v>MCRO_27-CR-20-693_Order-Evaluation for Competency to Proceed (Rule 20.01)_2021-12-13_20251126181255.pdf</v>
      </c>
      <c r="H108" s="1" t="n">
        <v>3</v>
      </c>
      <c r="I108" s="1" t="s">
        <v>1360</v>
      </c>
      <c r="J108" s="1" t="n">
        <v>1</v>
      </c>
      <c r="K108" s="2" t="s">
        <v>1362</v>
      </c>
      <c r="L108" s="2" t="s">
        <v>1364</v>
      </c>
      <c r="M108" s="1" t="s">
        <v>1360</v>
      </c>
      <c r="N108" s="1" t="n">
        <v>0</v>
      </c>
      <c r="O108" s="2" t="n">
        <v>92.99</v>
      </c>
      <c r="P108" s="2" t="n">
        <v>92.99</v>
      </c>
      <c r="Q108" s="2" t="n">
        <v>92.99</v>
      </c>
      <c r="R108" s="1" t="n">
        <v>1</v>
      </c>
      <c r="S108" s="1" t="n">
        <v>0</v>
      </c>
      <c r="T108" s="1" t="s">
        <v>1360</v>
      </c>
      <c r="U108" s="1" t="n">
        <v>3</v>
      </c>
      <c r="V108" s="1" t="n">
        <v>0</v>
      </c>
    </row>
    <row r="109" customFormat="false" ht="18.7" hidden="false" customHeight="true" outlineLevel="0" collapsed="false">
      <c r="A109" s="1" t="n">
        <v>108</v>
      </c>
      <c r="B109" s="7" t="str">
        <f aca="false">HYPERLINK("https://mncourtfraud.com/file/27-CR-20-693.pdf","27-CR-20-693")</f>
        <v>27-CR-20-693</v>
      </c>
      <c r="C109" s="1" t="n">
        <v>1</v>
      </c>
      <c r="D109" s="2" t="s">
        <v>12</v>
      </c>
      <c r="E109" s="8" t="n">
        <v>44558</v>
      </c>
      <c r="F109" s="2" t="s">
        <v>15</v>
      </c>
      <c r="G109" s="7" t="str">
        <f aca="false">HYPERLINK("https://mncourtfraud.com/file/MCRO_27-CR-20-693_Order-Evaluation for Competency to Proceed (Rule 20.01)_2021-12-28_20251126181306.pdf","MCRO_27-CR-20-693_Order-Evaluation for Competency to Proceed (Rule 20.01)_2021-12-28_20251126181306.pdf")</f>
        <v>MCRO_27-CR-20-693_Order-Evaluation for Competency to Proceed (Rule 20.01)_2021-12-28_20251126181306.pdf</v>
      </c>
      <c r="H109" s="1" t="n">
        <v>4</v>
      </c>
      <c r="I109" s="1" t="s">
        <v>1360</v>
      </c>
      <c r="J109" s="1" t="n">
        <v>1</v>
      </c>
      <c r="K109" s="2" t="s">
        <v>1362</v>
      </c>
      <c r="L109" s="2" t="s">
        <v>1364</v>
      </c>
      <c r="M109" s="1" t="s">
        <v>1360</v>
      </c>
      <c r="N109" s="1" t="n">
        <v>0</v>
      </c>
      <c r="O109" s="2" t="n">
        <v>93.19</v>
      </c>
      <c r="P109" s="2" t="n">
        <v>93.19</v>
      </c>
      <c r="Q109" s="2" t="n">
        <v>93.19</v>
      </c>
      <c r="R109" s="1" t="n">
        <v>1</v>
      </c>
      <c r="S109" s="1" t="n">
        <v>0</v>
      </c>
      <c r="T109" s="1" t="s">
        <v>1360</v>
      </c>
      <c r="U109" s="1" t="n">
        <v>4</v>
      </c>
      <c r="V109" s="1" t="n">
        <v>0</v>
      </c>
    </row>
    <row r="110" customFormat="false" ht="18.7" hidden="false" customHeight="true" outlineLevel="0" collapsed="false">
      <c r="A110" s="1" t="n">
        <v>109</v>
      </c>
      <c r="B110" s="7" t="str">
        <f aca="false">HYPERLINK("https://mncourtfraud.com/file/27-CR-20-693.pdf","27-CR-20-693")</f>
        <v>27-CR-20-693</v>
      </c>
      <c r="C110" s="1" t="n">
        <v>1</v>
      </c>
      <c r="D110" s="2" t="s">
        <v>12</v>
      </c>
      <c r="E110" s="8" t="n">
        <v>44692</v>
      </c>
      <c r="F110" s="2" t="s">
        <v>15</v>
      </c>
      <c r="G110" s="7" t="str">
        <f aca="false">HYPERLINK("https://mncourtfraud.com/file/MCRO_27-CR-20-693_Order-Evaluation for Competency to Proceed (Rule 20.01)_2022-05-11_20251126181315.pdf","MCRO_27-CR-20-693_Order-Evaluation for Competency to Proceed (Rule 20.01)_2022-05-11_20251126181315.pdf")</f>
        <v>MCRO_27-CR-20-693_Order-Evaluation for Competency to Proceed (Rule 20.01)_2022-05-11_20251126181315.pdf</v>
      </c>
      <c r="H110" s="1" t="n">
        <v>3</v>
      </c>
      <c r="I110" s="1" t="s">
        <v>1360</v>
      </c>
      <c r="J110" s="1" t="n">
        <v>1</v>
      </c>
      <c r="K110" s="2" t="s">
        <v>1362</v>
      </c>
      <c r="L110" s="2" t="s">
        <v>1364</v>
      </c>
      <c r="M110" s="1" t="s">
        <v>1360</v>
      </c>
      <c r="N110" s="1" t="n">
        <v>0</v>
      </c>
      <c r="O110" s="2" t="n">
        <v>93.17</v>
      </c>
      <c r="P110" s="2" t="n">
        <v>93.17</v>
      </c>
      <c r="Q110" s="2" t="n">
        <v>93.17</v>
      </c>
      <c r="R110" s="1" t="n">
        <v>1</v>
      </c>
      <c r="S110" s="1" t="n">
        <v>0</v>
      </c>
      <c r="T110" s="1" t="s">
        <v>1360</v>
      </c>
      <c r="U110" s="1" t="n">
        <v>3</v>
      </c>
      <c r="V110" s="1" t="n">
        <v>0</v>
      </c>
    </row>
    <row r="111" customFormat="false" ht="18.7" hidden="false" customHeight="true" outlineLevel="0" collapsed="false">
      <c r="A111" s="1" t="n">
        <v>110</v>
      </c>
      <c r="B111" s="7" t="str">
        <f aca="false">HYPERLINK("https://mncourtfraud.com/file/27-CR-20-693.pdf","27-CR-20-693")</f>
        <v>27-CR-20-693</v>
      </c>
      <c r="C111" s="1" t="n">
        <v>1</v>
      </c>
      <c r="D111" s="2" t="s">
        <v>12</v>
      </c>
      <c r="E111" s="8" t="n">
        <v>44895</v>
      </c>
      <c r="F111" s="2" t="s">
        <v>15</v>
      </c>
      <c r="G111" s="7" t="str">
        <f aca="false">HYPERLINK("https://mncourtfraud.com/file/MCRO_27-CR-20-693_Order-Evaluation for Competency to Proceed (Rule 20.01)_2022-11-30_20251126181327.pdf","MCRO_27-CR-20-693_Order-Evaluation for Competency to Proceed (Rule 20.01)_2022-11-30_20251126181327.pdf")</f>
        <v>MCRO_27-CR-20-693_Order-Evaluation for Competency to Proceed (Rule 20.01)_2022-11-30_20251126181327.pdf</v>
      </c>
      <c r="H111" s="1" t="n">
        <v>4</v>
      </c>
      <c r="I111" s="1" t="s">
        <v>1360</v>
      </c>
      <c r="J111" s="1" t="n">
        <v>1</v>
      </c>
      <c r="K111" s="2" t="s">
        <v>1362</v>
      </c>
      <c r="L111" s="2" t="s">
        <v>1364</v>
      </c>
      <c r="M111" s="1" t="s">
        <v>1360</v>
      </c>
      <c r="N111" s="1" t="n">
        <v>0</v>
      </c>
      <c r="O111" s="2" t="n">
        <v>97.99</v>
      </c>
      <c r="P111" s="2" t="n">
        <v>97.99</v>
      </c>
      <c r="Q111" s="2" t="n">
        <v>97.99</v>
      </c>
      <c r="R111" s="1" t="n">
        <v>1</v>
      </c>
      <c r="S111" s="1" t="n">
        <v>0</v>
      </c>
      <c r="T111" s="1" t="s">
        <v>1360</v>
      </c>
      <c r="U111" s="1" t="n">
        <v>4</v>
      </c>
      <c r="V111" s="1" t="n">
        <v>0</v>
      </c>
    </row>
    <row r="112" customFormat="false" ht="18.7" hidden="false" customHeight="true" outlineLevel="0" collapsed="false">
      <c r="A112" s="1" t="n">
        <v>111</v>
      </c>
      <c r="B112" s="7" t="str">
        <f aca="false">HYPERLINK("https://mncourtfraud.com/file/27-CR-20-693.pdf","27-CR-20-693")</f>
        <v>27-CR-20-693</v>
      </c>
      <c r="C112" s="1" t="n">
        <v>1</v>
      </c>
      <c r="D112" s="2" t="s">
        <v>12</v>
      </c>
      <c r="E112" s="8" t="n">
        <v>44460</v>
      </c>
      <c r="F112" s="2" t="s">
        <v>24</v>
      </c>
      <c r="G112" s="7" t="str">
        <f aca="false">HYPERLINK("https://mncourtfraud.com/file/MCRO_27-CR-20-693_Order for Conditional Release_2021-09-21_20251126181227.pdf","MCRO_27-CR-20-693_Order for Conditional Release_2021-09-21_20251126181227.pdf")</f>
        <v>MCRO_27-CR-20-693_Order for Conditional Release_2021-09-21_20251126181227.pdf</v>
      </c>
      <c r="H112" s="1" t="n">
        <v>4</v>
      </c>
      <c r="I112" s="1" t="s">
        <v>1360</v>
      </c>
      <c r="J112" s="1" t="n">
        <v>1</v>
      </c>
      <c r="K112" s="2" t="s">
        <v>1362</v>
      </c>
      <c r="L112" s="2" t="s">
        <v>1364</v>
      </c>
      <c r="M112" s="1" t="s">
        <v>1360</v>
      </c>
      <c r="N112" s="1" t="n">
        <v>0</v>
      </c>
      <c r="O112" s="2" t="n">
        <v>84.52</v>
      </c>
      <c r="P112" s="2" t="n">
        <v>84.52</v>
      </c>
      <c r="Q112" s="2" t="n">
        <v>84.52</v>
      </c>
      <c r="R112" s="1" t="n">
        <v>1</v>
      </c>
      <c r="S112" s="1" t="n">
        <v>0</v>
      </c>
      <c r="T112" s="1" t="s">
        <v>1360</v>
      </c>
      <c r="U112" s="1" t="n">
        <v>4</v>
      </c>
      <c r="V112" s="1" t="n">
        <v>0</v>
      </c>
    </row>
    <row r="113" customFormat="false" ht="18.7" hidden="false" customHeight="true" outlineLevel="0" collapsed="false">
      <c r="A113" s="1" t="n">
        <v>112</v>
      </c>
      <c r="B113" s="7" t="str">
        <f aca="false">HYPERLINK("https://mncourtfraud.com/file/27-CR-20-693.pdf","27-CR-20-693")</f>
        <v>27-CR-20-693</v>
      </c>
      <c r="C113" s="1" t="n">
        <v>1</v>
      </c>
      <c r="D113" s="2" t="s">
        <v>12</v>
      </c>
      <c r="E113" s="8" t="n">
        <v>44468</v>
      </c>
      <c r="F113" s="2" t="s">
        <v>24</v>
      </c>
      <c r="G113" s="7" t="str">
        <f aca="false">HYPERLINK("https://mncourtfraud.com/file/MCRO_27-CR-20-693_Order for Conditional Release_2021-09-29_20251126181223.pdf","MCRO_27-CR-20-693_Order for Conditional Release_2021-09-29_20251126181223.pdf")</f>
        <v>MCRO_27-CR-20-693_Order for Conditional Release_2021-09-29_20251126181223.pdf</v>
      </c>
      <c r="H113" s="1" t="n">
        <v>4</v>
      </c>
      <c r="I113" s="1" t="s">
        <v>1360</v>
      </c>
      <c r="J113" s="1" t="n">
        <v>1</v>
      </c>
      <c r="K113" s="2" t="s">
        <v>1362</v>
      </c>
      <c r="L113" s="2" t="s">
        <v>1364</v>
      </c>
      <c r="M113" s="1" t="s">
        <v>1360</v>
      </c>
      <c r="N113" s="1" t="n">
        <v>0</v>
      </c>
      <c r="O113" s="2" t="n">
        <v>89.21</v>
      </c>
      <c r="P113" s="2" t="n">
        <v>89.21</v>
      </c>
      <c r="Q113" s="2" t="n">
        <v>89.21</v>
      </c>
      <c r="R113" s="1" t="n">
        <v>1</v>
      </c>
      <c r="S113" s="1" t="n">
        <v>0</v>
      </c>
      <c r="T113" s="1" t="s">
        <v>1360</v>
      </c>
      <c r="U113" s="1" t="n">
        <v>4</v>
      </c>
      <c r="V113" s="1" t="n">
        <v>0</v>
      </c>
    </row>
    <row r="114" customFormat="false" ht="18.7" hidden="false" customHeight="true" outlineLevel="0" collapsed="false">
      <c r="A114" s="1" t="n">
        <v>113</v>
      </c>
      <c r="B114" s="7" t="str">
        <f aca="false">HYPERLINK("https://mncourtfraud.com/file/27-CR-20-693.pdf","27-CR-20-693")</f>
        <v>27-CR-20-693</v>
      </c>
      <c r="C114" s="1" t="n">
        <v>1</v>
      </c>
      <c r="D114" s="2" t="s">
        <v>12</v>
      </c>
      <c r="E114" s="8" t="n">
        <v>43970</v>
      </c>
      <c r="F114" s="2" t="s">
        <v>17</v>
      </c>
      <c r="G114" s="7" t="str">
        <f aca="false">HYPERLINK("https://mncourtfraud.com/file/MCRO_27-CR-20-693_Returned Mail_2020-05-19_20251126181401.pdf","MCRO_27-CR-20-693_Returned Mail_2020-05-19_20251126181401.pdf")</f>
        <v>MCRO_27-CR-20-693_Returned Mail_2020-05-19_20251126181401.pdf</v>
      </c>
      <c r="H114" s="1" t="n">
        <v>4</v>
      </c>
      <c r="I114" s="1" t="s">
        <v>1360</v>
      </c>
      <c r="J114" s="1" t="n">
        <v>1</v>
      </c>
      <c r="K114" s="2" t="s">
        <v>1362</v>
      </c>
      <c r="L114" s="2" t="s">
        <v>1364</v>
      </c>
      <c r="M114" s="1" t="s">
        <v>1360</v>
      </c>
      <c r="N114" s="1" t="n">
        <v>0</v>
      </c>
      <c r="O114" s="2" t="n">
        <v>93.77</v>
      </c>
      <c r="P114" s="2" t="n">
        <v>93.77</v>
      </c>
      <c r="Q114" s="2" t="n">
        <v>93.77</v>
      </c>
      <c r="R114" s="1" t="n">
        <v>1</v>
      </c>
      <c r="S114" s="1" t="n">
        <v>0</v>
      </c>
      <c r="T114" s="1" t="s">
        <v>1360</v>
      </c>
      <c r="U114" s="1" t="n">
        <v>4</v>
      </c>
      <c r="V114" s="1" t="n">
        <v>0</v>
      </c>
    </row>
    <row r="115" customFormat="false" ht="18.7" hidden="false" customHeight="true" outlineLevel="0" collapsed="false">
      <c r="A115" s="1" t="n">
        <v>114</v>
      </c>
      <c r="B115" s="7" t="str">
        <f aca="false">HYPERLINK("https://mncourtfraud.com/file/27-CR-21-10185.pdf","27-CR-21-10185")</f>
        <v>27-CR-21-10185</v>
      </c>
      <c r="C115" s="1" t="n">
        <v>1</v>
      </c>
      <c r="D115" s="2" t="s">
        <v>12</v>
      </c>
      <c r="E115" s="8" t="n">
        <v>44439</v>
      </c>
      <c r="F115" s="2" t="s">
        <v>19</v>
      </c>
      <c r="G115" s="7" t="str">
        <f aca="false">HYPERLINK("https://mncourtfraud.com/file/MCRO_27-CR-21-10185_Findings and Order_2021-08-31_20251126181437.pdf","MCRO_27-CR-21-10185_Findings and Order_2021-08-31_20251126181437.pdf")</f>
        <v>MCRO_27-CR-21-10185_Findings and Order_2021-08-31_20251126181437.pdf</v>
      </c>
      <c r="H115" s="1" t="n">
        <v>5</v>
      </c>
      <c r="I115" s="1" t="s">
        <v>1366</v>
      </c>
      <c r="J115" s="1" t="n">
        <v>2</v>
      </c>
      <c r="K115" s="2" t="s">
        <v>2267</v>
      </c>
      <c r="L115" s="2" t="s">
        <v>1364</v>
      </c>
      <c r="M115" s="1" t="s">
        <v>1366</v>
      </c>
      <c r="N115" s="1" t="n">
        <v>1</v>
      </c>
      <c r="O115" s="2" t="n">
        <v>39.94</v>
      </c>
      <c r="P115" s="2" t="n">
        <v>95.64</v>
      </c>
      <c r="Q115" s="2" t="n">
        <v>67.79</v>
      </c>
      <c r="R115" s="1" t="n">
        <v>2</v>
      </c>
      <c r="S115" s="1" t="n">
        <v>0</v>
      </c>
      <c r="T115" s="1" t="s">
        <v>1360</v>
      </c>
      <c r="U115" s="1" t="n">
        <v>2</v>
      </c>
      <c r="V115" s="1" t="n">
        <v>0</v>
      </c>
    </row>
    <row r="116" customFormat="false" ht="18.7" hidden="false" customHeight="true" outlineLevel="0" collapsed="false">
      <c r="A116" s="1" t="n">
        <v>115</v>
      </c>
      <c r="B116" s="7" t="str">
        <f aca="false">HYPERLINK("https://mncourtfraud.com/file/27-CR-21-10185.pdf","27-CR-21-10185")</f>
        <v>27-CR-21-10185</v>
      </c>
      <c r="C116" s="1" t="n">
        <v>1</v>
      </c>
      <c r="D116" s="2" t="s">
        <v>12</v>
      </c>
      <c r="E116" s="8" t="n">
        <v>44593</v>
      </c>
      <c r="F116" s="2" t="s">
        <v>19</v>
      </c>
      <c r="G116" s="7" t="str">
        <f aca="false">HYPERLINK("https://mncourtfraud.com/file/MCRO_27-CR-21-10185_Findings and Order_2022-02-01_20251126181428.pdf","MCRO_27-CR-21-10185_Findings and Order_2022-02-01_20251126181428.pdf")</f>
        <v>MCRO_27-CR-21-10185_Findings and Order_2022-02-01_20251126181428.pdf</v>
      </c>
      <c r="H116" s="1" t="n">
        <v>4</v>
      </c>
      <c r="I116" s="1" t="s">
        <v>1360</v>
      </c>
      <c r="J116" s="1" t="n">
        <v>2</v>
      </c>
      <c r="K116" s="2" t="s">
        <v>2267</v>
      </c>
      <c r="L116" s="2" t="s">
        <v>1364</v>
      </c>
      <c r="M116" s="1" t="s">
        <v>1366</v>
      </c>
      <c r="N116" s="1" t="n">
        <v>1</v>
      </c>
      <c r="O116" s="2" t="n">
        <v>47.77</v>
      </c>
      <c r="P116" s="2" t="n">
        <v>95.47</v>
      </c>
      <c r="Q116" s="2" t="n">
        <v>71.62</v>
      </c>
      <c r="R116" s="1" t="n">
        <v>2</v>
      </c>
      <c r="S116" s="1" t="n">
        <v>0</v>
      </c>
      <c r="T116" s="1" t="s">
        <v>1360</v>
      </c>
      <c r="U116" s="1" t="n">
        <v>2</v>
      </c>
      <c r="V116" s="1" t="n">
        <v>0</v>
      </c>
    </row>
    <row r="117" customFormat="false" ht="18.7" hidden="false" customHeight="true" outlineLevel="0" collapsed="false">
      <c r="A117" s="1" t="n">
        <v>116</v>
      </c>
      <c r="B117" s="7" t="str">
        <f aca="false">HYPERLINK("https://mncourtfraud.com/file/27-CR-21-10185.pdf","27-CR-21-10185")</f>
        <v>27-CR-21-10185</v>
      </c>
      <c r="C117" s="1" t="n">
        <v>1</v>
      </c>
      <c r="D117" s="2" t="s">
        <v>12</v>
      </c>
      <c r="E117" s="8" t="n">
        <v>44439</v>
      </c>
      <c r="F117" s="2" t="s">
        <v>134</v>
      </c>
      <c r="G117" s="7" t="str">
        <f aca="false">HYPERLINK("https://mncourtfraud.com/file/MCRO_27-CR-21-10185_Notice of Intent to Prosecute_2021-08-31_20251126181452.pdf","MCRO_27-CR-21-10185_Notice of Intent to Prosecute_2021-08-31_20251126181452.pdf")</f>
        <v>MCRO_27-CR-21-10185_Notice of Intent to Prosecute_2021-08-31_20251126181452.pdf</v>
      </c>
      <c r="H117" s="1" t="n">
        <v>3</v>
      </c>
      <c r="I117" s="1" t="s">
        <v>1360</v>
      </c>
      <c r="J117" s="1" t="n">
        <v>1</v>
      </c>
      <c r="K117" s="2" t="s">
        <v>1362</v>
      </c>
      <c r="L117" s="2" t="s">
        <v>1364</v>
      </c>
      <c r="M117" s="1" t="s">
        <v>1360</v>
      </c>
      <c r="N117" s="1" t="n">
        <v>0</v>
      </c>
      <c r="O117" s="2" t="n">
        <v>88.06</v>
      </c>
      <c r="P117" s="2" t="n">
        <v>88.06</v>
      </c>
      <c r="Q117" s="2" t="n">
        <v>88.06</v>
      </c>
      <c r="R117" s="1" t="n">
        <v>1</v>
      </c>
      <c r="S117" s="1" t="n">
        <v>0</v>
      </c>
      <c r="T117" s="1" t="s">
        <v>1360</v>
      </c>
      <c r="U117" s="1" t="n">
        <v>3</v>
      </c>
      <c r="V117" s="1" t="n">
        <v>0</v>
      </c>
    </row>
    <row r="118" customFormat="false" ht="18.7" hidden="false" customHeight="true" outlineLevel="0" collapsed="false">
      <c r="A118" s="1" t="n">
        <v>117</v>
      </c>
      <c r="B118" s="7" t="str">
        <f aca="false">HYPERLINK("https://mncourtfraud.com/file/27-CR-21-10185.pdf","27-CR-21-10185")</f>
        <v>27-CR-21-10185</v>
      </c>
      <c r="C118" s="1" t="n">
        <v>1</v>
      </c>
      <c r="D118" s="2" t="s">
        <v>12</v>
      </c>
      <c r="E118" s="8" t="n">
        <v>44396</v>
      </c>
      <c r="F118" s="2" t="s">
        <v>15</v>
      </c>
      <c r="G118" s="7" t="str">
        <f aca="false">HYPERLINK("https://mncourtfraud.com/file/MCRO_27-CR-21-10185_Order-Evaluation for Competency to Proceed (Rule 20.01)_2021-07-19_20251126181524.pdf","MCRO_27-CR-21-10185_Order-Evaluation for Competency to Proceed (Rule 20.01)_2021-07-19_20251126181524.pdf")</f>
        <v>MCRO_27-CR-21-10185_Order-Evaluation for Competency to Proceed (Rule 20.01)_2021-07-19_20251126181524.pdf</v>
      </c>
      <c r="H118" s="1" t="n">
        <v>4</v>
      </c>
      <c r="I118" s="1" t="s">
        <v>1360</v>
      </c>
      <c r="J118" s="1" t="n">
        <v>1</v>
      </c>
      <c r="K118" s="2" t="s">
        <v>1362</v>
      </c>
      <c r="L118" s="2" t="s">
        <v>1364</v>
      </c>
      <c r="M118" s="1" t="s">
        <v>1360</v>
      </c>
      <c r="N118" s="1" t="n">
        <v>0</v>
      </c>
      <c r="O118" s="2" t="n">
        <v>91.67</v>
      </c>
      <c r="P118" s="2" t="n">
        <v>91.67</v>
      </c>
      <c r="Q118" s="2" t="n">
        <v>91.67</v>
      </c>
      <c r="R118" s="1" t="n">
        <v>1</v>
      </c>
      <c r="S118" s="1" t="n">
        <v>0</v>
      </c>
      <c r="T118" s="1" t="s">
        <v>1360</v>
      </c>
      <c r="U118" s="1" t="n">
        <v>4</v>
      </c>
      <c r="V118" s="1" t="n">
        <v>0</v>
      </c>
    </row>
    <row r="119" customFormat="false" ht="18.7" hidden="false" customHeight="true" outlineLevel="0" collapsed="false">
      <c r="A119" s="1" t="n">
        <v>118</v>
      </c>
      <c r="B119" s="7" t="str">
        <f aca="false">HYPERLINK("https://mncourtfraud.com/file/27-CR-21-10185.pdf","27-CR-21-10185")</f>
        <v>27-CR-21-10185</v>
      </c>
      <c r="C119" s="1" t="n">
        <v>1</v>
      </c>
      <c r="D119" s="2" t="s">
        <v>12</v>
      </c>
      <c r="E119" s="8" t="n">
        <v>44543</v>
      </c>
      <c r="F119" s="2" t="s">
        <v>15</v>
      </c>
      <c r="G119" s="7" t="str">
        <f aca="false">HYPERLINK("https://mncourtfraud.com/file/MCRO_27-CR-21-10185_Order-Evaluation for Competency to Proceed (Rule 20.01)_2021-12-13_20251126181536.pdf","MCRO_27-CR-21-10185_Order-Evaluation for Competency to Proceed (Rule 20.01)_2021-12-13_20251126181536.pdf")</f>
        <v>MCRO_27-CR-21-10185_Order-Evaluation for Competency to Proceed (Rule 20.01)_2021-12-13_20251126181536.pdf</v>
      </c>
      <c r="H119" s="1" t="n">
        <v>3</v>
      </c>
      <c r="I119" s="1" t="s">
        <v>1360</v>
      </c>
      <c r="J119" s="1" t="n">
        <v>1</v>
      </c>
      <c r="K119" s="2" t="s">
        <v>1362</v>
      </c>
      <c r="L119" s="2" t="s">
        <v>1364</v>
      </c>
      <c r="M119" s="1" t="s">
        <v>1360</v>
      </c>
      <c r="N119" s="1" t="n">
        <v>0</v>
      </c>
      <c r="O119" s="2" t="n">
        <v>92.99</v>
      </c>
      <c r="P119" s="2" t="n">
        <v>92.99</v>
      </c>
      <c r="Q119" s="2" t="n">
        <v>92.99</v>
      </c>
      <c r="R119" s="1" t="n">
        <v>1</v>
      </c>
      <c r="S119" s="1" t="n">
        <v>0</v>
      </c>
      <c r="T119" s="1" t="s">
        <v>1360</v>
      </c>
      <c r="U119" s="1" t="n">
        <v>3</v>
      </c>
      <c r="V119" s="1" t="n">
        <v>0</v>
      </c>
    </row>
    <row r="120" customFormat="false" ht="18.7" hidden="false" customHeight="true" outlineLevel="0" collapsed="false">
      <c r="A120" s="1" t="n">
        <v>119</v>
      </c>
      <c r="B120" s="7" t="str">
        <f aca="false">HYPERLINK("https://mncourtfraud.com/file/27-CR-21-10185.pdf","27-CR-21-10185")</f>
        <v>27-CR-21-10185</v>
      </c>
      <c r="C120" s="1" t="n">
        <v>1</v>
      </c>
      <c r="D120" s="2" t="s">
        <v>12</v>
      </c>
      <c r="E120" s="8" t="n">
        <v>44558</v>
      </c>
      <c r="F120" s="2" t="s">
        <v>15</v>
      </c>
      <c r="G120" s="7" t="str">
        <f aca="false">HYPERLINK("https://mncourtfraud.com/file/MCRO_27-CR-21-10185_Order-Evaluation for Competency to Proceed (Rule 20.01)_2021-12-28_20251126181546.pdf","MCRO_27-CR-21-10185_Order-Evaluation for Competency to Proceed (Rule 20.01)_2021-12-28_20251126181546.pdf")</f>
        <v>MCRO_27-CR-21-10185_Order-Evaluation for Competency to Proceed (Rule 20.01)_2021-12-28_20251126181546.pdf</v>
      </c>
      <c r="H120" s="1" t="n">
        <v>4</v>
      </c>
      <c r="I120" s="1" t="s">
        <v>1360</v>
      </c>
      <c r="J120" s="1" t="n">
        <v>1</v>
      </c>
      <c r="K120" s="2" t="s">
        <v>1362</v>
      </c>
      <c r="L120" s="2" t="s">
        <v>1364</v>
      </c>
      <c r="M120" s="1" t="s">
        <v>1360</v>
      </c>
      <c r="N120" s="1" t="n">
        <v>0</v>
      </c>
      <c r="O120" s="2" t="n">
        <v>93.19</v>
      </c>
      <c r="P120" s="2" t="n">
        <v>93.19</v>
      </c>
      <c r="Q120" s="2" t="n">
        <v>93.19</v>
      </c>
      <c r="R120" s="1" t="n">
        <v>1</v>
      </c>
      <c r="S120" s="1" t="n">
        <v>0</v>
      </c>
      <c r="T120" s="1" t="s">
        <v>1360</v>
      </c>
      <c r="U120" s="1" t="n">
        <v>4</v>
      </c>
      <c r="V120" s="1" t="n">
        <v>0</v>
      </c>
    </row>
    <row r="121" customFormat="false" ht="18.7" hidden="false" customHeight="true" outlineLevel="0" collapsed="false">
      <c r="A121" s="1" t="n">
        <v>120</v>
      </c>
      <c r="B121" s="7" t="str">
        <f aca="false">HYPERLINK("https://mncourtfraud.com/file/27-CR-21-10185.pdf","27-CR-21-10185")</f>
        <v>27-CR-21-10185</v>
      </c>
      <c r="C121" s="1" t="n">
        <v>1</v>
      </c>
      <c r="D121" s="2" t="s">
        <v>12</v>
      </c>
      <c r="E121" s="8" t="n">
        <v>44692</v>
      </c>
      <c r="F121" s="2" t="s">
        <v>15</v>
      </c>
      <c r="G121" s="7" t="str">
        <f aca="false">HYPERLINK("https://mncourtfraud.com/file/MCRO_27-CR-21-10185_Order-Evaluation for Competency to Proceed (Rule 20.01)_2022-05-11_20251126181600.pdf","MCRO_27-CR-21-10185_Order-Evaluation for Competency to Proceed (Rule 20.01)_2022-05-11_20251126181600.pdf")</f>
        <v>MCRO_27-CR-21-10185_Order-Evaluation for Competency to Proceed (Rule 20.01)_2022-05-11_20251126181600.pdf</v>
      </c>
      <c r="H121" s="1" t="n">
        <v>3</v>
      </c>
      <c r="I121" s="1" t="s">
        <v>1360</v>
      </c>
      <c r="J121" s="1" t="n">
        <v>1</v>
      </c>
      <c r="K121" s="2" t="s">
        <v>1362</v>
      </c>
      <c r="L121" s="2" t="s">
        <v>1364</v>
      </c>
      <c r="M121" s="1" t="s">
        <v>1360</v>
      </c>
      <c r="N121" s="1" t="n">
        <v>0</v>
      </c>
      <c r="O121" s="2" t="n">
        <v>93.17</v>
      </c>
      <c r="P121" s="2" t="n">
        <v>93.17</v>
      </c>
      <c r="Q121" s="2" t="n">
        <v>93.17</v>
      </c>
      <c r="R121" s="1" t="n">
        <v>1</v>
      </c>
      <c r="S121" s="1" t="n">
        <v>0</v>
      </c>
      <c r="T121" s="1" t="s">
        <v>1360</v>
      </c>
      <c r="U121" s="1" t="n">
        <v>3</v>
      </c>
      <c r="V121" s="1" t="n">
        <v>0</v>
      </c>
    </row>
    <row r="122" customFormat="false" ht="18.7" hidden="false" customHeight="true" outlineLevel="0" collapsed="false">
      <c r="A122" s="1" t="n">
        <v>121</v>
      </c>
      <c r="B122" s="7" t="str">
        <f aca="false">HYPERLINK("https://mncourtfraud.com/file/27-CR-21-10185.pdf","27-CR-21-10185")</f>
        <v>27-CR-21-10185</v>
      </c>
      <c r="C122" s="1" t="n">
        <v>1</v>
      </c>
      <c r="D122" s="2" t="s">
        <v>12</v>
      </c>
      <c r="E122" s="8" t="n">
        <v>44895</v>
      </c>
      <c r="F122" s="2" t="s">
        <v>15</v>
      </c>
      <c r="G122" s="7" t="str">
        <f aca="false">HYPERLINK("https://mncourtfraud.com/file/MCRO_27-CR-21-10185_Order-Evaluation for Competency to Proceed (Rule 20.01)_2022-11-30_20251126181610.pdf","MCRO_27-CR-21-10185_Order-Evaluation for Competency to Proceed (Rule 20.01)_2022-11-30_20251126181610.pdf")</f>
        <v>MCRO_27-CR-21-10185_Order-Evaluation for Competency to Proceed (Rule 20.01)_2022-11-30_20251126181610.pdf</v>
      </c>
      <c r="H122" s="1" t="n">
        <v>4</v>
      </c>
      <c r="I122" s="1" t="s">
        <v>1360</v>
      </c>
      <c r="J122" s="1" t="n">
        <v>1</v>
      </c>
      <c r="K122" s="2" t="s">
        <v>1362</v>
      </c>
      <c r="L122" s="2" t="s">
        <v>1364</v>
      </c>
      <c r="M122" s="1" t="s">
        <v>1360</v>
      </c>
      <c r="N122" s="1" t="n">
        <v>0</v>
      </c>
      <c r="O122" s="2" t="n">
        <v>97.99</v>
      </c>
      <c r="P122" s="2" t="n">
        <v>97.99</v>
      </c>
      <c r="Q122" s="2" t="n">
        <v>97.99</v>
      </c>
      <c r="R122" s="1" t="n">
        <v>1</v>
      </c>
      <c r="S122" s="1" t="n">
        <v>0</v>
      </c>
      <c r="T122" s="1" t="s">
        <v>1360</v>
      </c>
      <c r="U122" s="1" t="n">
        <v>4</v>
      </c>
      <c r="V122" s="1" t="n">
        <v>0</v>
      </c>
    </row>
    <row r="123" customFormat="false" ht="18.7" hidden="false" customHeight="true" outlineLevel="0" collapsed="false">
      <c r="A123" s="1" t="n">
        <v>122</v>
      </c>
      <c r="B123" s="7" t="str">
        <f aca="false">HYPERLINK("https://mncourtfraud.com/file/27-CR-21-10185.pdf","27-CR-21-10185")</f>
        <v>27-CR-21-10185</v>
      </c>
      <c r="C123" s="1" t="n">
        <v>1</v>
      </c>
      <c r="D123" s="2" t="s">
        <v>12</v>
      </c>
      <c r="E123" s="8" t="n">
        <v>44460</v>
      </c>
      <c r="F123" s="2" t="s">
        <v>24</v>
      </c>
      <c r="G123" s="7" t="str">
        <f aca="false">HYPERLINK("https://mncourtfraud.com/file/MCRO_27-CR-21-10185_Order for Conditional Release_2021-09-21_20251126181510.pdf","MCRO_27-CR-21-10185_Order for Conditional Release_2021-09-21_20251126181510.pdf")</f>
        <v>MCRO_27-CR-21-10185_Order for Conditional Release_2021-09-21_20251126181510.pdf</v>
      </c>
      <c r="H123" s="1" t="n">
        <v>4</v>
      </c>
      <c r="I123" s="1" t="s">
        <v>1360</v>
      </c>
      <c r="J123" s="1" t="n">
        <v>1</v>
      </c>
      <c r="K123" s="2" t="s">
        <v>1362</v>
      </c>
      <c r="L123" s="2" t="s">
        <v>1364</v>
      </c>
      <c r="M123" s="1" t="s">
        <v>1360</v>
      </c>
      <c r="N123" s="1" t="n">
        <v>0</v>
      </c>
      <c r="O123" s="2" t="n">
        <v>84.52</v>
      </c>
      <c r="P123" s="2" t="n">
        <v>84.52</v>
      </c>
      <c r="Q123" s="2" t="n">
        <v>84.52</v>
      </c>
      <c r="R123" s="1" t="n">
        <v>1</v>
      </c>
      <c r="S123" s="1" t="n">
        <v>0</v>
      </c>
      <c r="T123" s="1" t="s">
        <v>1360</v>
      </c>
      <c r="U123" s="1" t="n">
        <v>4</v>
      </c>
      <c r="V123" s="1" t="n">
        <v>0</v>
      </c>
    </row>
    <row r="124" customFormat="false" ht="18.7" hidden="false" customHeight="true" outlineLevel="0" collapsed="false">
      <c r="A124" s="1" t="n">
        <v>123</v>
      </c>
      <c r="B124" s="7" t="str">
        <f aca="false">HYPERLINK("https://mncourtfraud.com/file/27-CR-21-10185.pdf","27-CR-21-10185")</f>
        <v>27-CR-21-10185</v>
      </c>
      <c r="C124" s="1" t="n">
        <v>1</v>
      </c>
      <c r="D124" s="2" t="s">
        <v>12</v>
      </c>
      <c r="E124" s="8" t="n">
        <v>44468</v>
      </c>
      <c r="F124" s="2" t="s">
        <v>24</v>
      </c>
      <c r="G124" s="7" t="str">
        <f aca="false">HYPERLINK("https://mncourtfraud.com/file/MCRO_27-CR-21-10185_Order for Conditional Release_2021-09-29_20251126181506.pdf","MCRO_27-CR-21-10185_Order for Conditional Release_2021-09-29_20251126181506.pdf")</f>
        <v>MCRO_27-CR-21-10185_Order for Conditional Release_2021-09-29_20251126181506.pdf</v>
      </c>
      <c r="H124" s="1" t="n">
        <v>4</v>
      </c>
      <c r="I124" s="1" t="s">
        <v>1360</v>
      </c>
      <c r="J124" s="1" t="n">
        <v>1</v>
      </c>
      <c r="K124" s="2" t="s">
        <v>1362</v>
      </c>
      <c r="L124" s="2" t="s">
        <v>1364</v>
      </c>
      <c r="M124" s="1" t="s">
        <v>1360</v>
      </c>
      <c r="N124" s="1" t="n">
        <v>0</v>
      </c>
      <c r="O124" s="2" t="n">
        <v>89.21</v>
      </c>
      <c r="P124" s="2" t="n">
        <v>89.21</v>
      </c>
      <c r="Q124" s="2" t="n">
        <v>89.21</v>
      </c>
      <c r="R124" s="1" t="n">
        <v>1</v>
      </c>
      <c r="S124" s="1" t="n">
        <v>0</v>
      </c>
      <c r="T124" s="1" t="s">
        <v>1360</v>
      </c>
      <c r="U124" s="1" t="n">
        <v>4</v>
      </c>
      <c r="V124" s="1" t="n">
        <v>0</v>
      </c>
    </row>
    <row r="125" customFormat="false" ht="18.7" hidden="false" customHeight="true" outlineLevel="0" collapsed="false">
      <c r="A125" s="1" t="n">
        <v>124</v>
      </c>
      <c r="B125" s="7" t="str">
        <f aca="false">HYPERLINK("https://mncourtfraud.com/file/27-CR-21-12714.pdf","27-CR-21-12714")</f>
        <v>27-CR-21-12714</v>
      </c>
      <c r="C125" s="1" t="n">
        <v>1</v>
      </c>
      <c r="D125" s="2" t="s">
        <v>12</v>
      </c>
      <c r="E125" s="8" t="n">
        <v>44405</v>
      </c>
      <c r="F125" s="2" t="s">
        <v>145</v>
      </c>
      <c r="G125" s="7" t="str">
        <f aca="false">HYPERLINK("https://mncourtfraud.com/file/MCRO_27-CR-21-12714_Demand or Request for Discovery_2021-07-28_20251126181647.pdf","MCRO_27-CR-21-12714_Demand or Request for Discovery_2021-07-28_20251126181647.pdf")</f>
        <v>MCRO_27-CR-21-12714_Demand or Request for Discovery_2021-07-28_20251126181647.pdf</v>
      </c>
      <c r="H125" s="1" t="n">
        <v>3</v>
      </c>
      <c r="I125" s="1" t="s">
        <v>1360</v>
      </c>
      <c r="J125" s="1" t="n">
        <v>1</v>
      </c>
      <c r="K125" s="2" t="s">
        <v>1362</v>
      </c>
      <c r="L125" s="2" t="s">
        <v>1364</v>
      </c>
      <c r="M125" s="1" t="s">
        <v>1360</v>
      </c>
      <c r="N125" s="1" t="n">
        <v>0</v>
      </c>
      <c r="O125" s="2" t="n">
        <v>94.81</v>
      </c>
      <c r="P125" s="2" t="n">
        <v>94.81</v>
      </c>
      <c r="Q125" s="2" t="n">
        <v>94.81</v>
      </c>
      <c r="R125" s="1" t="n">
        <v>1</v>
      </c>
      <c r="S125" s="1" t="n">
        <v>0</v>
      </c>
      <c r="T125" s="1" t="s">
        <v>1360</v>
      </c>
      <c r="U125" s="1" t="n">
        <v>3</v>
      </c>
      <c r="V125" s="1" t="n">
        <v>0</v>
      </c>
    </row>
    <row r="126" customFormat="false" ht="18.7" hidden="false" customHeight="true" outlineLevel="0" collapsed="false">
      <c r="A126" s="1" t="n">
        <v>125</v>
      </c>
      <c r="B126" s="7" t="str">
        <f aca="false">HYPERLINK("https://mncourtfraud.com/file/27-CR-21-12714.pdf","27-CR-21-12714")</f>
        <v>27-CR-21-12714</v>
      </c>
      <c r="C126" s="1" t="n">
        <v>1</v>
      </c>
      <c r="D126" s="2" t="s">
        <v>12</v>
      </c>
      <c r="E126" s="8" t="n">
        <v>45048</v>
      </c>
      <c r="F126" s="2" t="s">
        <v>80</v>
      </c>
      <c r="G126" s="7" t="str">
        <f aca="false">HYPERLINK("https://mncourtfraud.com/file/MCRO_27-CR-21-12714_Finding of Incompetency and Order_2023-05-02_20251126181658.pdf","MCRO_27-CR-21-12714_Finding of Incompetency and Order_2023-05-02_20251126181658.pdf")</f>
        <v>MCRO_27-CR-21-12714_Finding of Incompetency and Order_2023-05-02_20251126181658.pdf</v>
      </c>
      <c r="H126" s="1" t="n">
        <v>9</v>
      </c>
      <c r="I126" s="1" t="s">
        <v>1366</v>
      </c>
      <c r="J126" s="1" t="n">
        <v>3</v>
      </c>
      <c r="K126" s="2" t="s">
        <v>2268</v>
      </c>
      <c r="L126" s="2" t="s">
        <v>2269</v>
      </c>
      <c r="M126" s="1" t="s">
        <v>1366</v>
      </c>
      <c r="N126" s="1" t="n">
        <v>2</v>
      </c>
      <c r="O126" s="2" t="n">
        <v>15.21</v>
      </c>
      <c r="P126" s="2" t="n">
        <v>98.32</v>
      </c>
      <c r="Q126" s="2" t="n">
        <v>45.35</v>
      </c>
      <c r="R126" s="1" t="n">
        <v>3</v>
      </c>
      <c r="S126" s="1" t="n">
        <v>0</v>
      </c>
      <c r="T126" s="1" t="s">
        <v>1360</v>
      </c>
      <c r="U126" s="1" t="n">
        <v>5</v>
      </c>
      <c r="V126" s="1" t="n">
        <v>3</v>
      </c>
    </row>
    <row r="127" customFormat="false" ht="18.7" hidden="false" customHeight="true" outlineLevel="0" collapsed="false">
      <c r="A127" s="1" t="n">
        <v>126</v>
      </c>
      <c r="B127" s="7" t="str">
        <f aca="false">HYPERLINK("https://mncourtfraud.com/file/27-CR-21-12714.pdf","27-CR-21-12714")</f>
        <v>27-CR-21-12714</v>
      </c>
      <c r="C127" s="1" t="n">
        <v>1</v>
      </c>
      <c r="D127" s="2" t="s">
        <v>12</v>
      </c>
      <c r="E127" s="8" t="n">
        <v>44439</v>
      </c>
      <c r="F127" s="2" t="s">
        <v>19</v>
      </c>
      <c r="G127" s="7" t="str">
        <f aca="false">HYPERLINK("https://mncourtfraud.com/file/MCRO_27-CR-21-12714_Findings and Order_2021-08-31_20251126181722.pdf","MCRO_27-CR-21-12714_Findings and Order_2021-08-31_20251126181722.pdf")</f>
        <v>MCRO_27-CR-21-12714_Findings and Order_2021-08-31_20251126181722.pdf</v>
      </c>
      <c r="H127" s="1" t="n">
        <v>5</v>
      </c>
      <c r="I127" s="1" t="s">
        <v>1366</v>
      </c>
      <c r="J127" s="1" t="n">
        <v>2</v>
      </c>
      <c r="K127" s="2" t="s">
        <v>2267</v>
      </c>
      <c r="L127" s="2" t="s">
        <v>1364</v>
      </c>
      <c r="M127" s="1" t="s">
        <v>1366</v>
      </c>
      <c r="N127" s="1" t="n">
        <v>1</v>
      </c>
      <c r="O127" s="2" t="n">
        <v>39.94</v>
      </c>
      <c r="P127" s="2" t="n">
        <v>95.64</v>
      </c>
      <c r="Q127" s="2" t="n">
        <v>67.79</v>
      </c>
      <c r="R127" s="1" t="n">
        <v>2</v>
      </c>
      <c r="S127" s="1" t="n">
        <v>0</v>
      </c>
      <c r="T127" s="1" t="s">
        <v>1360</v>
      </c>
      <c r="U127" s="1" t="n">
        <v>2</v>
      </c>
      <c r="V127" s="1" t="n">
        <v>0</v>
      </c>
    </row>
    <row r="128" customFormat="false" ht="18.7" hidden="false" customHeight="true" outlineLevel="0" collapsed="false">
      <c r="A128" s="1" t="n">
        <v>127</v>
      </c>
      <c r="B128" s="7" t="str">
        <f aca="false">HYPERLINK("https://mncourtfraud.com/file/27-CR-21-12714.pdf","27-CR-21-12714")</f>
        <v>27-CR-21-12714</v>
      </c>
      <c r="C128" s="1" t="n">
        <v>1</v>
      </c>
      <c r="D128" s="2" t="s">
        <v>12</v>
      </c>
      <c r="E128" s="8" t="n">
        <v>44593</v>
      </c>
      <c r="F128" s="2" t="s">
        <v>19</v>
      </c>
      <c r="G128" s="7" t="str">
        <f aca="false">HYPERLINK("https://mncourtfraud.com/file/MCRO_27-CR-21-12714_Findings and Order_2022-02-01_20251126181711.pdf","MCRO_27-CR-21-12714_Findings and Order_2022-02-01_20251126181711.pdf")</f>
        <v>MCRO_27-CR-21-12714_Findings and Order_2022-02-01_20251126181711.pdf</v>
      </c>
      <c r="H128" s="1" t="n">
        <v>4</v>
      </c>
      <c r="I128" s="1" t="s">
        <v>1360</v>
      </c>
      <c r="J128" s="1" t="n">
        <v>2</v>
      </c>
      <c r="K128" s="2" t="s">
        <v>2267</v>
      </c>
      <c r="L128" s="2" t="s">
        <v>1364</v>
      </c>
      <c r="M128" s="1" t="s">
        <v>1366</v>
      </c>
      <c r="N128" s="1" t="n">
        <v>1</v>
      </c>
      <c r="O128" s="2" t="n">
        <v>47.77</v>
      </c>
      <c r="P128" s="2" t="n">
        <v>95.47</v>
      </c>
      <c r="Q128" s="2" t="n">
        <v>71.62</v>
      </c>
      <c r="R128" s="1" t="n">
        <v>2</v>
      </c>
      <c r="S128" s="1" t="n">
        <v>0</v>
      </c>
      <c r="T128" s="1" t="s">
        <v>1360</v>
      </c>
      <c r="U128" s="1" t="n">
        <v>2</v>
      </c>
      <c r="V128" s="1" t="n">
        <v>0</v>
      </c>
    </row>
    <row r="129" customFormat="false" ht="18.7" hidden="false" customHeight="true" outlineLevel="0" collapsed="false">
      <c r="A129" s="1" t="n">
        <v>128</v>
      </c>
      <c r="B129" s="7" t="str">
        <f aca="false">HYPERLINK("https://mncourtfraud.com/file/27-CR-21-12714.pdf","27-CR-21-12714")</f>
        <v>27-CR-21-12714</v>
      </c>
      <c r="C129" s="1" t="n">
        <v>1</v>
      </c>
      <c r="D129" s="2" t="s">
        <v>12</v>
      </c>
      <c r="E129" s="8" t="n">
        <v>44396</v>
      </c>
      <c r="F129" s="2" t="s">
        <v>15</v>
      </c>
      <c r="G129" s="7" t="str">
        <f aca="false">HYPERLINK("https://mncourtfraud.com/file/MCRO_27-CR-21-12714_Order-Evaluation for Competency to Proceed (Rule 20.01)_2021-07-19_20251126181807.pdf","MCRO_27-CR-21-12714_Order-Evaluation for Competency to Proceed (Rule 20.01)_2021-07-19_20251126181807.pdf")</f>
        <v>MCRO_27-CR-21-12714_Order-Evaluation for Competency to Proceed (Rule 20.01)_2021-07-19_20251126181807.pdf</v>
      </c>
      <c r="H129" s="1" t="n">
        <v>4</v>
      </c>
      <c r="I129" s="1" t="s">
        <v>1360</v>
      </c>
      <c r="J129" s="1" t="n">
        <v>1</v>
      </c>
      <c r="K129" s="2" t="s">
        <v>1362</v>
      </c>
      <c r="L129" s="2" t="s">
        <v>1364</v>
      </c>
      <c r="M129" s="1" t="s">
        <v>1360</v>
      </c>
      <c r="N129" s="1" t="n">
        <v>0</v>
      </c>
      <c r="O129" s="2" t="n">
        <v>91.53</v>
      </c>
      <c r="P129" s="2" t="n">
        <v>91.53</v>
      </c>
      <c r="Q129" s="2" t="n">
        <v>91.53</v>
      </c>
      <c r="R129" s="1" t="n">
        <v>1</v>
      </c>
      <c r="S129" s="1" t="n">
        <v>0</v>
      </c>
      <c r="T129" s="1" t="s">
        <v>1360</v>
      </c>
      <c r="U129" s="1" t="n">
        <v>4</v>
      </c>
      <c r="V129" s="1" t="n">
        <v>0</v>
      </c>
    </row>
    <row r="130" customFormat="false" ht="18.7" hidden="false" customHeight="true" outlineLevel="0" collapsed="false">
      <c r="A130" s="1" t="n">
        <v>129</v>
      </c>
      <c r="B130" s="7" t="str">
        <f aca="false">HYPERLINK("https://mncourtfraud.com/file/27-CR-21-12714.pdf","27-CR-21-12714")</f>
        <v>27-CR-21-12714</v>
      </c>
      <c r="C130" s="1" t="n">
        <v>1</v>
      </c>
      <c r="D130" s="2" t="s">
        <v>12</v>
      </c>
      <c r="E130" s="8" t="n">
        <v>44543</v>
      </c>
      <c r="F130" s="2" t="s">
        <v>15</v>
      </c>
      <c r="G130" s="7" t="str">
        <f aca="false">HYPERLINK("https://mncourtfraud.com/file/MCRO_27-CR-21-12714_Order-Evaluation for Competency to Proceed (Rule 20.01)_2021-12-13_20251126181817.pdf","MCRO_27-CR-21-12714_Order-Evaluation for Competency to Proceed (Rule 20.01)_2021-12-13_20251126181817.pdf")</f>
        <v>MCRO_27-CR-21-12714_Order-Evaluation for Competency to Proceed (Rule 20.01)_2021-12-13_20251126181817.pdf</v>
      </c>
      <c r="H130" s="1" t="n">
        <v>3</v>
      </c>
      <c r="I130" s="1" t="s">
        <v>1360</v>
      </c>
      <c r="J130" s="1" t="n">
        <v>1</v>
      </c>
      <c r="K130" s="2" t="s">
        <v>1362</v>
      </c>
      <c r="L130" s="2" t="s">
        <v>1364</v>
      </c>
      <c r="M130" s="1" t="s">
        <v>1360</v>
      </c>
      <c r="N130" s="1" t="n">
        <v>0</v>
      </c>
      <c r="O130" s="2" t="n">
        <v>92.99</v>
      </c>
      <c r="P130" s="2" t="n">
        <v>92.99</v>
      </c>
      <c r="Q130" s="2" t="n">
        <v>92.99</v>
      </c>
      <c r="R130" s="1" t="n">
        <v>1</v>
      </c>
      <c r="S130" s="1" t="n">
        <v>0</v>
      </c>
      <c r="T130" s="1" t="s">
        <v>1360</v>
      </c>
      <c r="U130" s="1" t="n">
        <v>3</v>
      </c>
      <c r="V130" s="1" t="n">
        <v>0</v>
      </c>
    </row>
    <row r="131" customFormat="false" ht="18.7" hidden="false" customHeight="true" outlineLevel="0" collapsed="false">
      <c r="A131" s="1" t="n">
        <v>130</v>
      </c>
      <c r="B131" s="7" t="str">
        <f aca="false">HYPERLINK("https://mncourtfraud.com/file/27-CR-21-12714.pdf","27-CR-21-12714")</f>
        <v>27-CR-21-12714</v>
      </c>
      <c r="C131" s="1" t="n">
        <v>1</v>
      </c>
      <c r="D131" s="2" t="s">
        <v>12</v>
      </c>
      <c r="E131" s="8" t="n">
        <v>44558</v>
      </c>
      <c r="F131" s="2" t="s">
        <v>15</v>
      </c>
      <c r="G131" s="7" t="str">
        <f aca="false">HYPERLINK("https://mncourtfraud.com/file/MCRO_27-CR-21-12714_Order-Evaluation for Competency to Proceed (Rule 20.01)_2021-12-28_20251126181825.pdf","MCRO_27-CR-21-12714_Order-Evaluation for Competency to Proceed (Rule 20.01)_2021-12-28_20251126181825.pdf")</f>
        <v>MCRO_27-CR-21-12714_Order-Evaluation for Competency to Proceed (Rule 20.01)_2021-12-28_20251126181825.pdf</v>
      </c>
      <c r="H131" s="1" t="n">
        <v>4</v>
      </c>
      <c r="I131" s="1" t="s">
        <v>1360</v>
      </c>
      <c r="J131" s="1" t="n">
        <v>1</v>
      </c>
      <c r="K131" s="2" t="s">
        <v>1362</v>
      </c>
      <c r="L131" s="2" t="s">
        <v>1364</v>
      </c>
      <c r="M131" s="1" t="s">
        <v>1360</v>
      </c>
      <c r="N131" s="1" t="n">
        <v>0</v>
      </c>
      <c r="O131" s="2" t="n">
        <v>93.24</v>
      </c>
      <c r="P131" s="2" t="n">
        <v>93.24</v>
      </c>
      <c r="Q131" s="2" t="n">
        <v>93.24</v>
      </c>
      <c r="R131" s="1" t="n">
        <v>1</v>
      </c>
      <c r="S131" s="1" t="n">
        <v>0</v>
      </c>
      <c r="T131" s="1" t="s">
        <v>1360</v>
      </c>
      <c r="U131" s="1" t="n">
        <v>4</v>
      </c>
      <c r="V131" s="1" t="n">
        <v>0</v>
      </c>
    </row>
    <row r="132" customFormat="false" ht="18.7" hidden="false" customHeight="true" outlineLevel="0" collapsed="false">
      <c r="A132" s="1" t="n">
        <v>131</v>
      </c>
      <c r="B132" s="7" t="str">
        <f aca="false">HYPERLINK("https://mncourtfraud.com/file/27-CR-21-12714.pdf","27-CR-21-12714")</f>
        <v>27-CR-21-12714</v>
      </c>
      <c r="C132" s="1" t="n">
        <v>1</v>
      </c>
      <c r="D132" s="2" t="s">
        <v>12</v>
      </c>
      <c r="E132" s="8" t="n">
        <v>44692</v>
      </c>
      <c r="F132" s="2" t="s">
        <v>15</v>
      </c>
      <c r="G132" s="7" t="str">
        <f aca="false">HYPERLINK("https://mncourtfraud.com/file/MCRO_27-CR-21-12714_Order-Evaluation for Competency to Proceed (Rule 20.01)_2022-05-11_20251126181834.pdf","MCRO_27-CR-21-12714_Order-Evaluation for Competency to Proceed (Rule 20.01)_2022-05-11_20251126181834.pdf")</f>
        <v>MCRO_27-CR-21-12714_Order-Evaluation for Competency to Proceed (Rule 20.01)_2022-05-11_20251126181834.pdf</v>
      </c>
      <c r="H132" s="1" t="n">
        <v>3</v>
      </c>
      <c r="I132" s="1" t="s">
        <v>1360</v>
      </c>
      <c r="J132" s="1" t="n">
        <v>1</v>
      </c>
      <c r="K132" s="2" t="s">
        <v>1362</v>
      </c>
      <c r="L132" s="2" t="s">
        <v>1364</v>
      </c>
      <c r="M132" s="1" t="s">
        <v>1360</v>
      </c>
      <c r="N132" s="1" t="n">
        <v>0</v>
      </c>
      <c r="O132" s="2" t="n">
        <v>93.17</v>
      </c>
      <c r="P132" s="2" t="n">
        <v>93.17</v>
      </c>
      <c r="Q132" s="2" t="n">
        <v>93.17</v>
      </c>
      <c r="R132" s="1" t="n">
        <v>1</v>
      </c>
      <c r="S132" s="1" t="n">
        <v>0</v>
      </c>
      <c r="T132" s="1" t="s">
        <v>1360</v>
      </c>
      <c r="U132" s="1" t="n">
        <v>3</v>
      </c>
      <c r="V132" s="1" t="n">
        <v>0</v>
      </c>
    </row>
    <row r="133" customFormat="false" ht="18.7" hidden="false" customHeight="true" outlineLevel="0" collapsed="false">
      <c r="A133" s="1" t="n">
        <v>132</v>
      </c>
      <c r="B133" s="7" t="str">
        <f aca="false">HYPERLINK("https://mncourtfraud.com/file/27-CR-21-12714.pdf","27-CR-21-12714")</f>
        <v>27-CR-21-12714</v>
      </c>
      <c r="C133" s="1" t="n">
        <v>1</v>
      </c>
      <c r="D133" s="2" t="s">
        <v>12</v>
      </c>
      <c r="E133" s="8" t="n">
        <v>44895</v>
      </c>
      <c r="F133" s="2" t="s">
        <v>15</v>
      </c>
      <c r="G133" s="7" t="str">
        <f aca="false">HYPERLINK("https://mncourtfraud.com/file/MCRO_27-CR-21-12714_Order-Evaluation for Competency to Proceed (Rule 20.01)_2022-11-30_20251126181847.pdf","MCRO_27-CR-21-12714_Order-Evaluation for Competency to Proceed (Rule 20.01)_2022-11-30_20251126181847.pdf")</f>
        <v>MCRO_27-CR-21-12714_Order-Evaluation for Competency to Proceed (Rule 20.01)_2022-11-30_20251126181847.pdf</v>
      </c>
      <c r="H133" s="1" t="n">
        <v>4</v>
      </c>
      <c r="I133" s="1" t="s">
        <v>1360</v>
      </c>
      <c r="J133" s="1" t="n">
        <v>1</v>
      </c>
      <c r="K133" s="2" t="s">
        <v>1362</v>
      </c>
      <c r="L133" s="2" t="s">
        <v>1364</v>
      </c>
      <c r="M133" s="1" t="s">
        <v>1360</v>
      </c>
      <c r="N133" s="1" t="n">
        <v>0</v>
      </c>
      <c r="O133" s="2" t="n">
        <v>97.99</v>
      </c>
      <c r="P133" s="2" t="n">
        <v>97.99</v>
      </c>
      <c r="Q133" s="2" t="n">
        <v>97.99</v>
      </c>
      <c r="R133" s="1" t="n">
        <v>1</v>
      </c>
      <c r="S133" s="1" t="n">
        <v>0</v>
      </c>
      <c r="T133" s="1" t="s">
        <v>1360</v>
      </c>
      <c r="U133" s="1" t="n">
        <v>4</v>
      </c>
      <c r="V133" s="1" t="n">
        <v>0</v>
      </c>
    </row>
    <row r="134" customFormat="false" ht="18.7" hidden="false" customHeight="true" outlineLevel="0" collapsed="false">
      <c r="A134" s="1" t="n">
        <v>133</v>
      </c>
      <c r="B134" s="7" t="str">
        <f aca="false">HYPERLINK("https://mncourtfraud.com/file/27-CR-21-12714.pdf","27-CR-21-12714")</f>
        <v>27-CR-21-12714</v>
      </c>
      <c r="C134" s="1" t="n">
        <v>1</v>
      </c>
      <c r="D134" s="2" t="s">
        <v>12</v>
      </c>
      <c r="E134" s="8" t="n">
        <v>45160</v>
      </c>
      <c r="F134" s="2" t="s">
        <v>15</v>
      </c>
      <c r="G134" s="7" t="str">
        <f aca="false">HYPERLINK("https://mncourtfraud.com/file/MCRO_27-CR-21-12714_Order-Evaluation for Competency to Proceed (Rule 20.01)_2023-08-22_20251126181856.pdf","MCRO_27-CR-21-12714_Order-Evaluation for Competency to Proceed (Rule 20.01)_2023-08-22_20251126181856.pdf")</f>
        <v>MCRO_27-CR-21-12714_Order-Evaluation for Competency to Proceed (Rule 20.01)_2023-08-22_20251126181856.pdf</v>
      </c>
      <c r="H134" s="1" t="n">
        <v>6</v>
      </c>
      <c r="I134" s="1" t="s">
        <v>1366</v>
      </c>
      <c r="J134" s="1" t="n">
        <v>2</v>
      </c>
      <c r="K134" s="2" t="s">
        <v>2270</v>
      </c>
      <c r="L134" s="2" t="s">
        <v>2269</v>
      </c>
      <c r="M134" s="1" t="s">
        <v>1366</v>
      </c>
      <c r="N134" s="1" t="n">
        <v>1</v>
      </c>
      <c r="O134" s="2" t="n">
        <v>23.95</v>
      </c>
      <c r="P134" s="2" t="n">
        <v>98.13</v>
      </c>
      <c r="Q134" s="2" t="n">
        <v>61.04</v>
      </c>
      <c r="R134" s="1" t="n">
        <v>2</v>
      </c>
      <c r="S134" s="1" t="n">
        <v>0</v>
      </c>
      <c r="T134" s="1" t="s">
        <v>1360</v>
      </c>
      <c r="U134" s="1" t="n">
        <v>3</v>
      </c>
      <c r="V134" s="1" t="n">
        <v>3</v>
      </c>
    </row>
    <row r="135" customFormat="false" ht="18.7" hidden="false" customHeight="true" outlineLevel="0" collapsed="false">
      <c r="A135" s="1" t="n">
        <v>134</v>
      </c>
      <c r="B135" s="7" t="str">
        <f aca="false">HYPERLINK("https://mncourtfraud.com/file/27-CR-21-12714.pdf","27-CR-21-12714")</f>
        <v>27-CR-21-12714</v>
      </c>
      <c r="C135" s="1" t="n">
        <v>1</v>
      </c>
      <c r="D135" s="2" t="s">
        <v>12</v>
      </c>
      <c r="E135" s="8" t="n">
        <v>45412</v>
      </c>
      <c r="F135" s="2" t="s">
        <v>15</v>
      </c>
      <c r="G135" s="7" t="str">
        <f aca="false">HYPERLINK("https://mncourtfraud.com/file/MCRO_27-CR-21-12714_Order-Evaluation for Competency to Proceed (Rule 20.01)_2024-04-30_20251126181906.pdf","MCRO_27-CR-21-12714_Order-Evaluation for Competency to Proceed (Rule 20.01)_2024-04-30_20251126181906.pdf")</f>
        <v>MCRO_27-CR-21-12714_Order-Evaluation for Competency to Proceed (Rule 20.01)_2024-04-30_20251126181906.pdf</v>
      </c>
      <c r="H135" s="1" t="n">
        <v>4</v>
      </c>
      <c r="I135" s="1" t="s">
        <v>1360</v>
      </c>
      <c r="J135" s="1" t="n">
        <v>1</v>
      </c>
      <c r="K135" s="2" t="s">
        <v>1362</v>
      </c>
      <c r="L135" s="2" t="s">
        <v>1364</v>
      </c>
      <c r="M135" s="1" t="s">
        <v>1360</v>
      </c>
      <c r="N135" s="1" t="n">
        <v>0</v>
      </c>
      <c r="O135" s="2" t="n">
        <v>92.54</v>
      </c>
      <c r="P135" s="2" t="n">
        <v>92.54</v>
      </c>
      <c r="Q135" s="2" t="n">
        <v>92.54</v>
      </c>
      <c r="R135" s="1" t="n">
        <v>1</v>
      </c>
      <c r="S135" s="1" t="n">
        <v>0</v>
      </c>
      <c r="T135" s="1" t="s">
        <v>1360</v>
      </c>
      <c r="U135" s="1" t="n">
        <v>4</v>
      </c>
      <c r="V135" s="1" t="n">
        <v>0</v>
      </c>
    </row>
    <row r="136" customFormat="false" ht="18.7" hidden="false" customHeight="true" outlineLevel="0" collapsed="false">
      <c r="A136" s="1" t="n">
        <v>135</v>
      </c>
      <c r="B136" s="7" t="str">
        <f aca="false">HYPERLINK("https://mncourtfraud.com/file/27-CR-21-12714.pdf","27-CR-21-12714")</f>
        <v>27-CR-21-12714</v>
      </c>
      <c r="C136" s="1" t="n">
        <v>1</v>
      </c>
      <c r="D136" s="2" t="s">
        <v>12</v>
      </c>
      <c r="E136" s="8" t="n">
        <v>44460</v>
      </c>
      <c r="F136" s="2" t="s">
        <v>24</v>
      </c>
      <c r="G136" s="7" t="str">
        <f aca="false">HYPERLINK("https://mncourtfraud.com/file/MCRO_27-CR-21-12714_Order for Conditional Release_2021-09-21_20251126181747.pdf","MCRO_27-CR-21-12714_Order for Conditional Release_2021-09-21_20251126181747.pdf")</f>
        <v>MCRO_27-CR-21-12714_Order for Conditional Release_2021-09-21_20251126181747.pdf</v>
      </c>
      <c r="H136" s="1" t="n">
        <v>4</v>
      </c>
      <c r="I136" s="1" t="s">
        <v>1360</v>
      </c>
      <c r="J136" s="1" t="n">
        <v>1</v>
      </c>
      <c r="K136" s="2" t="s">
        <v>1362</v>
      </c>
      <c r="L136" s="2" t="s">
        <v>1364</v>
      </c>
      <c r="M136" s="1" t="s">
        <v>1360</v>
      </c>
      <c r="N136" s="1" t="n">
        <v>0</v>
      </c>
      <c r="O136" s="2" t="n">
        <v>84.52</v>
      </c>
      <c r="P136" s="2" t="n">
        <v>84.52</v>
      </c>
      <c r="Q136" s="2" t="n">
        <v>84.52</v>
      </c>
      <c r="R136" s="1" t="n">
        <v>1</v>
      </c>
      <c r="S136" s="1" t="n">
        <v>0</v>
      </c>
      <c r="T136" s="1" t="s">
        <v>1360</v>
      </c>
      <c r="U136" s="1" t="n">
        <v>4</v>
      </c>
      <c r="V136" s="1" t="n">
        <v>0</v>
      </c>
    </row>
    <row r="137" customFormat="false" ht="18.7" hidden="false" customHeight="true" outlineLevel="0" collapsed="false">
      <c r="A137" s="1" t="n">
        <v>136</v>
      </c>
      <c r="B137" s="7" t="str">
        <f aca="false">HYPERLINK("https://mncourtfraud.com/file/27-CR-21-12714.pdf","27-CR-21-12714")</f>
        <v>27-CR-21-12714</v>
      </c>
      <c r="C137" s="1" t="n">
        <v>1</v>
      </c>
      <c r="D137" s="2" t="s">
        <v>12</v>
      </c>
      <c r="E137" s="8" t="n">
        <v>44468</v>
      </c>
      <c r="F137" s="2" t="s">
        <v>24</v>
      </c>
      <c r="G137" s="7" t="str">
        <f aca="false">HYPERLINK("https://mncourtfraud.com/file/MCRO_27-CR-21-12714_Order for Conditional Release_2021-09-29_20251126181755.pdf","MCRO_27-CR-21-12714_Order for Conditional Release_2021-09-29_20251126181755.pdf")</f>
        <v>MCRO_27-CR-21-12714_Order for Conditional Release_2021-09-29_20251126181755.pdf</v>
      </c>
      <c r="H137" s="1" t="n">
        <v>4</v>
      </c>
      <c r="I137" s="1" t="s">
        <v>1360</v>
      </c>
      <c r="J137" s="1" t="n">
        <v>1</v>
      </c>
      <c r="K137" s="2" t="s">
        <v>1362</v>
      </c>
      <c r="L137" s="2" t="s">
        <v>1364</v>
      </c>
      <c r="M137" s="1" t="s">
        <v>1360</v>
      </c>
      <c r="N137" s="1" t="n">
        <v>0</v>
      </c>
      <c r="O137" s="2" t="n">
        <v>89.21</v>
      </c>
      <c r="P137" s="2" t="n">
        <v>89.21</v>
      </c>
      <c r="Q137" s="2" t="n">
        <v>89.21</v>
      </c>
      <c r="R137" s="1" t="n">
        <v>1</v>
      </c>
      <c r="S137" s="1" t="n">
        <v>0</v>
      </c>
      <c r="T137" s="1" t="s">
        <v>1360</v>
      </c>
      <c r="U137" s="1" t="n">
        <v>4</v>
      </c>
      <c r="V137" s="1" t="n">
        <v>0</v>
      </c>
    </row>
    <row r="138" customFormat="false" ht="18.7" hidden="false" customHeight="true" outlineLevel="0" collapsed="false">
      <c r="A138" s="1" t="n">
        <v>137</v>
      </c>
      <c r="B138" s="7" t="str">
        <f aca="false">HYPERLINK("https://mncourtfraud.com/file/27-CR-21-12714.pdf","27-CR-21-12714")</f>
        <v>27-CR-21-12714</v>
      </c>
      <c r="C138" s="1" t="n">
        <v>1</v>
      </c>
      <c r="D138" s="2" t="s">
        <v>12</v>
      </c>
      <c r="E138" s="8" t="n">
        <v>45412</v>
      </c>
      <c r="F138" s="2" t="s">
        <v>24</v>
      </c>
      <c r="G138" s="7" t="str">
        <f aca="false">HYPERLINK("https://mncourtfraud.com/file/MCRO_27-CR-21-12714_Order for Conditional Release_2024-04-30_20251126181738.pdf","MCRO_27-CR-21-12714_Order for Conditional Release_2024-04-30_20251126181738.pdf")</f>
        <v>MCRO_27-CR-21-12714_Order for Conditional Release_2024-04-30_20251126181738.pdf</v>
      </c>
      <c r="H138" s="1" t="n">
        <v>4</v>
      </c>
      <c r="I138" s="1" t="s">
        <v>1360</v>
      </c>
      <c r="J138" s="1" t="n">
        <v>1</v>
      </c>
      <c r="K138" s="2" t="s">
        <v>1362</v>
      </c>
      <c r="L138" s="2" t="s">
        <v>1364</v>
      </c>
      <c r="M138" s="1" t="s">
        <v>1360</v>
      </c>
      <c r="N138" s="1" t="n">
        <v>0</v>
      </c>
      <c r="O138" s="2" t="n">
        <v>89.11</v>
      </c>
      <c r="P138" s="2" t="n">
        <v>89.11</v>
      </c>
      <c r="Q138" s="2" t="n">
        <v>89.11</v>
      </c>
      <c r="R138" s="1" t="n">
        <v>1</v>
      </c>
      <c r="S138" s="1" t="n">
        <v>0</v>
      </c>
      <c r="T138" s="1" t="s">
        <v>1360</v>
      </c>
      <c r="U138" s="1" t="n">
        <v>4</v>
      </c>
      <c r="V138" s="1" t="n">
        <v>0</v>
      </c>
    </row>
    <row r="139" customFormat="false" ht="18.7" hidden="false" customHeight="true" outlineLevel="0" collapsed="false">
      <c r="A139" s="1" t="n">
        <v>138</v>
      </c>
      <c r="B139" s="7" t="str">
        <f aca="false">HYPERLINK("https://mncourtfraud.com/file/27-CR-21-12749.pdf","27-CR-21-12749")</f>
        <v>27-CR-21-12749</v>
      </c>
      <c r="C139" s="1" t="n">
        <v>1</v>
      </c>
      <c r="D139" s="2" t="s">
        <v>12</v>
      </c>
      <c r="E139" s="8" t="n">
        <v>44405</v>
      </c>
      <c r="F139" s="2" t="s">
        <v>145</v>
      </c>
      <c r="G139" s="7" t="str">
        <f aca="false">HYPERLINK("https://mncourtfraud.com/file/MCRO_27-CR-21-12749_Demand or Request for Discovery_2021-07-28_20251126181936.pdf","MCRO_27-CR-21-12749_Demand or Request for Discovery_2021-07-28_20251126181936.pdf")</f>
        <v>MCRO_27-CR-21-12749_Demand or Request for Discovery_2021-07-28_20251126181936.pdf</v>
      </c>
      <c r="H139" s="1" t="n">
        <v>3</v>
      </c>
      <c r="I139" s="1" t="s">
        <v>1360</v>
      </c>
      <c r="J139" s="1" t="n">
        <v>1</v>
      </c>
      <c r="K139" s="2" t="s">
        <v>1362</v>
      </c>
      <c r="L139" s="2" t="s">
        <v>1364</v>
      </c>
      <c r="M139" s="1" t="s">
        <v>1360</v>
      </c>
      <c r="N139" s="1" t="n">
        <v>0</v>
      </c>
      <c r="O139" s="2" t="n">
        <v>94.81</v>
      </c>
      <c r="P139" s="2" t="n">
        <v>94.81</v>
      </c>
      <c r="Q139" s="2" t="n">
        <v>94.81</v>
      </c>
      <c r="R139" s="1" t="n">
        <v>1</v>
      </c>
      <c r="S139" s="1" t="n">
        <v>0</v>
      </c>
      <c r="T139" s="1" t="s">
        <v>1360</v>
      </c>
      <c r="U139" s="1" t="n">
        <v>3</v>
      </c>
      <c r="V139" s="1" t="n">
        <v>0</v>
      </c>
    </row>
    <row r="140" customFormat="false" ht="18.7" hidden="false" customHeight="true" outlineLevel="0" collapsed="false">
      <c r="A140" s="1" t="n">
        <v>139</v>
      </c>
      <c r="B140" s="7" t="str">
        <f aca="false">HYPERLINK("https://mncourtfraud.com/file/27-CR-21-12749.pdf","27-CR-21-12749")</f>
        <v>27-CR-21-12749</v>
      </c>
      <c r="C140" s="1" t="n">
        <v>1</v>
      </c>
      <c r="D140" s="2" t="s">
        <v>12</v>
      </c>
      <c r="E140" s="8" t="n">
        <v>45048</v>
      </c>
      <c r="F140" s="2" t="s">
        <v>80</v>
      </c>
      <c r="G140" s="7" t="str">
        <f aca="false">HYPERLINK("https://mncourtfraud.com/file/MCRO_27-CR-21-12749_Finding of Incompetency and Order_2023-05-02_20251126181946.pdf","MCRO_27-CR-21-12749_Finding of Incompetency and Order_2023-05-02_20251126181946.pdf")</f>
        <v>MCRO_27-CR-21-12749_Finding of Incompetency and Order_2023-05-02_20251126181946.pdf</v>
      </c>
      <c r="H140" s="1" t="n">
        <v>9</v>
      </c>
      <c r="I140" s="1" t="s">
        <v>1366</v>
      </c>
      <c r="J140" s="1" t="n">
        <v>3</v>
      </c>
      <c r="K140" s="2" t="s">
        <v>2268</v>
      </c>
      <c r="L140" s="2" t="s">
        <v>2269</v>
      </c>
      <c r="M140" s="1" t="s">
        <v>1366</v>
      </c>
      <c r="N140" s="1" t="n">
        <v>2</v>
      </c>
      <c r="O140" s="2" t="n">
        <v>15.21</v>
      </c>
      <c r="P140" s="2" t="n">
        <v>98.32</v>
      </c>
      <c r="Q140" s="2" t="n">
        <v>45.35</v>
      </c>
      <c r="R140" s="1" t="n">
        <v>3</v>
      </c>
      <c r="S140" s="1" t="n">
        <v>0</v>
      </c>
      <c r="T140" s="1" t="s">
        <v>1360</v>
      </c>
      <c r="U140" s="1" t="n">
        <v>5</v>
      </c>
      <c r="V140" s="1" t="n">
        <v>3</v>
      </c>
    </row>
    <row r="141" customFormat="false" ht="18.7" hidden="false" customHeight="true" outlineLevel="0" collapsed="false">
      <c r="A141" s="1" t="n">
        <v>140</v>
      </c>
      <c r="B141" s="7" t="str">
        <f aca="false">HYPERLINK("https://mncourtfraud.com/file/27-CR-21-12749.pdf","27-CR-21-12749")</f>
        <v>27-CR-21-12749</v>
      </c>
      <c r="C141" s="1" t="n">
        <v>1</v>
      </c>
      <c r="D141" s="2" t="s">
        <v>12</v>
      </c>
      <c r="E141" s="8" t="n">
        <v>44439</v>
      </c>
      <c r="F141" s="2" t="s">
        <v>19</v>
      </c>
      <c r="G141" s="7" t="str">
        <f aca="false">HYPERLINK("https://mncourtfraud.com/file/MCRO_27-CR-21-12749_Findings and Order_2021-08-31_20251126182009.pdf","MCRO_27-CR-21-12749_Findings and Order_2021-08-31_20251126182009.pdf")</f>
        <v>MCRO_27-CR-21-12749_Findings and Order_2021-08-31_20251126182009.pdf</v>
      </c>
      <c r="H141" s="1" t="n">
        <v>5</v>
      </c>
      <c r="I141" s="1" t="s">
        <v>1366</v>
      </c>
      <c r="J141" s="1" t="n">
        <v>2</v>
      </c>
      <c r="K141" s="2" t="s">
        <v>2267</v>
      </c>
      <c r="L141" s="2" t="s">
        <v>1364</v>
      </c>
      <c r="M141" s="1" t="s">
        <v>1366</v>
      </c>
      <c r="N141" s="1" t="n">
        <v>1</v>
      </c>
      <c r="O141" s="2" t="n">
        <v>39.94</v>
      </c>
      <c r="P141" s="2" t="n">
        <v>95.64</v>
      </c>
      <c r="Q141" s="2" t="n">
        <v>67.79</v>
      </c>
      <c r="R141" s="1" t="n">
        <v>2</v>
      </c>
      <c r="S141" s="1" t="n">
        <v>0</v>
      </c>
      <c r="T141" s="1" t="s">
        <v>1360</v>
      </c>
      <c r="U141" s="1" t="n">
        <v>2</v>
      </c>
      <c r="V141" s="1" t="n">
        <v>0</v>
      </c>
    </row>
    <row r="142" customFormat="false" ht="18.7" hidden="false" customHeight="true" outlineLevel="0" collapsed="false">
      <c r="A142" s="1" t="n">
        <v>141</v>
      </c>
      <c r="B142" s="7" t="str">
        <f aca="false">HYPERLINK("https://mncourtfraud.com/file/27-CR-21-12749.pdf","27-CR-21-12749")</f>
        <v>27-CR-21-12749</v>
      </c>
      <c r="C142" s="1" t="n">
        <v>1</v>
      </c>
      <c r="D142" s="2" t="s">
        <v>12</v>
      </c>
      <c r="E142" s="8" t="n">
        <v>44593</v>
      </c>
      <c r="F142" s="2" t="s">
        <v>19</v>
      </c>
      <c r="G142" s="7" t="str">
        <f aca="false">HYPERLINK("https://mncourtfraud.com/file/MCRO_27-CR-21-12749_Findings and Order_2022-02-01_20251126181958.pdf","MCRO_27-CR-21-12749_Findings and Order_2022-02-01_20251126181958.pdf")</f>
        <v>MCRO_27-CR-21-12749_Findings and Order_2022-02-01_20251126181958.pdf</v>
      </c>
      <c r="H142" s="1" t="n">
        <v>4</v>
      </c>
      <c r="I142" s="1" t="s">
        <v>1360</v>
      </c>
      <c r="J142" s="1" t="n">
        <v>2</v>
      </c>
      <c r="K142" s="2" t="s">
        <v>2267</v>
      </c>
      <c r="L142" s="2" t="s">
        <v>1364</v>
      </c>
      <c r="M142" s="1" t="s">
        <v>1366</v>
      </c>
      <c r="N142" s="1" t="n">
        <v>1</v>
      </c>
      <c r="O142" s="2" t="n">
        <v>47.77</v>
      </c>
      <c r="P142" s="2" t="n">
        <v>95.47</v>
      </c>
      <c r="Q142" s="2" t="n">
        <v>71.62</v>
      </c>
      <c r="R142" s="1" t="n">
        <v>2</v>
      </c>
      <c r="S142" s="1" t="n">
        <v>0</v>
      </c>
      <c r="T142" s="1" t="s">
        <v>1360</v>
      </c>
      <c r="U142" s="1" t="n">
        <v>2</v>
      </c>
      <c r="V142" s="1" t="n">
        <v>0</v>
      </c>
    </row>
    <row r="143" customFormat="false" ht="18.7" hidden="false" customHeight="true" outlineLevel="0" collapsed="false">
      <c r="A143" s="1" t="n">
        <v>142</v>
      </c>
      <c r="B143" s="7" t="str">
        <f aca="false">HYPERLINK("https://mncourtfraud.com/file/27-CR-21-12749.pdf","27-CR-21-12749")</f>
        <v>27-CR-21-12749</v>
      </c>
      <c r="C143" s="1" t="n">
        <v>1</v>
      </c>
      <c r="D143" s="2" t="s">
        <v>12</v>
      </c>
      <c r="E143" s="8" t="n">
        <v>45093</v>
      </c>
      <c r="F143" s="2" t="s">
        <v>82</v>
      </c>
      <c r="G143" s="7" t="str">
        <f aca="false">HYPERLINK("https://mncourtfraud.com/file/MCRO_27-CR-21-12749_Notice of Case Reassignment_2023-06-16_20251126182023.pdf","MCRO_27-CR-21-12749_Notice of Case Reassignment_2023-06-16_20251126182023.pdf")</f>
        <v>MCRO_27-CR-21-12749_Notice of Case Reassignment_2023-06-16_20251126182023.pdf</v>
      </c>
      <c r="H143" s="1" t="n">
        <v>3</v>
      </c>
      <c r="I143" s="1" t="s">
        <v>1360</v>
      </c>
      <c r="J143" s="1" t="n">
        <v>1</v>
      </c>
      <c r="K143" s="2" t="s">
        <v>1362</v>
      </c>
      <c r="L143" s="2" t="s">
        <v>1364</v>
      </c>
      <c r="M143" s="1" t="s">
        <v>1360</v>
      </c>
      <c r="N143" s="1" t="n">
        <v>0</v>
      </c>
      <c r="O143" s="2" t="n">
        <v>85.58</v>
      </c>
      <c r="P143" s="2" t="n">
        <v>85.58</v>
      </c>
      <c r="Q143" s="2" t="n">
        <v>85.58</v>
      </c>
      <c r="R143" s="1" t="n">
        <v>1</v>
      </c>
      <c r="S143" s="1" t="n">
        <v>0</v>
      </c>
      <c r="T143" s="1" t="s">
        <v>1360</v>
      </c>
      <c r="U143" s="1" t="n">
        <v>3</v>
      </c>
      <c r="V143" s="1" t="n">
        <v>0</v>
      </c>
    </row>
    <row r="144" customFormat="false" ht="18.7" hidden="false" customHeight="true" outlineLevel="0" collapsed="false">
      <c r="A144" s="1" t="n">
        <v>143</v>
      </c>
      <c r="B144" s="7" t="str">
        <f aca="false">HYPERLINK("https://mncourtfraud.com/file/27-CR-21-12749.pdf","27-CR-21-12749")</f>
        <v>27-CR-21-12749</v>
      </c>
      <c r="C144" s="1" t="n">
        <v>1</v>
      </c>
      <c r="D144" s="2" t="s">
        <v>12</v>
      </c>
      <c r="E144" s="8" t="n">
        <v>44396</v>
      </c>
      <c r="F144" s="2" t="s">
        <v>15</v>
      </c>
      <c r="G144" s="7" t="str">
        <f aca="false">HYPERLINK("https://mncourtfraud.com/file/MCRO_27-CR-21-12749_Order-Evaluation for Competency to Proceed (Rule 20.01)_2021-07-19_20251126182123.pdf","MCRO_27-CR-21-12749_Order-Evaluation for Competency to Proceed (Rule 20.01)_2021-07-19_20251126182123.pdf")</f>
        <v>MCRO_27-CR-21-12749_Order-Evaluation for Competency to Proceed (Rule 20.01)_2021-07-19_20251126182123.pdf</v>
      </c>
      <c r="H144" s="1" t="n">
        <v>4</v>
      </c>
      <c r="I144" s="1" t="s">
        <v>1360</v>
      </c>
      <c r="J144" s="1" t="n">
        <v>1</v>
      </c>
      <c r="K144" s="2" t="s">
        <v>1362</v>
      </c>
      <c r="L144" s="2" t="s">
        <v>1364</v>
      </c>
      <c r="M144" s="1" t="s">
        <v>1360</v>
      </c>
      <c r="N144" s="1" t="n">
        <v>0</v>
      </c>
      <c r="O144" s="2" t="n">
        <v>91.53</v>
      </c>
      <c r="P144" s="2" t="n">
        <v>91.53</v>
      </c>
      <c r="Q144" s="2" t="n">
        <v>91.53</v>
      </c>
      <c r="R144" s="1" t="n">
        <v>1</v>
      </c>
      <c r="S144" s="1" t="n">
        <v>0</v>
      </c>
      <c r="T144" s="1" t="s">
        <v>1360</v>
      </c>
      <c r="U144" s="1" t="n">
        <v>4</v>
      </c>
      <c r="V144" s="1" t="n">
        <v>0</v>
      </c>
    </row>
    <row r="145" customFormat="false" ht="18.7" hidden="false" customHeight="true" outlineLevel="0" collapsed="false">
      <c r="A145" s="1" t="n">
        <v>144</v>
      </c>
      <c r="B145" s="7" t="str">
        <f aca="false">HYPERLINK("https://mncourtfraud.com/file/27-CR-21-12749.pdf","27-CR-21-12749")</f>
        <v>27-CR-21-12749</v>
      </c>
      <c r="C145" s="1" t="n">
        <v>1</v>
      </c>
      <c r="D145" s="2" t="s">
        <v>12</v>
      </c>
      <c r="E145" s="8" t="n">
        <v>44543</v>
      </c>
      <c r="F145" s="2" t="s">
        <v>15</v>
      </c>
      <c r="G145" s="7" t="str">
        <f aca="false">HYPERLINK("https://mncourtfraud.com/file/MCRO_27-CR-21-12749_Order-Evaluation for Competency to Proceed (Rule 20.01)_2021-12-13_20251126182133.pdf","MCRO_27-CR-21-12749_Order-Evaluation for Competency to Proceed (Rule 20.01)_2021-12-13_20251126182133.pdf")</f>
        <v>MCRO_27-CR-21-12749_Order-Evaluation for Competency to Proceed (Rule 20.01)_2021-12-13_20251126182133.pdf</v>
      </c>
      <c r="H145" s="1" t="n">
        <v>3</v>
      </c>
      <c r="I145" s="1" t="s">
        <v>1360</v>
      </c>
      <c r="J145" s="1" t="n">
        <v>1</v>
      </c>
      <c r="K145" s="2" t="s">
        <v>1362</v>
      </c>
      <c r="L145" s="2" t="s">
        <v>1364</v>
      </c>
      <c r="M145" s="1" t="s">
        <v>1360</v>
      </c>
      <c r="N145" s="1" t="n">
        <v>0</v>
      </c>
      <c r="O145" s="2" t="n">
        <v>92.99</v>
      </c>
      <c r="P145" s="2" t="n">
        <v>92.99</v>
      </c>
      <c r="Q145" s="2" t="n">
        <v>92.99</v>
      </c>
      <c r="R145" s="1" t="n">
        <v>1</v>
      </c>
      <c r="S145" s="1" t="n">
        <v>0</v>
      </c>
      <c r="T145" s="1" t="s">
        <v>1360</v>
      </c>
      <c r="U145" s="1" t="n">
        <v>3</v>
      </c>
      <c r="V145" s="1" t="n">
        <v>0</v>
      </c>
    </row>
    <row r="146" customFormat="false" ht="18.7" hidden="false" customHeight="true" outlineLevel="0" collapsed="false">
      <c r="A146" s="1" t="n">
        <v>145</v>
      </c>
      <c r="B146" s="7" t="str">
        <f aca="false">HYPERLINK("https://mncourtfraud.com/file/27-CR-21-12749.pdf","27-CR-21-12749")</f>
        <v>27-CR-21-12749</v>
      </c>
      <c r="C146" s="1" t="n">
        <v>1</v>
      </c>
      <c r="D146" s="2" t="s">
        <v>12</v>
      </c>
      <c r="E146" s="8" t="n">
        <v>44558</v>
      </c>
      <c r="F146" s="2" t="s">
        <v>15</v>
      </c>
      <c r="G146" s="7" t="str">
        <f aca="false">HYPERLINK("https://mncourtfraud.com/file/MCRO_27-CR-21-12749_Order-Evaluation for Competency to Proceed (Rule 20.01)_2021-12-28_20251126182145.pdf","MCRO_27-CR-21-12749_Order-Evaluation for Competency to Proceed (Rule 20.01)_2021-12-28_20251126182145.pdf")</f>
        <v>MCRO_27-CR-21-12749_Order-Evaluation for Competency to Proceed (Rule 20.01)_2021-12-28_20251126182145.pdf</v>
      </c>
      <c r="H146" s="1" t="n">
        <v>4</v>
      </c>
      <c r="I146" s="1" t="s">
        <v>1360</v>
      </c>
      <c r="J146" s="1" t="n">
        <v>1</v>
      </c>
      <c r="K146" s="2" t="s">
        <v>1362</v>
      </c>
      <c r="L146" s="2" t="s">
        <v>1364</v>
      </c>
      <c r="M146" s="1" t="s">
        <v>1360</v>
      </c>
      <c r="N146" s="1" t="n">
        <v>0</v>
      </c>
      <c r="O146" s="2" t="n">
        <v>93.16</v>
      </c>
      <c r="P146" s="2" t="n">
        <v>93.16</v>
      </c>
      <c r="Q146" s="2" t="n">
        <v>93.16</v>
      </c>
      <c r="R146" s="1" t="n">
        <v>1</v>
      </c>
      <c r="S146" s="1" t="n">
        <v>0</v>
      </c>
      <c r="T146" s="1" t="s">
        <v>1360</v>
      </c>
      <c r="U146" s="1" t="n">
        <v>4</v>
      </c>
      <c r="V146" s="1" t="n">
        <v>0</v>
      </c>
    </row>
    <row r="147" customFormat="false" ht="18.7" hidden="false" customHeight="true" outlineLevel="0" collapsed="false">
      <c r="A147" s="1" t="n">
        <v>146</v>
      </c>
      <c r="B147" s="7" t="str">
        <f aca="false">HYPERLINK("https://mncourtfraud.com/file/27-CR-21-12749.pdf","27-CR-21-12749")</f>
        <v>27-CR-21-12749</v>
      </c>
      <c r="C147" s="1" t="n">
        <v>1</v>
      </c>
      <c r="D147" s="2" t="s">
        <v>12</v>
      </c>
      <c r="E147" s="8" t="n">
        <v>44692</v>
      </c>
      <c r="F147" s="2" t="s">
        <v>15</v>
      </c>
      <c r="G147" s="7" t="str">
        <f aca="false">HYPERLINK("https://mncourtfraud.com/file/MCRO_27-CR-21-12749_Order-Evaluation for Competency to Proceed (Rule 20.01)_2022-05-11_20251126182155.pdf","MCRO_27-CR-21-12749_Order-Evaluation for Competency to Proceed (Rule 20.01)_2022-05-11_20251126182155.pdf")</f>
        <v>MCRO_27-CR-21-12749_Order-Evaluation for Competency to Proceed (Rule 20.01)_2022-05-11_20251126182155.pdf</v>
      </c>
      <c r="H147" s="1" t="n">
        <v>3</v>
      </c>
      <c r="I147" s="1" t="s">
        <v>1360</v>
      </c>
      <c r="J147" s="1" t="n">
        <v>1</v>
      </c>
      <c r="K147" s="2" t="s">
        <v>1362</v>
      </c>
      <c r="L147" s="2" t="s">
        <v>1364</v>
      </c>
      <c r="M147" s="1" t="s">
        <v>1360</v>
      </c>
      <c r="N147" s="1" t="n">
        <v>0</v>
      </c>
      <c r="O147" s="2" t="n">
        <v>93.17</v>
      </c>
      <c r="P147" s="2" t="n">
        <v>93.17</v>
      </c>
      <c r="Q147" s="2" t="n">
        <v>93.17</v>
      </c>
      <c r="R147" s="1" t="n">
        <v>1</v>
      </c>
      <c r="S147" s="1" t="n">
        <v>0</v>
      </c>
      <c r="T147" s="1" t="s">
        <v>1360</v>
      </c>
      <c r="U147" s="1" t="n">
        <v>3</v>
      </c>
      <c r="V147" s="1" t="n">
        <v>0</v>
      </c>
    </row>
    <row r="148" customFormat="false" ht="18.7" hidden="false" customHeight="true" outlineLevel="0" collapsed="false">
      <c r="A148" s="1" t="n">
        <v>147</v>
      </c>
      <c r="B148" s="7" t="str">
        <f aca="false">HYPERLINK("https://mncourtfraud.com/file/27-CR-21-12749.pdf","27-CR-21-12749")</f>
        <v>27-CR-21-12749</v>
      </c>
      <c r="C148" s="1" t="n">
        <v>1</v>
      </c>
      <c r="D148" s="2" t="s">
        <v>12</v>
      </c>
      <c r="E148" s="8" t="n">
        <v>44895</v>
      </c>
      <c r="F148" s="2" t="s">
        <v>15</v>
      </c>
      <c r="G148" s="7" t="str">
        <f aca="false">HYPERLINK("https://mncourtfraud.com/file/MCRO_27-CR-21-12749_Order-Evaluation for Competency to Proceed (Rule 20.01)_2022-11-30_20251126182203.pdf","MCRO_27-CR-21-12749_Order-Evaluation for Competency to Proceed (Rule 20.01)_2022-11-30_20251126182203.pdf")</f>
        <v>MCRO_27-CR-21-12749_Order-Evaluation for Competency to Proceed (Rule 20.01)_2022-11-30_20251126182203.pdf</v>
      </c>
      <c r="H148" s="1" t="n">
        <v>4</v>
      </c>
      <c r="I148" s="1" t="s">
        <v>1360</v>
      </c>
      <c r="J148" s="1" t="n">
        <v>1</v>
      </c>
      <c r="K148" s="2" t="s">
        <v>1362</v>
      </c>
      <c r="L148" s="2" t="s">
        <v>1364</v>
      </c>
      <c r="M148" s="1" t="s">
        <v>1360</v>
      </c>
      <c r="N148" s="1" t="n">
        <v>0</v>
      </c>
      <c r="O148" s="2" t="n">
        <v>97.99</v>
      </c>
      <c r="P148" s="2" t="n">
        <v>97.99</v>
      </c>
      <c r="Q148" s="2" t="n">
        <v>97.99</v>
      </c>
      <c r="R148" s="1" t="n">
        <v>1</v>
      </c>
      <c r="S148" s="1" t="n">
        <v>0</v>
      </c>
      <c r="T148" s="1" t="s">
        <v>1360</v>
      </c>
      <c r="U148" s="1" t="n">
        <v>4</v>
      </c>
      <c r="V148" s="1" t="n">
        <v>0</v>
      </c>
    </row>
    <row r="149" customFormat="false" ht="18.7" hidden="false" customHeight="true" outlineLevel="0" collapsed="false">
      <c r="A149" s="1" t="n">
        <v>148</v>
      </c>
      <c r="B149" s="7" t="str">
        <f aca="false">HYPERLINK("https://mncourtfraud.com/file/27-CR-21-12749.pdf","27-CR-21-12749")</f>
        <v>27-CR-21-12749</v>
      </c>
      <c r="C149" s="1" t="n">
        <v>1</v>
      </c>
      <c r="D149" s="2" t="s">
        <v>12</v>
      </c>
      <c r="E149" s="8" t="n">
        <v>45160</v>
      </c>
      <c r="F149" s="2" t="s">
        <v>15</v>
      </c>
      <c r="G149" s="7" t="str">
        <f aca="false">HYPERLINK("https://mncourtfraud.com/file/MCRO_27-CR-21-12749_Order-Evaluation for Competency to Proceed (Rule 20.01)_2023-08-22_20251126182213.pdf","MCRO_27-CR-21-12749_Order-Evaluation for Competency to Proceed (Rule 20.01)_2023-08-22_20251126182213.pdf")</f>
        <v>MCRO_27-CR-21-12749_Order-Evaluation for Competency to Proceed (Rule 20.01)_2023-08-22_20251126182213.pdf</v>
      </c>
      <c r="H149" s="1" t="n">
        <v>6</v>
      </c>
      <c r="I149" s="1" t="s">
        <v>1366</v>
      </c>
      <c r="J149" s="1" t="n">
        <v>2</v>
      </c>
      <c r="K149" s="2" t="s">
        <v>2270</v>
      </c>
      <c r="L149" s="2" t="s">
        <v>2269</v>
      </c>
      <c r="M149" s="1" t="s">
        <v>1366</v>
      </c>
      <c r="N149" s="1" t="n">
        <v>1</v>
      </c>
      <c r="O149" s="2" t="n">
        <v>23.95</v>
      </c>
      <c r="P149" s="2" t="n">
        <v>98.13</v>
      </c>
      <c r="Q149" s="2" t="n">
        <v>61.04</v>
      </c>
      <c r="R149" s="1" t="n">
        <v>2</v>
      </c>
      <c r="S149" s="1" t="n">
        <v>0</v>
      </c>
      <c r="T149" s="1" t="s">
        <v>1360</v>
      </c>
      <c r="U149" s="1" t="n">
        <v>3</v>
      </c>
      <c r="V149" s="1" t="n">
        <v>3</v>
      </c>
    </row>
    <row r="150" customFormat="false" ht="18.7" hidden="false" customHeight="true" outlineLevel="0" collapsed="false">
      <c r="A150" s="1" t="n">
        <v>149</v>
      </c>
      <c r="B150" s="7" t="str">
        <f aca="false">HYPERLINK("https://mncourtfraud.com/file/27-CR-21-12749.pdf","27-CR-21-12749")</f>
        <v>27-CR-21-12749</v>
      </c>
      <c r="C150" s="1" t="n">
        <v>1</v>
      </c>
      <c r="D150" s="2" t="s">
        <v>12</v>
      </c>
      <c r="E150" s="8" t="n">
        <v>45412</v>
      </c>
      <c r="F150" s="2" t="s">
        <v>15</v>
      </c>
      <c r="G150" s="7" t="str">
        <f aca="false">HYPERLINK("https://mncourtfraud.com/file/MCRO_27-CR-21-12749_Order-Evaluation for Competency to Proceed (Rule 20.01)_2024-04-30_20251126182222.pdf","MCRO_27-CR-21-12749_Order-Evaluation for Competency to Proceed (Rule 20.01)_2024-04-30_20251126182222.pdf")</f>
        <v>MCRO_27-CR-21-12749_Order-Evaluation for Competency to Proceed (Rule 20.01)_2024-04-30_20251126182222.pdf</v>
      </c>
      <c r="H150" s="1" t="n">
        <v>4</v>
      </c>
      <c r="I150" s="1" t="s">
        <v>1360</v>
      </c>
      <c r="J150" s="1" t="n">
        <v>1</v>
      </c>
      <c r="K150" s="2" t="s">
        <v>1362</v>
      </c>
      <c r="L150" s="2" t="s">
        <v>1364</v>
      </c>
      <c r="M150" s="1" t="s">
        <v>1360</v>
      </c>
      <c r="N150" s="1" t="n">
        <v>0</v>
      </c>
      <c r="O150" s="2" t="n">
        <v>92.54</v>
      </c>
      <c r="P150" s="2" t="n">
        <v>92.54</v>
      </c>
      <c r="Q150" s="2" t="n">
        <v>92.54</v>
      </c>
      <c r="R150" s="1" t="n">
        <v>1</v>
      </c>
      <c r="S150" s="1" t="n">
        <v>0</v>
      </c>
      <c r="T150" s="1" t="s">
        <v>1360</v>
      </c>
      <c r="U150" s="1" t="n">
        <v>4</v>
      </c>
      <c r="V150" s="1" t="n">
        <v>0</v>
      </c>
    </row>
    <row r="151" customFormat="false" ht="18.7" hidden="false" customHeight="true" outlineLevel="0" collapsed="false">
      <c r="A151" s="1" t="n">
        <v>150</v>
      </c>
      <c r="B151" s="7" t="str">
        <f aca="false">HYPERLINK("https://mncourtfraud.com/file/27-CR-21-12749.pdf","27-CR-21-12749")</f>
        <v>27-CR-21-12749</v>
      </c>
      <c r="C151" s="1" t="n">
        <v>1</v>
      </c>
      <c r="D151" s="2" t="s">
        <v>12</v>
      </c>
      <c r="E151" s="8" t="n">
        <v>44460</v>
      </c>
      <c r="F151" s="2" t="s">
        <v>24</v>
      </c>
      <c r="G151" s="7" t="str">
        <f aca="false">HYPERLINK("https://mncourtfraud.com/file/MCRO_27-CR-21-12749_Order for Conditional Release_2021-09-21_20251126182103.pdf","MCRO_27-CR-21-12749_Order for Conditional Release_2021-09-21_20251126182103.pdf")</f>
        <v>MCRO_27-CR-21-12749_Order for Conditional Release_2021-09-21_20251126182103.pdf</v>
      </c>
      <c r="H151" s="1" t="n">
        <v>4</v>
      </c>
      <c r="I151" s="1" t="s">
        <v>1360</v>
      </c>
      <c r="J151" s="1" t="n">
        <v>1</v>
      </c>
      <c r="K151" s="2" t="s">
        <v>1362</v>
      </c>
      <c r="L151" s="2" t="s">
        <v>1364</v>
      </c>
      <c r="M151" s="1" t="s">
        <v>1360</v>
      </c>
      <c r="N151" s="1" t="n">
        <v>0</v>
      </c>
      <c r="O151" s="2" t="n">
        <v>84.52</v>
      </c>
      <c r="P151" s="2" t="n">
        <v>84.52</v>
      </c>
      <c r="Q151" s="2" t="n">
        <v>84.52</v>
      </c>
      <c r="R151" s="1" t="n">
        <v>1</v>
      </c>
      <c r="S151" s="1" t="n">
        <v>0</v>
      </c>
      <c r="T151" s="1" t="s">
        <v>1360</v>
      </c>
      <c r="U151" s="1" t="n">
        <v>4</v>
      </c>
      <c r="V151" s="1" t="n">
        <v>0</v>
      </c>
    </row>
    <row r="152" customFormat="false" ht="18.7" hidden="false" customHeight="true" outlineLevel="0" collapsed="false">
      <c r="A152" s="1" t="n">
        <v>151</v>
      </c>
      <c r="B152" s="7" t="str">
        <f aca="false">HYPERLINK("https://mncourtfraud.com/file/27-CR-21-12749.pdf","27-CR-21-12749")</f>
        <v>27-CR-21-12749</v>
      </c>
      <c r="C152" s="1" t="n">
        <v>1</v>
      </c>
      <c r="D152" s="2" t="s">
        <v>12</v>
      </c>
      <c r="E152" s="8" t="n">
        <v>44468</v>
      </c>
      <c r="F152" s="2" t="s">
        <v>24</v>
      </c>
      <c r="G152" s="7" t="str">
        <f aca="false">HYPERLINK("https://mncourtfraud.com/file/MCRO_27-CR-21-12749_Order for Conditional Release_2021-09-29_20251126182110.pdf","MCRO_27-CR-21-12749_Order for Conditional Release_2021-09-29_20251126182110.pdf")</f>
        <v>MCRO_27-CR-21-12749_Order for Conditional Release_2021-09-29_20251126182110.pdf</v>
      </c>
      <c r="H152" s="1" t="n">
        <v>4</v>
      </c>
      <c r="I152" s="1" t="s">
        <v>1360</v>
      </c>
      <c r="J152" s="1" t="n">
        <v>1</v>
      </c>
      <c r="K152" s="2" t="s">
        <v>1362</v>
      </c>
      <c r="L152" s="2" t="s">
        <v>1364</v>
      </c>
      <c r="M152" s="1" t="s">
        <v>1360</v>
      </c>
      <c r="N152" s="1" t="n">
        <v>0</v>
      </c>
      <c r="O152" s="2" t="n">
        <v>89.21</v>
      </c>
      <c r="P152" s="2" t="n">
        <v>89.21</v>
      </c>
      <c r="Q152" s="2" t="n">
        <v>89.21</v>
      </c>
      <c r="R152" s="1" t="n">
        <v>1</v>
      </c>
      <c r="S152" s="1" t="n">
        <v>0</v>
      </c>
      <c r="T152" s="1" t="s">
        <v>1360</v>
      </c>
      <c r="U152" s="1" t="n">
        <v>4</v>
      </c>
      <c r="V152" s="1" t="n">
        <v>0</v>
      </c>
    </row>
    <row r="153" customFormat="false" ht="18.7" hidden="false" customHeight="true" outlineLevel="0" collapsed="false">
      <c r="A153" s="1" t="n">
        <v>152</v>
      </c>
      <c r="B153" s="7" t="str">
        <f aca="false">HYPERLINK("https://mncourtfraud.com/file/27-CR-21-12749.pdf","27-CR-21-12749")</f>
        <v>27-CR-21-12749</v>
      </c>
      <c r="C153" s="1" t="n">
        <v>1</v>
      </c>
      <c r="D153" s="2" t="s">
        <v>12</v>
      </c>
      <c r="E153" s="8" t="n">
        <v>45412</v>
      </c>
      <c r="F153" s="2" t="s">
        <v>24</v>
      </c>
      <c r="G153" s="7" t="str">
        <f aca="false">HYPERLINK("https://mncourtfraud.com/file/MCRO_27-CR-21-12749_Order for Conditional Release_2024-04-30_20251126182051.pdf","MCRO_27-CR-21-12749_Order for Conditional Release_2024-04-30_20251126182051.pdf")</f>
        <v>MCRO_27-CR-21-12749_Order for Conditional Release_2024-04-30_20251126182051.pdf</v>
      </c>
      <c r="H153" s="1" t="n">
        <v>4</v>
      </c>
      <c r="I153" s="1" t="s">
        <v>1360</v>
      </c>
      <c r="J153" s="1" t="n">
        <v>1</v>
      </c>
      <c r="K153" s="2" t="s">
        <v>1362</v>
      </c>
      <c r="L153" s="2" t="s">
        <v>1364</v>
      </c>
      <c r="M153" s="1" t="s">
        <v>1360</v>
      </c>
      <c r="N153" s="1" t="n">
        <v>0</v>
      </c>
      <c r="O153" s="2" t="n">
        <v>89.11</v>
      </c>
      <c r="P153" s="2" t="n">
        <v>89.11</v>
      </c>
      <c r="Q153" s="2" t="n">
        <v>89.11</v>
      </c>
      <c r="R153" s="1" t="n">
        <v>1</v>
      </c>
      <c r="S153" s="1" t="n">
        <v>0</v>
      </c>
      <c r="T153" s="1" t="s">
        <v>1360</v>
      </c>
      <c r="U153" s="1" t="n">
        <v>4</v>
      </c>
      <c r="V153" s="1" t="n">
        <v>0</v>
      </c>
    </row>
    <row r="154" customFormat="false" ht="18.7" hidden="false" customHeight="true" outlineLevel="0" collapsed="false">
      <c r="A154" s="1" t="n">
        <v>153</v>
      </c>
      <c r="B154" s="7" t="str">
        <f aca="false">HYPERLINK("https://mncourtfraud.com/file/27-CR-21-12762.pdf","27-CR-21-12762")</f>
        <v>27-CR-21-12762</v>
      </c>
      <c r="C154" s="1" t="n">
        <v>1</v>
      </c>
      <c r="D154" s="2" t="s">
        <v>12</v>
      </c>
      <c r="E154" s="8" t="n">
        <v>44405</v>
      </c>
      <c r="F154" s="2" t="s">
        <v>145</v>
      </c>
      <c r="G154" s="7" t="str">
        <f aca="false">HYPERLINK("https://mncourtfraud.com/file/MCRO_27-CR-21-12762_Demand or Request for Discovery_2021-07-28_20251126182249.pdf","MCRO_27-CR-21-12762_Demand or Request for Discovery_2021-07-28_20251126182249.pdf")</f>
        <v>MCRO_27-CR-21-12762_Demand or Request for Discovery_2021-07-28_20251126182249.pdf</v>
      </c>
      <c r="H154" s="1" t="n">
        <v>3</v>
      </c>
      <c r="I154" s="1" t="s">
        <v>1360</v>
      </c>
      <c r="J154" s="1" t="n">
        <v>1</v>
      </c>
      <c r="K154" s="2" t="s">
        <v>1362</v>
      </c>
      <c r="L154" s="2" t="s">
        <v>1364</v>
      </c>
      <c r="M154" s="1" t="s">
        <v>1360</v>
      </c>
      <c r="N154" s="1" t="n">
        <v>0</v>
      </c>
      <c r="O154" s="2" t="n">
        <v>94.81</v>
      </c>
      <c r="P154" s="2" t="n">
        <v>94.81</v>
      </c>
      <c r="Q154" s="2" t="n">
        <v>94.81</v>
      </c>
      <c r="R154" s="1" t="n">
        <v>1</v>
      </c>
      <c r="S154" s="1" t="n">
        <v>0</v>
      </c>
      <c r="T154" s="1" t="s">
        <v>1360</v>
      </c>
      <c r="U154" s="1" t="n">
        <v>3</v>
      </c>
      <c r="V154" s="1" t="n">
        <v>0</v>
      </c>
    </row>
    <row r="155" customFormat="false" ht="18.7" hidden="false" customHeight="true" outlineLevel="0" collapsed="false">
      <c r="A155" s="1" t="n">
        <v>154</v>
      </c>
      <c r="B155" s="7" t="str">
        <f aca="false">HYPERLINK("https://mncourtfraud.com/file/27-CR-21-12762.pdf","27-CR-21-12762")</f>
        <v>27-CR-21-12762</v>
      </c>
      <c r="C155" s="1" t="n">
        <v>1</v>
      </c>
      <c r="D155" s="2" t="s">
        <v>12</v>
      </c>
      <c r="E155" s="8" t="n">
        <v>45048</v>
      </c>
      <c r="F155" s="2" t="s">
        <v>80</v>
      </c>
      <c r="G155" s="7" t="str">
        <f aca="false">HYPERLINK("https://mncourtfraud.com/file/MCRO_27-CR-21-12762_Finding of Incompetency and Order_2023-05-02_20251126182300.pdf","MCRO_27-CR-21-12762_Finding of Incompetency and Order_2023-05-02_20251126182300.pdf")</f>
        <v>MCRO_27-CR-21-12762_Finding of Incompetency and Order_2023-05-02_20251126182300.pdf</v>
      </c>
      <c r="H155" s="1" t="n">
        <v>9</v>
      </c>
      <c r="I155" s="1" t="s">
        <v>1366</v>
      </c>
      <c r="J155" s="1" t="n">
        <v>3</v>
      </c>
      <c r="K155" s="2" t="s">
        <v>2268</v>
      </c>
      <c r="L155" s="2" t="s">
        <v>2269</v>
      </c>
      <c r="M155" s="1" t="s">
        <v>1366</v>
      </c>
      <c r="N155" s="1" t="n">
        <v>2</v>
      </c>
      <c r="O155" s="2" t="n">
        <v>15.21</v>
      </c>
      <c r="P155" s="2" t="n">
        <v>98.32</v>
      </c>
      <c r="Q155" s="2" t="n">
        <v>45.35</v>
      </c>
      <c r="R155" s="1" t="n">
        <v>3</v>
      </c>
      <c r="S155" s="1" t="n">
        <v>0</v>
      </c>
      <c r="T155" s="1" t="s">
        <v>1360</v>
      </c>
      <c r="U155" s="1" t="n">
        <v>5</v>
      </c>
      <c r="V155" s="1" t="n">
        <v>3</v>
      </c>
    </row>
    <row r="156" customFormat="false" ht="18.7" hidden="false" customHeight="true" outlineLevel="0" collapsed="false">
      <c r="A156" s="1" t="n">
        <v>155</v>
      </c>
      <c r="B156" s="7" t="str">
        <f aca="false">HYPERLINK("https://mncourtfraud.com/file/27-CR-21-12762.pdf","27-CR-21-12762")</f>
        <v>27-CR-21-12762</v>
      </c>
      <c r="C156" s="1" t="n">
        <v>1</v>
      </c>
      <c r="D156" s="2" t="s">
        <v>12</v>
      </c>
      <c r="E156" s="8" t="n">
        <v>44439</v>
      </c>
      <c r="F156" s="2" t="s">
        <v>19</v>
      </c>
      <c r="G156" s="7" t="str">
        <f aca="false">HYPERLINK("https://mncourtfraud.com/file/MCRO_27-CR-21-12762_Findings and Order_2021-08-31_20251126182327.pdf","MCRO_27-CR-21-12762_Findings and Order_2021-08-31_20251126182327.pdf")</f>
        <v>MCRO_27-CR-21-12762_Findings and Order_2021-08-31_20251126182327.pdf</v>
      </c>
      <c r="H156" s="1" t="n">
        <v>5</v>
      </c>
      <c r="I156" s="1" t="s">
        <v>1366</v>
      </c>
      <c r="J156" s="1" t="n">
        <v>2</v>
      </c>
      <c r="K156" s="2" t="s">
        <v>2267</v>
      </c>
      <c r="L156" s="2" t="s">
        <v>1364</v>
      </c>
      <c r="M156" s="1" t="s">
        <v>1366</v>
      </c>
      <c r="N156" s="1" t="n">
        <v>1</v>
      </c>
      <c r="O156" s="2" t="n">
        <v>39.94</v>
      </c>
      <c r="P156" s="2" t="n">
        <v>95.64</v>
      </c>
      <c r="Q156" s="2" t="n">
        <v>67.79</v>
      </c>
      <c r="R156" s="1" t="n">
        <v>2</v>
      </c>
      <c r="S156" s="1" t="n">
        <v>0</v>
      </c>
      <c r="T156" s="1" t="s">
        <v>1360</v>
      </c>
      <c r="U156" s="1" t="n">
        <v>2</v>
      </c>
      <c r="V156" s="1" t="n">
        <v>0</v>
      </c>
    </row>
    <row r="157" customFormat="false" ht="18.7" hidden="false" customHeight="true" outlineLevel="0" collapsed="false">
      <c r="A157" s="1" t="n">
        <v>156</v>
      </c>
      <c r="B157" s="7" t="str">
        <f aca="false">HYPERLINK("https://mncourtfraud.com/file/27-CR-21-12762.pdf","27-CR-21-12762")</f>
        <v>27-CR-21-12762</v>
      </c>
      <c r="C157" s="1" t="n">
        <v>1</v>
      </c>
      <c r="D157" s="2" t="s">
        <v>12</v>
      </c>
      <c r="E157" s="8" t="n">
        <v>44593</v>
      </c>
      <c r="F157" s="2" t="s">
        <v>19</v>
      </c>
      <c r="G157" s="7" t="str">
        <f aca="false">HYPERLINK("https://mncourtfraud.com/file/MCRO_27-CR-21-12762_Findings and Order_2022-02-01_20251126182314.pdf","MCRO_27-CR-21-12762_Findings and Order_2022-02-01_20251126182314.pdf")</f>
        <v>MCRO_27-CR-21-12762_Findings and Order_2022-02-01_20251126182314.pdf</v>
      </c>
      <c r="H157" s="1" t="n">
        <v>4</v>
      </c>
      <c r="I157" s="1" t="s">
        <v>1360</v>
      </c>
      <c r="J157" s="1" t="n">
        <v>2</v>
      </c>
      <c r="K157" s="2" t="s">
        <v>2267</v>
      </c>
      <c r="L157" s="2" t="s">
        <v>1364</v>
      </c>
      <c r="M157" s="1" t="s">
        <v>1366</v>
      </c>
      <c r="N157" s="1" t="n">
        <v>1</v>
      </c>
      <c r="O157" s="2" t="n">
        <v>47.77</v>
      </c>
      <c r="P157" s="2" t="n">
        <v>95.47</v>
      </c>
      <c r="Q157" s="2" t="n">
        <v>71.62</v>
      </c>
      <c r="R157" s="1" t="n">
        <v>2</v>
      </c>
      <c r="S157" s="1" t="n">
        <v>0</v>
      </c>
      <c r="T157" s="1" t="s">
        <v>1360</v>
      </c>
      <c r="U157" s="1" t="n">
        <v>2</v>
      </c>
      <c r="V157" s="1" t="n">
        <v>0</v>
      </c>
    </row>
    <row r="158" customFormat="false" ht="18.7" hidden="false" customHeight="true" outlineLevel="0" collapsed="false">
      <c r="A158" s="1" t="n">
        <v>157</v>
      </c>
      <c r="B158" s="7" t="str">
        <f aca="false">HYPERLINK("https://mncourtfraud.com/file/27-CR-21-12762.pdf","27-CR-21-12762")</f>
        <v>27-CR-21-12762</v>
      </c>
      <c r="C158" s="1" t="n">
        <v>1</v>
      </c>
      <c r="D158" s="2" t="s">
        <v>12</v>
      </c>
      <c r="E158" s="8" t="n">
        <v>45093</v>
      </c>
      <c r="F158" s="2" t="s">
        <v>82</v>
      </c>
      <c r="G158" s="7" t="str">
        <f aca="false">HYPERLINK("https://mncourtfraud.com/file/MCRO_27-CR-21-12762_Notice of Case Reassignment_2023-06-16_20251126182340.pdf","MCRO_27-CR-21-12762_Notice of Case Reassignment_2023-06-16_20251126182340.pdf")</f>
        <v>MCRO_27-CR-21-12762_Notice of Case Reassignment_2023-06-16_20251126182340.pdf</v>
      </c>
      <c r="H158" s="1" t="n">
        <v>3</v>
      </c>
      <c r="I158" s="1" t="s">
        <v>1360</v>
      </c>
      <c r="J158" s="1" t="n">
        <v>1</v>
      </c>
      <c r="K158" s="2" t="s">
        <v>1362</v>
      </c>
      <c r="L158" s="2" t="s">
        <v>1364</v>
      </c>
      <c r="M158" s="1" t="s">
        <v>1360</v>
      </c>
      <c r="N158" s="1" t="n">
        <v>0</v>
      </c>
      <c r="O158" s="2" t="n">
        <v>85.58</v>
      </c>
      <c r="P158" s="2" t="n">
        <v>85.58</v>
      </c>
      <c r="Q158" s="2" t="n">
        <v>85.58</v>
      </c>
      <c r="R158" s="1" t="n">
        <v>1</v>
      </c>
      <c r="S158" s="1" t="n">
        <v>0</v>
      </c>
      <c r="T158" s="1" t="s">
        <v>1360</v>
      </c>
      <c r="U158" s="1" t="n">
        <v>3</v>
      </c>
      <c r="V158" s="1" t="n">
        <v>0</v>
      </c>
    </row>
    <row r="159" customFormat="false" ht="18.7" hidden="false" customHeight="true" outlineLevel="0" collapsed="false">
      <c r="A159" s="1" t="n">
        <v>158</v>
      </c>
      <c r="B159" s="7" t="str">
        <f aca="false">HYPERLINK("https://mncourtfraud.com/file/27-CR-21-12762.pdf","27-CR-21-12762")</f>
        <v>27-CR-21-12762</v>
      </c>
      <c r="C159" s="1" t="n">
        <v>1</v>
      </c>
      <c r="D159" s="2" t="s">
        <v>12</v>
      </c>
      <c r="E159" s="8" t="n">
        <v>44396</v>
      </c>
      <c r="F159" s="2" t="s">
        <v>15</v>
      </c>
      <c r="G159" s="7" t="str">
        <f aca="false">HYPERLINK("https://mncourtfraud.com/file/MCRO_27-CR-21-12762_Order-Evaluation for Competency to Proceed (Rule 20.01)_2021-07-19_20251126182430.pdf","MCRO_27-CR-21-12762_Order-Evaluation for Competency to Proceed (Rule 20.01)_2021-07-19_20251126182430.pdf")</f>
        <v>MCRO_27-CR-21-12762_Order-Evaluation for Competency to Proceed (Rule 20.01)_2021-07-19_20251126182430.pdf</v>
      </c>
      <c r="H159" s="1" t="n">
        <v>4</v>
      </c>
      <c r="I159" s="1" t="s">
        <v>1360</v>
      </c>
      <c r="J159" s="1" t="n">
        <v>1</v>
      </c>
      <c r="K159" s="2" t="s">
        <v>1362</v>
      </c>
      <c r="L159" s="2" t="s">
        <v>1364</v>
      </c>
      <c r="M159" s="1" t="s">
        <v>1360</v>
      </c>
      <c r="N159" s="1" t="n">
        <v>0</v>
      </c>
      <c r="O159" s="2" t="n">
        <v>91.7</v>
      </c>
      <c r="P159" s="2" t="n">
        <v>91.7</v>
      </c>
      <c r="Q159" s="2" t="n">
        <v>91.7</v>
      </c>
      <c r="R159" s="1" t="n">
        <v>1</v>
      </c>
      <c r="S159" s="1" t="n">
        <v>0</v>
      </c>
      <c r="T159" s="1" t="s">
        <v>1360</v>
      </c>
      <c r="U159" s="1" t="n">
        <v>4</v>
      </c>
      <c r="V159" s="1" t="n">
        <v>0</v>
      </c>
    </row>
    <row r="160" customFormat="false" ht="18.7" hidden="false" customHeight="true" outlineLevel="0" collapsed="false">
      <c r="A160" s="1" t="n">
        <v>159</v>
      </c>
      <c r="B160" s="7" t="str">
        <f aca="false">HYPERLINK("https://mncourtfraud.com/file/27-CR-21-12762.pdf","27-CR-21-12762")</f>
        <v>27-CR-21-12762</v>
      </c>
      <c r="C160" s="1" t="n">
        <v>1</v>
      </c>
      <c r="D160" s="2" t="s">
        <v>12</v>
      </c>
      <c r="E160" s="8" t="n">
        <v>44543</v>
      </c>
      <c r="F160" s="2" t="s">
        <v>15</v>
      </c>
      <c r="G160" s="7" t="str">
        <f aca="false">HYPERLINK("https://mncourtfraud.com/file/MCRO_27-CR-21-12762_Order-Evaluation for Competency to Proceed (Rule 20.01)_2021-12-13_20251126182440.pdf","MCRO_27-CR-21-12762_Order-Evaluation for Competency to Proceed (Rule 20.01)_2021-12-13_20251126182440.pdf")</f>
        <v>MCRO_27-CR-21-12762_Order-Evaluation for Competency to Proceed (Rule 20.01)_2021-12-13_20251126182440.pdf</v>
      </c>
      <c r="H160" s="1" t="n">
        <v>3</v>
      </c>
      <c r="I160" s="1" t="s">
        <v>1360</v>
      </c>
      <c r="J160" s="1" t="n">
        <v>1</v>
      </c>
      <c r="K160" s="2" t="s">
        <v>1362</v>
      </c>
      <c r="L160" s="2" t="s">
        <v>1364</v>
      </c>
      <c r="M160" s="1" t="s">
        <v>1360</v>
      </c>
      <c r="N160" s="1" t="n">
        <v>0</v>
      </c>
      <c r="O160" s="2" t="n">
        <v>92.99</v>
      </c>
      <c r="P160" s="2" t="n">
        <v>92.99</v>
      </c>
      <c r="Q160" s="2" t="n">
        <v>92.99</v>
      </c>
      <c r="R160" s="1" t="n">
        <v>1</v>
      </c>
      <c r="S160" s="1" t="n">
        <v>0</v>
      </c>
      <c r="T160" s="1" t="s">
        <v>1360</v>
      </c>
      <c r="U160" s="1" t="n">
        <v>3</v>
      </c>
      <c r="V160" s="1" t="n">
        <v>0</v>
      </c>
    </row>
    <row r="161" customFormat="false" ht="18.7" hidden="false" customHeight="true" outlineLevel="0" collapsed="false">
      <c r="A161" s="1" t="n">
        <v>160</v>
      </c>
      <c r="B161" s="7" t="str">
        <f aca="false">HYPERLINK("https://mncourtfraud.com/file/27-CR-21-12762.pdf","27-CR-21-12762")</f>
        <v>27-CR-21-12762</v>
      </c>
      <c r="C161" s="1" t="n">
        <v>1</v>
      </c>
      <c r="D161" s="2" t="s">
        <v>12</v>
      </c>
      <c r="E161" s="8" t="n">
        <v>44558</v>
      </c>
      <c r="F161" s="2" t="s">
        <v>15</v>
      </c>
      <c r="G161" s="7" t="str">
        <f aca="false">HYPERLINK("https://mncourtfraud.com/file/MCRO_27-CR-21-12762_Order-Evaluation for Competency to Proceed (Rule 20.01)_2021-12-28_20251126182449.pdf","MCRO_27-CR-21-12762_Order-Evaluation for Competency to Proceed (Rule 20.01)_2021-12-28_20251126182449.pdf")</f>
        <v>MCRO_27-CR-21-12762_Order-Evaluation for Competency to Proceed (Rule 20.01)_2021-12-28_20251126182449.pdf</v>
      </c>
      <c r="H161" s="1" t="n">
        <v>4</v>
      </c>
      <c r="I161" s="1" t="s">
        <v>1360</v>
      </c>
      <c r="J161" s="1" t="n">
        <v>1</v>
      </c>
      <c r="K161" s="2" t="s">
        <v>1362</v>
      </c>
      <c r="L161" s="2" t="s">
        <v>1364</v>
      </c>
      <c r="M161" s="1" t="s">
        <v>1360</v>
      </c>
      <c r="N161" s="1" t="n">
        <v>0</v>
      </c>
      <c r="O161" s="2" t="n">
        <v>93.24</v>
      </c>
      <c r="P161" s="2" t="n">
        <v>93.24</v>
      </c>
      <c r="Q161" s="2" t="n">
        <v>93.24</v>
      </c>
      <c r="R161" s="1" t="n">
        <v>1</v>
      </c>
      <c r="S161" s="1" t="n">
        <v>0</v>
      </c>
      <c r="T161" s="1" t="s">
        <v>1360</v>
      </c>
      <c r="U161" s="1" t="n">
        <v>4</v>
      </c>
      <c r="V161" s="1" t="n">
        <v>0</v>
      </c>
    </row>
    <row r="162" customFormat="false" ht="18.7" hidden="false" customHeight="true" outlineLevel="0" collapsed="false">
      <c r="A162" s="1" t="n">
        <v>161</v>
      </c>
      <c r="B162" s="7" t="str">
        <f aca="false">HYPERLINK("https://mncourtfraud.com/file/27-CR-21-12762.pdf","27-CR-21-12762")</f>
        <v>27-CR-21-12762</v>
      </c>
      <c r="C162" s="1" t="n">
        <v>1</v>
      </c>
      <c r="D162" s="2" t="s">
        <v>12</v>
      </c>
      <c r="E162" s="8" t="n">
        <v>44692</v>
      </c>
      <c r="F162" s="2" t="s">
        <v>15</v>
      </c>
      <c r="G162" s="7" t="str">
        <f aca="false">HYPERLINK("https://mncourtfraud.com/file/MCRO_27-CR-21-12762_Order-Evaluation for Competency to Proceed (Rule 20.01)_2022-05-11_20251126182457.pdf","MCRO_27-CR-21-12762_Order-Evaluation for Competency to Proceed (Rule 20.01)_2022-05-11_20251126182457.pdf")</f>
        <v>MCRO_27-CR-21-12762_Order-Evaluation for Competency to Proceed (Rule 20.01)_2022-05-11_20251126182457.pdf</v>
      </c>
      <c r="H162" s="1" t="n">
        <v>3</v>
      </c>
      <c r="I162" s="1" t="s">
        <v>1360</v>
      </c>
      <c r="J162" s="1" t="n">
        <v>1</v>
      </c>
      <c r="K162" s="2" t="s">
        <v>1362</v>
      </c>
      <c r="L162" s="2" t="s">
        <v>1364</v>
      </c>
      <c r="M162" s="1" t="s">
        <v>1360</v>
      </c>
      <c r="N162" s="1" t="n">
        <v>0</v>
      </c>
      <c r="O162" s="2" t="n">
        <v>93.17</v>
      </c>
      <c r="P162" s="2" t="n">
        <v>93.17</v>
      </c>
      <c r="Q162" s="2" t="n">
        <v>93.17</v>
      </c>
      <c r="R162" s="1" t="n">
        <v>1</v>
      </c>
      <c r="S162" s="1" t="n">
        <v>0</v>
      </c>
      <c r="T162" s="1" t="s">
        <v>1360</v>
      </c>
      <c r="U162" s="1" t="n">
        <v>3</v>
      </c>
      <c r="V162" s="1" t="n">
        <v>0</v>
      </c>
    </row>
    <row r="163" customFormat="false" ht="18.7" hidden="false" customHeight="true" outlineLevel="0" collapsed="false">
      <c r="A163" s="1" t="n">
        <v>162</v>
      </c>
      <c r="B163" s="7" t="str">
        <f aca="false">HYPERLINK("https://mncourtfraud.com/file/27-CR-21-12762.pdf","27-CR-21-12762")</f>
        <v>27-CR-21-12762</v>
      </c>
      <c r="C163" s="1" t="n">
        <v>1</v>
      </c>
      <c r="D163" s="2" t="s">
        <v>12</v>
      </c>
      <c r="E163" s="8" t="n">
        <v>44895</v>
      </c>
      <c r="F163" s="2" t="s">
        <v>15</v>
      </c>
      <c r="G163" s="7" t="str">
        <f aca="false">HYPERLINK("https://mncourtfraud.com/file/MCRO_27-CR-21-12762_Order-Evaluation for Competency to Proceed (Rule 20.01)_2022-11-30_20251126182506.pdf","MCRO_27-CR-21-12762_Order-Evaluation for Competency to Proceed (Rule 20.01)_2022-11-30_20251126182506.pdf")</f>
        <v>MCRO_27-CR-21-12762_Order-Evaluation for Competency to Proceed (Rule 20.01)_2022-11-30_20251126182506.pdf</v>
      </c>
      <c r="H163" s="1" t="n">
        <v>4</v>
      </c>
      <c r="I163" s="1" t="s">
        <v>1360</v>
      </c>
      <c r="J163" s="1" t="n">
        <v>1</v>
      </c>
      <c r="K163" s="2" t="s">
        <v>1362</v>
      </c>
      <c r="L163" s="2" t="s">
        <v>1364</v>
      </c>
      <c r="M163" s="1" t="s">
        <v>1360</v>
      </c>
      <c r="N163" s="1" t="n">
        <v>0</v>
      </c>
      <c r="O163" s="2" t="n">
        <v>97.99</v>
      </c>
      <c r="P163" s="2" t="n">
        <v>97.99</v>
      </c>
      <c r="Q163" s="2" t="n">
        <v>97.99</v>
      </c>
      <c r="R163" s="1" t="n">
        <v>1</v>
      </c>
      <c r="S163" s="1" t="n">
        <v>0</v>
      </c>
      <c r="T163" s="1" t="s">
        <v>1360</v>
      </c>
      <c r="U163" s="1" t="n">
        <v>4</v>
      </c>
      <c r="V163" s="1" t="n">
        <v>0</v>
      </c>
    </row>
    <row r="164" customFormat="false" ht="18.7" hidden="false" customHeight="true" outlineLevel="0" collapsed="false">
      <c r="A164" s="1" t="n">
        <v>163</v>
      </c>
      <c r="B164" s="7" t="str">
        <f aca="false">HYPERLINK("https://mncourtfraud.com/file/27-CR-21-12762.pdf","27-CR-21-12762")</f>
        <v>27-CR-21-12762</v>
      </c>
      <c r="C164" s="1" t="n">
        <v>1</v>
      </c>
      <c r="D164" s="2" t="s">
        <v>12</v>
      </c>
      <c r="E164" s="8" t="n">
        <v>45160</v>
      </c>
      <c r="F164" s="2" t="s">
        <v>15</v>
      </c>
      <c r="G164" s="7" t="str">
        <f aca="false">HYPERLINK("https://mncourtfraud.com/file/MCRO_27-CR-21-12762_Order-Evaluation for Competency to Proceed (Rule 20.01)_2023-08-22_20251126182515.pdf","MCRO_27-CR-21-12762_Order-Evaluation for Competency to Proceed (Rule 20.01)_2023-08-22_20251126182515.pdf")</f>
        <v>MCRO_27-CR-21-12762_Order-Evaluation for Competency to Proceed (Rule 20.01)_2023-08-22_20251126182515.pdf</v>
      </c>
      <c r="H164" s="1" t="n">
        <v>6</v>
      </c>
      <c r="I164" s="1" t="s">
        <v>1366</v>
      </c>
      <c r="J164" s="1" t="n">
        <v>2</v>
      </c>
      <c r="K164" s="2" t="s">
        <v>2270</v>
      </c>
      <c r="L164" s="2" t="s">
        <v>2269</v>
      </c>
      <c r="M164" s="1" t="s">
        <v>1366</v>
      </c>
      <c r="N164" s="1" t="n">
        <v>1</v>
      </c>
      <c r="O164" s="2" t="n">
        <v>23.95</v>
      </c>
      <c r="P164" s="2" t="n">
        <v>98.13</v>
      </c>
      <c r="Q164" s="2" t="n">
        <v>61.04</v>
      </c>
      <c r="R164" s="1" t="n">
        <v>2</v>
      </c>
      <c r="S164" s="1" t="n">
        <v>0</v>
      </c>
      <c r="T164" s="1" t="s">
        <v>1360</v>
      </c>
      <c r="U164" s="1" t="n">
        <v>3</v>
      </c>
      <c r="V164" s="1" t="n">
        <v>3</v>
      </c>
    </row>
    <row r="165" customFormat="false" ht="18.7" hidden="false" customHeight="true" outlineLevel="0" collapsed="false">
      <c r="A165" s="1" t="n">
        <v>164</v>
      </c>
      <c r="B165" s="7" t="str">
        <f aca="false">HYPERLINK("https://mncourtfraud.com/file/27-CR-21-12762.pdf","27-CR-21-12762")</f>
        <v>27-CR-21-12762</v>
      </c>
      <c r="C165" s="1" t="n">
        <v>1</v>
      </c>
      <c r="D165" s="2" t="s">
        <v>12</v>
      </c>
      <c r="E165" s="8" t="n">
        <v>45412</v>
      </c>
      <c r="F165" s="2" t="s">
        <v>15</v>
      </c>
      <c r="G165" s="7" t="str">
        <f aca="false">HYPERLINK("https://mncourtfraud.com/file/MCRO_27-CR-21-12762_Order-Evaluation for Competency to Proceed (Rule 20.01)_2024-04-30_20251126182523.pdf","MCRO_27-CR-21-12762_Order-Evaluation for Competency to Proceed (Rule 20.01)_2024-04-30_20251126182523.pdf")</f>
        <v>MCRO_27-CR-21-12762_Order-Evaluation for Competency to Proceed (Rule 20.01)_2024-04-30_20251126182523.pdf</v>
      </c>
      <c r="H165" s="1" t="n">
        <v>4</v>
      </c>
      <c r="I165" s="1" t="s">
        <v>1360</v>
      </c>
      <c r="J165" s="1" t="n">
        <v>1</v>
      </c>
      <c r="K165" s="2" t="s">
        <v>1362</v>
      </c>
      <c r="L165" s="2" t="s">
        <v>1364</v>
      </c>
      <c r="M165" s="1" t="s">
        <v>1360</v>
      </c>
      <c r="N165" s="1" t="n">
        <v>0</v>
      </c>
      <c r="O165" s="2" t="n">
        <v>92.54</v>
      </c>
      <c r="P165" s="2" t="n">
        <v>92.54</v>
      </c>
      <c r="Q165" s="2" t="n">
        <v>92.54</v>
      </c>
      <c r="R165" s="1" t="n">
        <v>1</v>
      </c>
      <c r="S165" s="1" t="n">
        <v>0</v>
      </c>
      <c r="T165" s="1" t="s">
        <v>1360</v>
      </c>
      <c r="U165" s="1" t="n">
        <v>4</v>
      </c>
      <c r="V165" s="1" t="n">
        <v>0</v>
      </c>
    </row>
    <row r="166" customFormat="false" ht="18.7" hidden="false" customHeight="true" outlineLevel="0" collapsed="false">
      <c r="A166" s="1" t="n">
        <v>165</v>
      </c>
      <c r="B166" s="7" t="str">
        <f aca="false">HYPERLINK("https://mncourtfraud.com/file/27-CR-21-12762.pdf","27-CR-21-12762")</f>
        <v>27-CR-21-12762</v>
      </c>
      <c r="C166" s="1" t="n">
        <v>1</v>
      </c>
      <c r="D166" s="2" t="s">
        <v>12</v>
      </c>
      <c r="E166" s="8" t="n">
        <v>44460</v>
      </c>
      <c r="F166" s="2" t="s">
        <v>24</v>
      </c>
      <c r="G166" s="7" t="str">
        <f aca="false">HYPERLINK("https://mncourtfraud.com/file/MCRO_27-CR-21-12762_Order for Conditional Release_2021-09-21_20251126182412.pdf","MCRO_27-CR-21-12762_Order for Conditional Release_2021-09-21_20251126182412.pdf")</f>
        <v>MCRO_27-CR-21-12762_Order for Conditional Release_2021-09-21_20251126182412.pdf</v>
      </c>
      <c r="H166" s="1" t="n">
        <v>4</v>
      </c>
      <c r="I166" s="1" t="s">
        <v>1360</v>
      </c>
      <c r="J166" s="1" t="n">
        <v>1</v>
      </c>
      <c r="K166" s="2" t="s">
        <v>1362</v>
      </c>
      <c r="L166" s="2" t="s">
        <v>1364</v>
      </c>
      <c r="M166" s="1" t="s">
        <v>1360</v>
      </c>
      <c r="N166" s="1" t="n">
        <v>0</v>
      </c>
      <c r="O166" s="2" t="n">
        <v>84.52</v>
      </c>
      <c r="P166" s="2" t="n">
        <v>84.52</v>
      </c>
      <c r="Q166" s="2" t="n">
        <v>84.52</v>
      </c>
      <c r="R166" s="1" t="n">
        <v>1</v>
      </c>
      <c r="S166" s="1" t="n">
        <v>0</v>
      </c>
      <c r="T166" s="1" t="s">
        <v>1360</v>
      </c>
      <c r="U166" s="1" t="n">
        <v>4</v>
      </c>
      <c r="V166" s="1" t="n">
        <v>0</v>
      </c>
    </row>
    <row r="167" customFormat="false" ht="18.7" hidden="false" customHeight="true" outlineLevel="0" collapsed="false">
      <c r="A167" s="1" t="n">
        <v>166</v>
      </c>
      <c r="B167" s="7" t="str">
        <f aca="false">HYPERLINK("https://mncourtfraud.com/file/27-CR-21-12762.pdf","27-CR-21-12762")</f>
        <v>27-CR-21-12762</v>
      </c>
      <c r="C167" s="1" t="n">
        <v>1</v>
      </c>
      <c r="D167" s="2" t="s">
        <v>12</v>
      </c>
      <c r="E167" s="8" t="n">
        <v>44468</v>
      </c>
      <c r="F167" s="2" t="s">
        <v>24</v>
      </c>
      <c r="G167" s="7" t="str">
        <f aca="false">HYPERLINK("https://mncourtfraud.com/file/MCRO_27-CR-21-12762_Order for Conditional Release_2021-09-29_20251126182418.pdf","MCRO_27-CR-21-12762_Order for Conditional Release_2021-09-29_20251126182418.pdf")</f>
        <v>MCRO_27-CR-21-12762_Order for Conditional Release_2021-09-29_20251126182418.pdf</v>
      </c>
      <c r="H167" s="1" t="n">
        <v>4</v>
      </c>
      <c r="I167" s="1" t="s">
        <v>1360</v>
      </c>
      <c r="J167" s="1" t="n">
        <v>1</v>
      </c>
      <c r="K167" s="2" t="s">
        <v>1362</v>
      </c>
      <c r="L167" s="2" t="s">
        <v>1364</v>
      </c>
      <c r="M167" s="1" t="s">
        <v>1360</v>
      </c>
      <c r="N167" s="1" t="n">
        <v>0</v>
      </c>
      <c r="O167" s="2" t="n">
        <v>89.21</v>
      </c>
      <c r="P167" s="2" t="n">
        <v>89.21</v>
      </c>
      <c r="Q167" s="2" t="n">
        <v>89.21</v>
      </c>
      <c r="R167" s="1" t="n">
        <v>1</v>
      </c>
      <c r="S167" s="1" t="n">
        <v>0</v>
      </c>
      <c r="T167" s="1" t="s">
        <v>1360</v>
      </c>
      <c r="U167" s="1" t="n">
        <v>4</v>
      </c>
      <c r="V167" s="1" t="n">
        <v>0</v>
      </c>
    </row>
    <row r="168" customFormat="false" ht="18.7" hidden="false" customHeight="true" outlineLevel="0" collapsed="false">
      <c r="A168" s="1" t="n">
        <v>167</v>
      </c>
      <c r="B168" s="7" t="str">
        <f aca="false">HYPERLINK("https://mncourtfraud.com/file/27-CR-21-12762.pdf","27-CR-21-12762")</f>
        <v>27-CR-21-12762</v>
      </c>
      <c r="C168" s="1" t="n">
        <v>1</v>
      </c>
      <c r="D168" s="2" t="s">
        <v>12</v>
      </c>
      <c r="E168" s="8" t="n">
        <v>45412</v>
      </c>
      <c r="F168" s="2" t="s">
        <v>24</v>
      </c>
      <c r="G168" s="7" t="str">
        <f aca="false">HYPERLINK("https://mncourtfraud.com/file/MCRO_27-CR-21-12762_Order for Conditional Release_2024-04-30_20251126182405.pdf","MCRO_27-CR-21-12762_Order for Conditional Release_2024-04-30_20251126182405.pdf")</f>
        <v>MCRO_27-CR-21-12762_Order for Conditional Release_2024-04-30_20251126182405.pdf</v>
      </c>
      <c r="H168" s="1" t="n">
        <v>4</v>
      </c>
      <c r="I168" s="1" t="s">
        <v>1360</v>
      </c>
      <c r="J168" s="1" t="n">
        <v>1</v>
      </c>
      <c r="K168" s="2" t="s">
        <v>1362</v>
      </c>
      <c r="L168" s="2" t="s">
        <v>1364</v>
      </c>
      <c r="M168" s="1" t="s">
        <v>1360</v>
      </c>
      <c r="N168" s="1" t="n">
        <v>0</v>
      </c>
      <c r="O168" s="2" t="n">
        <v>89.11</v>
      </c>
      <c r="P168" s="2" t="n">
        <v>89.11</v>
      </c>
      <c r="Q168" s="2" t="n">
        <v>89.11</v>
      </c>
      <c r="R168" s="1" t="n">
        <v>1</v>
      </c>
      <c r="S168" s="1" t="n">
        <v>0</v>
      </c>
      <c r="T168" s="1" t="s">
        <v>1360</v>
      </c>
      <c r="U168" s="1" t="n">
        <v>4</v>
      </c>
      <c r="V168" s="1" t="n">
        <v>0</v>
      </c>
    </row>
    <row r="169" customFormat="false" ht="18.7" hidden="false" customHeight="true" outlineLevel="0" collapsed="false">
      <c r="A169" s="1" t="n">
        <v>168</v>
      </c>
      <c r="B169" s="7" t="str">
        <f aca="false">HYPERLINK("https://mncourtfraud.com/file/27-CR-21-12947.pdf","27-CR-21-12947")</f>
        <v>27-CR-21-12947</v>
      </c>
      <c r="C169" s="1" t="n">
        <v>1</v>
      </c>
      <c r="D169" s="2" t="s">
        <v>12</v>
      </c>
      <c r="E169" s="8" t="n">
        <v>44405</v>
      </c>
      <c r="F169" s="2" t="s">
        <v>145</v>
      </c>
      <c r="G169" s="7" t="str">
        <f aca="false">HYPERLINK("https://mncourtfraud.com/file/MCRO_27-CR-21-12947_Demand or Request for Discovery_2021-07-28_20251126182551.pdf","MCRO_27-CR-21-12947_Demand or Request for Discovery_2021-07-28_20251126182551.pdf")</f>
        <v>MCRO_27-CR-21-12947_Demand or Request for Discovery_2021-07-28_20251126182551.pdf</v>
      </c>
      <c r="H169" s="1" t="n">
        <v>3</v>
      </c>
      <c r="I169" s="1" t="s">
        <v>1360</v>
      </c>
      <c r="J169" s="1" t="n">
        <v>1</v>
      </c>
      <c r="K169" s="2" t="s">
        <v>1362</v>
      </c>
      <c r="L169" s="2" t="s">
        <v>1364</v>
      </c>
      <c r="M169" s="1" t="s">
        <v>1360</v>
      </c>
      <c r="N169" s="1" t="n">
        <v>0</v>
      </c>
      <c r="O169" s="2" t="n">
        <v>94.81</v>
      </c>
      <c r="P169" s="2" t="n">
        <v>94.81</v>
      </c>
      <c r="Q169" s="2" t="n">
        <v>94.81</v>
      </c>
      <c r="R169" s="1" t="n">
        <v>1</v>
      </c>
      <c r="S169" s="1" t="n">
        <v>0</v>
      </c>
      <c r="T169" s="1" t="s">
        <v>1360</v>
      </c>
      <c r="U169" s="1" t="n">
        <v>3</v>
      </c>
      <c r="V169" s="1" t="n">
        <v>0</v>
      </c>
    </row>
    <row r="170" customFormat="false" ht="18.7" hidden="false" customHeight="true" outlineLevel="0" collapsed="false">
      <c r="A170" s="1" t="n">
        <v>169</v>
      </c>
      <c r="B170" s="7" t="str">
        <f aca="false">HYPERLINK("https://mncourtfraud.com/file/27-CR-21-12947.pdf","27-CR-21-12947")</f>
        <v>27-CR-21-12947</v>
      </c>
      <c r="C170" s="1" t="n">
        <v>1</v>
      </c>
      <c r="D170" s="2" t="s">
        <v>12</v>
      </c>
      <c r="E170" s="8" t="n">
        <v>45048</v>
      </c>
      <c r="F170" s="2" t="s">
        <v>80</v>
      </c>
      <c r="G170" s="7" t="str">
        <f aca="false">HYPERLINK("https://mncourtfraud.com/file/MCRO_27-CR-21-12947_Finding of Incompetency and Order_2023-05-02_20251126182603.pdf","MCRO_27-CR-21-12947_Finding of Incompetency and Order_2023-05-02_20251126182603.pdf")</f>
        <v>MCRO_27-CR-21-12947_Finding of Incompetency and Order_2023-05-02_20251126182603.pdf</v>
      </c>
      <c r="H170" s="1" t="n">
        <v>9</v>
      </c>
      <c r="I170" s="1" t="s">
        <v>1366</v>
      </c>
      <c r="J170" s="1" t="n">
        <v>3</v>
      </c>
      <c r="K170" s="2" t="s">
        <v>2268</v>
      </c>
      <c r="L170" s="2" t="s">
        <v>2269</v>
      </c>
      <c r="M170" s="1" t="s">
        <v>1366</v>
      </c>
      <c r="N170" s="1" t="n">
        <v>2</v>
      </c>
      <c r="O170" s="2" t="n">
        <v>15.21</v>
      </c>
      <c r="P170" s="2" t="n">
        <v>98.32</v>
      </c>
      <c r="Q170" s="2" t="n">
        <v>45.35</v>
      </c>
      <c r="R170" s="1" t="n">
        <v>3</v>
      </c>
      <c r="S170" s="1" t="n">
        <v>0</v>
      </c>
      <c r="T170" s="1" t="s">
        <v>1360</v>
      </c>
      <c r="U170" s="1" t="n">
        <v>5</v>
      </c>
      <c r="V170" s="1" t="n">
        <v>3</v>
      </c>
    </row>
    <row r="171" customFormat="false" ht="18.7" hidden="false" customHeight="true" outlineLevel="0" collapsed="false">
      <c r="A171" s="1" t="n">
        <v>170</v>
      </c>
      <c r="B171" s="7" t="str">
        <f aca="false">HYPERLINK("https://mncourtfraud.com/file/27-CR-21-12947.pdf","27-CR-21-12947")</f>
        <v>27-CR-21-12947</v>
      </c>
      <c r="C171" s="1" t="n">
        <v>1</v>
      </c>
      <c r="D171" s="2" t="s">
        <v>12</v>
      </c>
      <c r="E171" s="8" t="n">
        <v>44439</v>
      </c>
      <c r="F171" s="2" t="s">
        <v>19</v>
      </c>
      <c r="G171" s="7" t="str">
        <f aca="false">HYPERLINK("https://mncourtfraud.com/file/MCRO_27-CR-21-12947_Findings and Order_2021-08-31_20251126182625.pdf","MCRO_27-CR-21-12947_Findings and Order_2021-08-31_20251126182625.pdf")</f>
        <v>MCRO_27-CR-21-12947_Findings and Order_2021-08-31_20251126182625.pdf</v>
      </c>
      <c r="H171" s="1" t="n">
        <v>5</v>
      </c>
      <c r="I171" s="1" t="s">
        <v>1366</v>
      </c>
      <c r="J171" s="1" t="n">
        <v>2</v>
      </c>
      <c r="K171" s="2" t="s">
        <v>2267</v>
      </c>
      <c r="L171" s="2" t="s">
        <v>1364</v>
      </c>
      <c r="M171" s="1" t="s">
        <v>1366</v>
      </c>
      <c r="N171" s="1" t="n">
        <v>1</v>
      </c>
      <c r="O171" s="2" t="n">
        <v>39.94</v>
      </c>
      <c r="P171" s="2" t="n">
        <v>95.64</v>
      </c>
      <c r="Q171" s="2" t="n">
        <v>67.79</v>
      </c>
      <c r="R171" s="1" t="n">
        <v>2</v>
      </c>
      <c r="S171" s="1" t="n">
        <v>0</v>
      </c>
      <c r="T171" s="1" t="s">
        <v>1360</v>
      </c>
      <c r="U171" s="1" t="n">
        <v>2</v>
      </c>
      <c r="V171" s="1" t="n">
        <v>0</v>
      </c>
    </row>
    <row r="172" customFormat="false" ht="18.7" hidden="false" customHeight="true" outlineLevel="0" collapsed="false">
      <c r="A172" s="1" t="n">
        <v>171</v>
      </c>
      <c r="B172" s="7" t="str">
        <f aca="false">HYPERLINK("https://mncourtfraud.com/file/27-CR-21-12947.pdf","27-CR-21-12947")</f>
        <v>27-CR-21-12947</v>
      </c>
      <c r="C172" s="1" t="n">
        <v>1</v>
      </c>
      <c r="D172" s="2" t="s">
        <v>12</v>
      </c>
      <c r="E172" s="8" t="n">
        <v>44593</v>
      </c>
      <c r="F172" s="2" t="s">
        <v>19</v>
      </c>
      <c r="G172" s="7" t="str">
        <f aca="false">HYPERLINK("https://mncourtfraud.com/file/MCRO_27-CR-21-12947_Findings and Order_2022-02-01_20251126182615.pdf","MCRO_27-CR-21-12947_Findings and Order_2022-02-01_20251126182615.pdf")</f>
        <v>MCRO_27-CR-21-12947_Findings and Order_2022-02-01_20251126182615.pdf</v>
      </c>
      <c r="H172" s="1" t="n">
        <v>4</v>
      </c>
      <c r="I172" s="1" t="s">
        <v>1360</v>
      </c>
      <c r="J172" s="1" t="n">
        <v>2</v>
      </c>
      <c r="K172" s="2" t="s">
        <v>2267</v>
      </c>
      <c r="L172" s="2" t="s">
        <v>1364</v>
      </c>
      <c r="M172" s="1" t="s">
        <v>1366</v>
      </c>
      <c r="N172" s="1" t="n">
        <v>1</v>
      </c>
      <c r="O172" s="2" t="n">
        <v>47.77</v>
      </c>
      <c r="P172" s="2" t="n">
        <v>95.47</v>
      </c>
      <c r="Q172" s="2" t="n">
        <v>71.62</v>
      </c>
      <c r="R172" s="1" t="n">
        <v>2</v>
      </c>
      <c r="S172" s="1" t="n">
        <v>0</v>
      </c>
      <c r="T172" s="1" t="s">
        <v>1360</v>
      </c>
      <c r="U172" s="1" t="n">
        <v>2</v>
      </c>
      <c r="V172" s="1" t="n">
        <v>0</v>
      </c>
    </row>
    <row r="173" customFormat="false" ht="18.7" hidden="false" customHeight="true" outlineLevel="0" collapsed="false">
      <c r="A173" s="1" t="n">
        <v>172</v>
      </c>
      <c r="B173" s="7" t="str">
        <f aca="false">HYPERLINK("https://mncourtfraud.com/file/27-CR-21-12947.pdf","27-CR-21-12947")</f>
        <v>27-CR-21-12947</v>
      </c>
      <c r="C173" s="1" t="n">
        <v>1</v>
      </c>
      <c r="D173" s="2" t="s">
        <v>12</v>
      </c>
      <c r="E173" s="8" t="n">
        <v>45093</v>
      </c>
      <c r="F173" s="2" t="s">
        <v>82</v>
      </c>
      <c r="G173" s="7" t="str">
        <f aca="false">HYPERLINK("https://mncourtfraud.com/file/MCRO_27-CR-21-12947_Notice of Case Reassignment_2023-06-16_20251126182639.pdf","MCRO_27-CR-21-12947_Notice of Case Reassignment_2023-06-16_20251126182639.pdf")</f>
        <v>MCRO_27-CR-21-12947_Notice of Case Reassignment_2023-06-16_20251126182639.pdf</v>
      </c>
      <c r="H173" s="1" t="n">
        <v>3</v>
      </c>
      <c r="I173" s="1" t="s">
        <v>1360</v>
      </c>
      <c r="J173" s="1" t="n">
        <v>1</v>
      </c>
      <c r="K173" s="2" t="s">
        <v>1362</v>
      </c>
      <c r="L173" s="2" t="s">
        <v>1364</v>
      </c>
      <c r="M173" s="1" t="s">
        <v>1360</v>
      </c>
      <c r="N173" s="1" t="n">
        <v>0</v>
      </c>
      <c r="O173" s="2" t="n">
        <v>85.58</v>
      </c>
      <c r="P173" s="2" t="n">
        <v>85.58</v>
      </c>
      <c r="Q173" s="2" t="n">
        <v>85.58</v>
      </c>
      <c r="R173" s="1" t="n">
        <v>1</v>
      </c>
      <c r="S173" s="1" t="n">
        <v>0</v>
      </c>
      <c r="T173" s="1" t="s">
        <v>1360</v>
      </c>
      <c r="U173" s="1" t="n">
        <v>3</v>
      </c>
      <c r="V173" s="1" t="n">
        <v>0</v>
      </c>
    </row>
    <row r="174" customFormat="false" ht="18.7" hidden="false" customHeight="true" outlineLevel="0" collapsed="false">
      <c r="A174" s="1" t="n">
        <v>173</v>
      </c>
      <c r="B174" s="7" t="str">
        <f aca="false">HYPERLINK("https://mncourtfraud.com/file/27-CR-21-12947.pdf","27-CR-21-12947")</f>
        <v>27-CR-21-12947</v>
      </c>
      <c r="C174" s="1" t="n">
        <v>1</v>
      </c>
      <c r="D174" s="2" t="s">
        <v>12</v>
      </c>
      <c r="E174" s="8" t="n">
        <v>44396</v>
      </c>
      <c r="F174" s="2" t="s">
        <v>15</v>
      </c>
      <c r="G174" s="7" t="str">
        <f aca="false">HYPERLINK("https://mncourtfraud.com/file/MCRO_27-CR-21-12947_Order-Evaluation for Competency to Proceed (Rule 20.01)_2021-07-19_20251126182723.pdf","MCRO_27-CR-21-12947_Order-Evaluation for Competency to Proceed (Rule 20.01)_2021-07-19_20251126182723.pdf")</f>
        <v>MCRO_27-CR-21-12947_Order-Evaluation for Competency to Proceed (Rule 20.01)_2021-07-19_20251126182723.pdf</v>
      </c>
      <c r="H174" s="1" t="n">
        <v>4</v>
      </c>
      <c r="I174" s="1" t="s">
        <v>1360</v>
      </c>
      <c r="J174" s="1" t="n">
        <v>1</v>
      </c>
      <c r="K174" s="2" t="s">
        <v>1362</v>
      </c>
      <c r="L174" s="2" t="s">
        <v>1364</v>
      </c>
      <c r="M174" s="1" t="s">
        <v>1360</v>
      </c>
      <c r="N174" s="1" t="n">
        <v>0</v>
      </c>
      <c r="O174" s="2" t="n">
        <v>91.54</v>
      </c>
      <c r="P174" s="2" t="n">
        <v>91.54</v>
      </c>
      <c r="Q174" s="2" t="n">
        <v>91.54</v>
      </c>
      <c r="R174" s="1" t="n">
        <v>1</v>
      </c>
      <c r="S174" s="1" t="n">
        <v>0</v>
      </c>
      <c r="T174" s="1" t="s">
        <v>1360</v>
      </c>
      <c r="U174" s="1" t="n">
        <v>4</v>
      </c>
      <c r="V174" s="1" t="n">
        <v>0</v>
      </c>
    </row>
    <row r="175" customFormat="false" ht="18.7" hidden="false" customHeight="true" outlineLevel="0" collapsed="false">
      <c r="A175" s="1" t="n">
        <v>174</v>
      </c>
      <c r="B175" s="7" t="str">
        <f aca="false">HYPERLINK("https://mncourtfraud.com/file/27-CR-21-12947.pdf","27-CR-21-12947")</f>
        <v>27-CR-21-12947</v>
      </c>
      <c r="C175" s="1" t="n">
        <v>1</v>
      </c>
      <c r="D175" s="2" t="s">
        <v>12</v>
      </c>
      <c r="E175" s="8" t="n">
        <v>44543</v>
      </c>
      <c r="F175" s="2" t="s">
        <v>15</v>
      </c>
      <c r="G175" s="7" t="str">
        <f aca="false">HYPERLINK("https://mncourtfraud.com/file/MCRO_27-CR-21-12947_Order-Evaluation for Competency to Proceed (Rule 20.01)_2021-12-13_20251126182732.pdf","MCRO_27-CR-21-12947_Order-Evaluation for Competency to Proceed (Rule 20.01)_2021-12-13_20251126182732.pdf")</f>
        <v>MCRO_27-CR-21-12947_Order-Evaluation for Competency to Proceed (Rule 20.01)_2021-12-13_20251126182732.pdf</v>
      </c>
      <c r="H175" s="1" t="n">
        <v>3</v>
      </c>
      <c r="I175" s="1" t="s">
        <v>1360</v>
      </c>
      <c r="J175" s="1" t="n">
        <v>1</v>
      </c>
      <c r="K175" s="2" t="s">
        <v>1362</v>
      </c>
      <c r="L175" s="2" t="s">
        <v>1364</v>
      </c>
      <c r="M175" s="1" t="s">
        <v>1360</v>
      </c>
      <c r="N175" s="1" t="n">
        <v>0</v>
      </c>
      <c r="O175" s="2" t="n">
        <v>92.99</v>
      </c>
      <c r="P175" s="2" t="n">
        <v>92.99</v>
      </c>
      <c r="Q175" s="2" t="n">
        <v>92.99</v>
      </c>
      <c r="R175" s="1" t="n">
        <v>1</v>
      </c>
      <c r="S175" s="1" t="n">
        <v>0</v>
      </c>
      <c r="T175" s="1" t="s">
        <v>1360</v>
      </c>
      <c r="U175" s="1" t="n">
        <v>3</v>
      </c>
      <c r="V175" s="1" t="n">
        <v>0</v>
      </c>
    </row>
    <row r="176" customFormat="false" ht="18.7" hidden="false" customHeight="true" outlineLevel="0" collapsed="false">
      <c r="A176" s="1" t="n">
        <v>175</v>
      </c>
      <c r="B176" s="7" t="str">
        <f aca="false">HYPERLINK("https://mncourtfraud.com/file/27-CR-21-12947.pdf","27-CR-21-12947")</f>
        <v>27-CR-21-12947</v>
      </c>
      <c r="C176" s="1" t="n">
        <v>1</v>
      </c>
      <c r="D176" s="2" t="s">
        <v>12</v>
      </c>
      <c r="E176" s="8" t="n">
        <v>44558</v>
      </c>
      <c r="F176" s="2" t="s">
        <v>15</v>
      </c>
      <c r="G176" s="7" t="str">
        <f aca="false">HYPERLINK("https://mncourtfraud.com/file/MCRO_27-CR-21-12947_Order-Evaluation for Competency to Proceed (Rule 20.01)_2021-12-28_20251126182740.pdf","MCRO_27-CR-21-12947_Order-Evaluation for Competency to Proceed (Rule 20.01)_2021-12-28_20251126182740.pdf")</f>
        <v>MCRO_27-CR-21-12947_Order-Evaluation for Competency to Proceed (Rule 20.01)_2021-12-28_20251126182740.pdf</v>
      </c>
      <c r="H176" s="1" t="n">
        <v>4</v>
      </c>
      <c r="I176" s="1" t="s">
        <v>1360</v>
      </c>
      <c r="J176" s="1" t="n">
        <v>1</v>
      </c>
      <c r="K176" s="2" t="s">
        <v>1362</v>
      </c>
      <c r="L176" s="2" t="s">
        <v>1364</v>
      </c>
      <c r="M176" s="1" t="s">
        <v>1360</v>
      </c>
      <c r="N176" s="1" t="n">
        <v>0</v>
      </c>
      <c r="O176" s="2" t="n">
        <v>93.17</v>
      </c>
      <c r="P176" s="2" t="n">
        <v>93.17</v>
      </c>
      <c r="Q176" s="2" t="n">
        <v>93.17</v>
      </c>
      <c r="R176" s="1" t="n">
        <v>1</v>
      </c>
      <c r="S176" s="1" t="n">
        <v>0</v>
      </c>
      <c r="T176" s="1" t="s">
        <v>1360</v>
      </c>
      <c r="U176" s="1" t="n">
        <v>4</v>
      </c>
      <c r="V176" s="1" t="n">
        <v>0</v>
      </c>
    </row>
    <row r="177" customFormat="false" ht="18.7" hidden="false" customHeight="true" outlineLevel="0" collapsed="false">
      <c r="A177" s="1" t="n">
        <v>176</v>
      </c>
      <c r="B177" s="7" t="str">
        <f aca="false">HYPERLINK("https://mncourtfraud.com/file/27-CR-21-12947.pdf","27-CR-21-12947")</f>
        <v>27-CR-21-12947</v>
      </c>
      <c r="C177" s="1" t="n">
        <v>1</v>
      </c>
      <c r="D177" s="2" t="s">
        <v>12</v>
      </c>
      <c r="E177" s="8" t="n">
        <v>44692</v>
      </c>
      <c r="F177" s="2" t="s">
        <v>15</v>
      </c>
      <c r="G177" s="7" t="str">
        <f aca="false">HYPERLINK("https://mncourtfraud.com/file/MCRO_27-CR-21-12947_Order-Evaluation for Competency to Proceed (Rule 20.01)_2022-05-11_20251126182749.pdf","MCRO_27-CR-21-12947_Order-Evaluation for Competency to Proceed (Rule 20.01)_2022-05-11_20251126182749.pdf")</f>
        <v>MCRO_27-CR-21-12947_Order-Evaluation for Competency to Proceed (Rule 20.01)_2022-05-11_20251126182749.pdf</v>
      </c>
      <c r="H177" s="1" t="n">
        <v>3</v>
      </c>
      <c r="I177" s="1" t="s">
        <v>1360</v>
      </c>
      <c r="J177" s="1" t="n">
        <v>1</v>
      </c>
      <c r="K177" s="2" t="s">
        <v>1362</v>
      </c>
      <c r="L177" s="2" t="s">
        <v>1364</v>
      </c>
      <c r="M177" s="1" t="s">
        <v>1360</v>
      </c>
      <c r="N177" s="1" t="n">
        <v>0</v>
      </c>
      <c r="O177" s="2" t="n">
        <v>93.17</v>
      </c>
      <c r="P177" s="2" t="n">
        <v>93.17</v>
      </c>
      <c r="Q177" s="2" t="n">
        <v>93.17</v>
      </c>
      <c r="R177" s="1" t="n">
        <v>1</v>
      </c>
      <c r="S177" s="1" t="n">
        <v>0</v>
      </c>
      <c r="T177" s="1" t="s">
        <v>1360</v>
      </c>
      <c r="U177" s="1" t="n">
        <v>3</v>
      </c>
      <c r="V177" s="1" t="n">
        <v>0</v>
      </c>
    </row>
    <row r="178" customFormat="false" ht="18.7" hidden="false" customHeight="true" outlineLevel="0" collapsed="false">
      <c r="A178" s="1" t="n">
        <v>177</v>
      </c>
      <c r="B178" s="7" t="str">
        <f aca="false">HYPERLINK("https://mncourtfraud.com/file/27-CR-21-12947.pdf","27-CR-21-12947")</f>
        <v>27-CR-21-12947</v>
      </c>
      <c r="C178" s="1" t="n">
        <v>1</v>
      </c>
      <c r="D178" s="2" t="s">
        <v>12</v>
      </c>
      <c r="E178" s="8" t="n">
        <v>44895</v>
      </c>
      <c r="F178" s="2" t="s">
        <v>15</v>
      </c>
      <c r="G178" s="7" t="str">
        <f aca="false">HYPERLINK("https://mncourtfraud.com/file/MCRO_27-CR-21-12947_Order-Evaluation for Competency to Proceed (Rule 20.01)_2022-11-30_20251126182757.pdf","MCRO_27-CR-21-12947_Order-Evaluation for Competency to Proceed (Rule 20.01)_2022-11-30_20251126182757.pdf")</f>
        <v>MCRO_27-CR-21-12947_Order-Evaluation for Competency to Proceed (Rule 20.01)_2022-11-30_20251126182757.pdf</v>
      </c>
      <c r="H178" s="1" t="n">
        <v>4</v>
      </c>
      <c r="I178" s="1" t="s">
        <v>1360</v>
      </c>
      <c r="J178" s="1" t="n">
        <v>1</v>
      </c>
      <c r="K178" s="2" t="s">
        <v>1362</v>
      </c>
      <c r="L178" s="2" t="s">
        <v>1364</v>
      </c>
      <c r="M178" s="1" t="s">
        <v>1360</v>
      </c>
      <c r="N178" s="1" t="n">
        <v>0</v>
      </c>
      <c r="O178" s="2" t="n">
        <v>97.99</v>
      </c>
      <c r="P178" s="2" t="n">
        <v>97.99</v>
      </c>
      <c r="Q178" s="2" t="n">
        <v>97.99</v>
      </c>
      <c r="R178" s="1" t="n">
        <v>1</v>
      </c>
      <c r="S178" s="1" t="n">
        <v>0</v>
      </c>
      <c r="T178" s="1" t="s">
        <v>1360</v>
      </c>
      <c r="U178" s="1" t="n">
        <v>4</v>
      </c>
      <c r="V178" s="1" t="n">
        <v>0</v>
      </c>
    </row>
    <row r="179" customFormat="false" ht="18.7" hidden="false" customHeight="true" outlineLevel="0" collapsed="false">
      <c r="A179" s="1" t="n">
        <v>178</v>
      </c>
      <c r="B179" s="7" t="str">
        <f aca="false">HYPERLINK("https://mncourtfraud.com/file/27-CR-21-12947.pdf","27-CR-21-12947")</f>
        <v>27-CR-21-12947</v>
      </c>
      <c r="C179" s="1" t="n">
        <v>1</v>
      </c>
      <c r="D179" s="2" t="s">
        <v>12</v>
      </c>
      <c r="E179" s="8" t="n">
        <v>45160</v>
      </c>
      <c r="F179" s="2" t="s">
        <v>15</v>
      </c>
      <c r="G179" s="7" t="str">
        <f aca="false">HYPERLINK("https://mncourtfraud.com/file/MCRO_27-CR-21-12947_Order-Evaluation for Competency to Proceed (Rule 20.01)_2023-08-22_20251126182805.pdf","MCRO_27-CR-21-12947_Order-Evaluation for Competency to Proceed (Rule 20.01)_2023-08-22_20251126182805.pdf")</f>
        <v>MCRO_27-CR-21-12947_Order-Evaluation for Competency to Proceed (Rule 20.01)_2023-08-22_20251126182805.pdf</v>
      </c>
      <c r="H179" s="1" t="n">
        <v>6</v>
      </c>
      <c r="I179" s="1" t="s">
        <v>1366</v>
      </c>
      <c r="J179" s="1" t="n">
        <v>2</v>
      </c>
      <c r="K179" s="2" t="s">
        <v>2270</v>
      </c>
      <c r="L179" s="2" t="s">
        <v>2269</v>
      </c>
      <c r="M179" s="1" t="s">
        <v>1366</v>
      </c>
      <c r="N179" s="1" t="n">
        <v>1</v>
      </c>
      <c r="O179" s="2" t="n">
        <v>23.95</v>
      </c>
      <c r="P179" s="2" t="n">
        <v>98.13</v>
      </c>
      <c r="Q179" s="2" t="n">
        <v>61.04</v>
      </c>
      <c r="R179" s="1" t="n">
        <v>2</v>
      </c>
      <c r="S179" s="1" t="n">
        <v>0</v>
      </c>
      <c r="T179" s="1" t="s">
        <v>1360</v>
      </c>
      <c r="U179" s="1" t="n">
        <v>3</v>
      </c>
      <c r="V179" s="1" t="n">
        <v>3</v>
      </c>
    </row>
    <row r="180" customFormat="false" ht="18.7" hidden="false" customHeight="true" outlineLevel="0" collapsed="false">
      <c r="A180" s="1" t="n">
        <v>179</v>
      </c>
      <c r="B180" s="7" t="str">
        <f aca="false">HYPERLINK("https://mncourtfraud.com/file/27-CR-21-12947.pdf","27-CR-21-12947")</f>
        <v>27-CR-21-12947</v>
      </c>
      <c r="C180" s="1" t="n">
        <v>1</v>
      </c>
      <c r="D180" s="2" t="s">
        <v>12</v>
      </c>
      <c r="E180" s="8" t="n">
        <v>45412</v>
      </c>
      <c r="F180" s="2" t="s">
        <v>15</v>
      </c>
      <c r="G180" s="7" t="str">
        <f aca="false">HYPERLINK("https://mncourtfraud.com/file/MCRO_27-CR-21-12947_Order-Evaluation for Competency to Proceed (Rule 20.01)_2024-04-30_20251126182816.pdf","MCRO_27-CR-21-12947_Order-Evaluation for Competency to Proceed (Rule 20.01)_2024-04-30_20251126182816.pdf")</f>
        <v>MCRO_27-CR-21-12947_Order-Evaluation for Competency to Proceed (Rule 20.01)_2024-04-30_20251126182816.pdf</v>
      </c>
      <c r="H180" s="1" t="n">
        <v>4</v>
      </c>
      <c r="I180" s="1" t="s">
        <v>1360</v>
      </c>
      <c r="J180" s="1" t="n">
        <v>1</v>
      </c>
      <c r="K180" s="2" t="s">
        <v>1362</v>
      </c>
      <c r="L180" s="2" t="s">
        <v>1364</v>
      </c>
      <c r="M180" s="1" t="s">
        <v>1360</v>
      </c>
      <c r="N180" s="1" t="n">
        <v>0</v>
      </c>
      <c r="O180" s="2" t="n">
        <v>92.54</v>
      </c>
      <c r="P180" s="2" t="n">
        <v>92.54</v>
      </c>
      <c r="Q180" s="2" t="n">
        <v>92.54</v>
      </c>
      <c r="R180" s="1" t="n">
        <v>1</v>
      </c>
      <c r="S180" s="1" t="n">
        <v>0</v>
      </c>
      <c r="T180" s="1" t="s">
        <v>1360</v>
      </c>
      <c r="U180" s="1" t="n">
        <v>4</v>
      </c>
      <c r="V180" s="1" t="n">
        <v>0</v>
      </c>
    </row>
    <row r="181" customFormat="false" ht="18.7" hidden="false" customHeight="true" outlineLevel="0" collapsed="false">
      <c r="A181" s="1" t="n">
        <v>180</v>
      </c>
      <c r="B181" s="7" t="str">
        <f aca="false">HYPERLINK("https://mncourtfraud.com/file/27-CR-21-12947.pdf","27-CR-21-12947")</f>
        <v>27-CR-21-12947</v>
      </c>
      <c r="C181" s="1" t="n">
        <v>1</v>
      </c>
      <c r="D181" s="2" t="s">
        <v>12</v>
      </c>
      <c r="E181" s="8" t="n">
        <v>44460</v>
      </c>
      <c r="F181" s="2" t="s">
        <v>24</v>
      </c>
      <c r="G181" s="7" t="str">
        <f aca="false">HYPERLINK("https://mncourtfraud.com/file/MCRO_27-CR-21-12947_Order for Conditional Release_2021-09-21_20251126182704.pdf","MCRO_27-CR-21-12947_Order for Conditional Release_2021-09-21_20251126182704.pdf")</f>
        <v>MCRO_27-CR-21-12947_Order for Conditional Release_2021-09-21_20251126182704.pdf</v>
      </c>
      <c r="H181" s="1" t="n">
        <v>4</v>
      </c>
      <c r="I181" s="1" t="s">
        <v>1360</v>
      </c>
      <c r="J181" s="1" t="n">
        <v>1</v>
      </c>
      <c r="K181" s="2" t="s">
        <v>1362</v>
      </c>
      <c r="L181" s="2" t="s">
        <v>1364</v>
      </c>
      <c r="M181" s="1" t="s">
        <v>1360</v>
      </c>
      <c r="N181" s="1" t="n">
        <v>0</v>
      </c>
      <c r="O181" s="2" t="n">
        <v>84.52</v>
      </c>
      <c r="P181" s="2" t="n">
        <v>84.52</v>
      </c>
      <c r="Q181" s="2" t="n">
        <v>84.52</v>
      </c>
      <c r="R181" s="1" t="n">
        <v>1</v>
      </c>
      <c r="S181" s="1" t="n">
        <v>0</v>
      </c>
      <c r="T181" s="1" t="s">
        <v>1360</v>
      </c>
      <c r="U181" s="1" t="n">
        <v>4</v>
      </c>
      <c r="V181" s="1" t="n">
        <v>0</v>
      </c>
    </row>
    <row r="182" customFormat="false" ht="18.7" hidden="false" customHeight="true" outlineLevel="0" collapsed="false">
      <c r="A182" s="1" t="n">
        <v>181</v>
      </c>
      <c r="B182" s="7" t="str">
        <f aca="false">HYPERLINK("https://mncourtfraud.com/file/27-CR-21-12947.pdf","27-CR-21-12947")</f>
        <v>27-CR-21-12947</v>
      </c>
      <c r="C182" s="1" t="n">
        <v>1</v>
      </c>
      <c r="D182" s="2" t="s">
        <v>12</v>
      </c>
      <c r="E182" s="8" t="n">
        <v>44468</v>
      </c>
      <c r="F182" s="2" t="s">
        <v>24</v>
      </c>
      <c r="G182" s="7" t="str">
        <f aca="false">HYPERLINK("https://mncourtfraud.com/file/MCRO_27-CR-21-12947_Order for Conditional Release_2021-09-29_20251126182710.pdf","MCRO_27-CR-21-12947_Order for Conditional Release_2021-09-29_20251126182710.pdf")</f>
        <v>MCRO_27-CR-21-12947_Order for Conditional Release_2021-09-29_20251126182710.pdf</v>
      </c>
      <c r="H182" s="1" t="n">
        <v>4</v>
      </c>
      <c r="I182" s="1" t="s">
        <v>1360</v>
      </c>
      <c r="J182" s="1" t="n">
        <v>1</v>
      </c>
      <c r="K182" s="2" t="s">
        <v>1362</v>
      </c>
      <c r="L182" s="2" t="s">
        <v>1364</v>
      </c>
      <c r="M182" s="1" t="s">
        <v>1360</v>
      </c>
      <c r="N182" s="1" t="n">
        <v>0</v>
      </c>
      <c r="O182" s="2" t="n">
        <v>89.21</v>
      </c>
      <c r="P182" s="2" t="n">
        <v>89.21</v>
      </c>
      <c r="Q182" s="2" t="n">
        <v>89.21</v>
      </c>
      <c r="R182" s="1" t="n">
        <v>1</v>
      </c>
      <c r="S182" s="1" t="n">
        <v>0</v>
      </c>
      <c r="T182" s="1" t="s">
        <v>1360</v>
      </c>
      <c r="U182" s="1" t="n">
        <v>4</v>
      </c>
      <c r="V182" s="1" t="n">
        <v>0</v>
      </c>
    </row>
    <row r="183" customFormat="false" ht="18.7" hidden="false" customHeight="true" outlineLevel="0" collapsed="false">
      <c r="A183" s="1" t="n">
        <v>182</v>
      </c>
      <c r="B183" s="7" t="str">
        <f aca="false">HYPERLINK("https://mncourtfraud.com/file/27-CR-21-12947.pdf","27-CR-21-12947")</f>
        <v>27-CR-21-12947</v>
      </c>
      <c r="C183" s="1" t="n">
        <v>1</v>
      </c>
      <c r="D183" s="2" t="s">
        <v>12</v>
      </c>
      <c r="E183" s="8" t="n">
        <v>45412</v>
      </c>
      <c r="F183" s="2" t="s">
        <v>24</v>
      </c>
      <c r="G183" s="7" t="str">
        <f aca="false">HYPERLINK("https://mncourtfraud.com/file/MCRO_27-CR-21-12947_Order for Conditional Release_2024-04-30_20251126182656.pdf","MCRO_27-CR-21-12947_Order for Conditional Release_2024-04-30_20251126182656.pdf")</f>
        <v>MCRO_27-CR-21-12947_Order for Conditional Release_2024-04-30_20251126182656.pdf</v>
      </c>
      <c r="H183" s="1" t="n">
        <v>4</v>
      </c>
      <c r="I183" s="1" t="s">
        <v>1360</v>
      </c>
      <c r="J183" s="1" t="n">
        <v>1</v>
      </c>
      <c r="K183" s="2" t="s">
        <v>1362</v>
      </c>
      <c r="L183" s="2" t="s">
        <v>1364</v>
      </c>
      <c r="M183" s="1" t="s">
        <v>1360</v>
      </c>
      <c r="N183" s="1" t="n">
        <v>0</v>
      </c>
      <c r="O183" s="2" t="n">
        <v>89.11</v>
      </c>
      <c r="P183" s="2" t="n">
        <v>89.11</v>
      </c>
      <c r="Q183" s="2" t="n">
        <v>89.11</v>
      </c>
      <c r="R183" s="1" t="n">
        <v>1</v>
      </c>
      <c r="S183" s="1" t="n">
        <v>0</v>
      </c>
      <c r="T183" s="1" t="s">
        <v>1360</v>
      </c>
      <c r="U183" s="1" t="n">
        <v>4</v>
      </c>
      <c r="V183" s="1" t="n">
        <v>0</v>
      </c>
    </row>
    <row r="184" customFormat="false" ht="18.7" hidden="false" customHeight="true" outlineLevel="0" collapsed="false">
      <c r="A184" s="1" t="n">
        <v>183</v>
      </c>
      <c r="B184" s="7" t="str">
        <f aca="false">HYPERLINK("https://mncourtfraud.com/file/27-CR-21-13144.pdf","27-CR-21-13144")</f>
        <v>27-CR-21-13144</v>
      </c>
      <c r="C184" s="1" t="n">
        <v>1</v>
      </c>
      <c r="D184" s="2" t="s">
        <v>12</v>
      </c>
      <c r="E184" s="8" t="n">
        <v>44405</v>
      </c>
      <c r="F184" s="2" t="s">
        <v>145</v>
      </c>
      <c r="G184" s="7" t="str">
        <f aca="false">HYPERLINK("https://mncourtfraud.com/file/MCRO_27-CR-21-13144_Demand or Request for Discovery_2021-07-28_20251126182845.pdf","MCRO_27-CR-21-13144_Demand or Request for Discovery_2021-07-28_20251126182845.pdf")</f>
        <v>MCRO_27-CR-21-13144_Demand or Request for Discovery_2021-07-28_20251126182845.pdf</v>
      </c>
      <c r="H184" s="1" t="n">
        <v>3</v>
      </c>
      <c r="I184" s="1" t="s">
        <v>1360</v>
      </c>
      <c r="J184" s="1" t="n">
        <v>1</v>
      </c>
      <c r="K184" s="2" t="s">
        <v>1362</v>
      </c>
      <c r="L184" s="2" t="s">
        <v>1364</v>
      </c>
      <c r="M184" s="1" t="s">
        <v>1360</v>
      </c>
      <c r="N184" s="1" t="n">
        <v>0</v>
      </c>
      <c r="O184" s="2" t="n">
        <v>94.81</v>
      </c>
      <c r="P184" s="2" t="n">
        <v>94.81</v>
      </c>
      <c r="Q184" s="2" t="n">
        <v>94.81</v>
      </c>
      <c r="R184" s="1" t="n">
        <v>1</v>
      </c>
      <c r="S184" s="1" t="n">
        <v>0</v>
      </c>
      <c r="T184" s="1" t="s">
        <v>1360</v>
      </c>
      <c r="U184" s="1" t="n">
        <v>3</v>
      </c>
      <c r="V184" s="1" t="n">
        <v>0</v>
      </c>
    </row>
    <row r="185" customFormat="false" ht="18.7" hidden="false" customHeight="true" outlineLevel="0" collapsed="false">
      <c r="A185" s="1" t="n">
        <v>184</v>
      </c>
      <c r="B185" s="7" t="str">
        <f aca="false">HYPERLINK("https://mncourtfraud.com/file/27-CR-21-13144.pdf","27-CR-21-13144")</f>
        <v>27-CR-21-13144</v>
      </c>
      <c r="C185" s="1" t="n">
        <v>1</v>
      </c>
      <c r="D185" s="2" t="s">
        <v>12</v>
      </c>
      <c r="E185" s="8" t="n">
        <v>45048</v>
      </c>
      <c r="F185" s="2" t="s">
        <v>80</v>
      </c>
      <c r="G185" s="7" t="str">
        <f aca="false">HYPERLINK("https://mncourtfraud.com/file/MCRO_27-CR-21-13144_Finding of Incompetency and Order_2023-05-02_20251126182855.pdf","MCRO_27-CR-21-13144_Finding of Incompetency and Order_2023-05-02_20251126182855.pdf")</f>
        <v>MCRO_27-CR-21-13144_Finding of Incompetency and Order_2023-05-02_20251126182855.pdf</v>
      </c>
      <c r="H185" s="1" t="n">
        <v>9</v>
      </c>
      <c r="I185" s="1" t="s">
        <v>1366</v>
      </c>
      <c r="J185" s="1" t="n">
        <v>3</v>
      </c>
      <c r="K185" s="2" t="s">
        <v>2268</v>
      </c>
      <c r="L185" s="2" t="s">
        <v>2269</v>
      </c>
      <c r="M185" s="1" t="s">
        <v>1366</v>
      </c>
      <c r="N185" s="1" t="n">
        <v>2</v>
      </c>
      <c r="O185" s="2" t="n">
        <v>15.21</v>
      </c>
      <c r="P185" s="2" t="n">
        <v>98.32</v>
      </c>
      <c r="Q185" s="2" t="n">
        <v>45.35</v>
      </c>
      <c r="R185" s="1" t="n">
        <v>3</v>
      </c>
      <c r="S185" s="1" t="n">
        <v>0</v>
      </c>
      <c r="T185" s="1" t="s">
        <v>1360</v>
      </c>
      <c r="U185" s="1" t="n">
        <v>5</v>
      </c>
      <c r="V185" s="1" t="n">
        <v>3</v>
      </c>
    </row>
    <row r="186" customFormat="false" ht="18.7" hidden="false" customHeight="true" outlineLevel="0" collapsed="false">
      <c r="A186" s="1" t="n">
        <v>185</v>
      </c>
      <c r="B186" s="7" t="str">
        <f aca="false">HYPERLINK("https://mncourtfraud.com/file/27-CR-21-13144.pdf","27-CR-21-13144")</f>
        <v>27-CR-21-13144</v>
      </c>
      <c r="C186" s="1" t="n">
        <v>1</v>
      </c>
      <c r="D186" s="2" t="s">
        <v>12</v>
      </c>
      <c r="E186" s="8" t="n">
        <v>44439</v>
      </c>
      <c r="F186" s="2" t="s">
        <v>19</v>
      </c>
      <c r="G186" s="7" t="str">
        <f aca="false">HYPERLINK("https://mncourtfraud.com/file/MCRO_27-CR-21-13144_Findings and Order_2021-08-31_20251126182917.pdf","MCRO_27-CR-21-13144_Findings and Order_2021-08-31_20251126182917.pdf")</f>
        <v>MCRO_27-CR-21-13144_Findings and Order_2021-08-31_20251126182917.pdf</v>
      </c>
      <c r="H186" s="1" t="n">
        <v>5</v>
      </c>
      <c r="I186" s="1" t="s">
        <v>1366</v>
      </c>
      <c r="J186" s="1" t="n">
        <v>2</v>
      </c>
      <c r="K186" s="2" t="s">
        <v>2267</v>
      </c>
      <c r="L186" s="2" t="s">
        <v>1364</v>
      </c>
      <c r="M186" s="1" t="s">
        <v>1366</v>
      </c>
      <c r="N186" s="1" t="n">
        <v>1</v>
      </c>
      <c r="O186" s="2" t="n">
        <v>39.94</v>
      </c>
      <c r="P186" s="2" t="n">
        <v>95.64</v>
      </c>
      <c r="Q186" s="2" t="n">
        <v>67.79</v>
      </c>
      <c r="R186" s="1" t="n">
        <v>2</v>
      </c>
      <c r="S186" s="1" t="n">
        <v>0</v>
      </c>
      <c r="T186" s="1" t="s">
        <v>1360</v>
      </c>
      <c r="U186" s="1" t="n">
        <v>2</v>
      </c>
      <c r="V186" s="1" t="n">
        <v>0</v>
      </c>
    </row>
    <row r="187" customFormat="false" ht="18.7" hidden="false" customHeight="true" outlineLevel="0" collapsed="false">
      <c r="A187" s="1" t="n">
        <v>186</v>
      </c>
      <c r="B187" s="7" t="str">
        <f aca="false">HYPERLINK("https://mncourtfraud.com/file/27-CR-21-13144.pdf","27-CR-21-13144")</f>
        <v>27-CR-21-13144</v>
      </c>
      <c r="C187" s="1" t="n">
        <v>1</v>
      </c>
      <c r="D187" s="2" t="s">
        <v>12</v>
      </c>
      <c r="E187" s="8" t="n">
        <v>44593</v>
      </c>
      <c r="F187" s="2" t="s">
        <v>19</v>
      </c>
      <c r="G187" s="7" t="str">
        <f aca="false">HYPERLINK("https://mncourtfraud.com/file/MCRO_27-CR-21-13144_Findings and Order_2022-02-01_20251126182907.pdf","MCRO_27-CR-21-13144_Findings and Order_2022-02-01_20251126182907.pdf")</f>
        <v>MCRO_27-CR-21-13144_Findings and Order_2022-02-01_20251126182907.pdf</v>
      </c>
      <c r="H187" s="1" t="n">
        <v>4</v>
      </c>
      <c r="I187" s="1" t="s">
        <v>1360</v>
      </c>
      <c r="J187" s="1" t="n">
        <v>2</v>
      </c>
      <c r="K187" s="2" t="s">
        <v>2267</v>
      </c>
      <c r="L187" s="2" t="s">
        <v>1364</v>
      </c>
      <c r="M187" s="1" t="s">
        <v>1366</v>
      </c>
      <c r="N187" s="1" t="n">
        <v>1</v>
      </c>
      <c r="O187" s="2" t="n">
        <v>47.77</v>
      </c>
      <c r="P187" s="2" t="n">
        <v>95.47</v>
      </c>
      <c r="Q187" s="2" t="n">
        <v>71.62</v>
      </c>
      <c r="R187" s="1" t="n">
        <v>2</v>
      </c>
      <c r="S187" s="1" t="n">
        <v>0</v>
      </c>
      <c r="T187" s="1" t="s">
        <v>1360</v>
      </c>
      <c r="U187" s="1" t="n">
        <v>2</v>
      </c>
      <c r="V187" s="1" t="n">
        <v>0</v>
      </c>
    </row>
    <row r="188" customFormat="false" ht="18.7" hidden="false" customHeight="true" outlineLevel="0" collapsed="false">
      <c r="A188" s="1" t="n">
        <v>187</v>
      </c>
      <c r="B188" s="7" t="str">
        <f aca="false">HYPERLINK("https://mncourtfraud.com/file/27-CR-21-13144.pdf","27-CR-21-13144")</f>
        <v>27-CR-21-13144</v>
      </c>
      <c r="C188" s="1" t="n">
        <v>1</v>
      </c>
      <c r="D188" s="2" t="s">
        <v>12</v>
      </c>
      <c r="E188" s="8" t="n">
        <v>45093</v>
      </c>
      <c r="F188" s="2" t="s">
        <v>82</v>
      </c>
      <c r="G188" s="7" t="str">
        <f aca="false">HYPERLINK("https://mncourtfraud.com/file/MCRO_27-CR-21-13144_Notice of Case Reassignment_2023-06-16_20251126182929.pdf","MCRO_27-CR-21-13144_Notice of Case Reassignment_2023-06-16_20251126182929.pdf")</f>
        <v>MCRO_27-CR-21-13144_Notice of Case Reassignment_2023-06-16_20251126182929.pdf</v>
      </c>
      <c r="H188" s="1" t="n">
        <v>3</v>
      </c>
      <c r="I188" s="1" t="s">
        <v>1360</v>
      </c>
      <c r="J188" s="1" t="n">
        <v>1</v>
      </c>
      <c r="K188" s="2" t="s">
        <v>1362</v>
      </c>
      <c r="L188" s="2" t="s">
        <v>1364</v>
      </c>
      <c r="M188" s="1" t="s">
        <v>1360</v>
      </c>
      <c r="N188" s="1" t="n">
        <v>0</v>
      </c>
      <c r="O188" s="2" t="n">
        <v>85.58</v>
      </c>
      <c r="P188" s="2" t="n">
        <v>85.58</v>
      </c>
      <c r="Q188" s="2" t="n">
        <v>85.58</v>
      </c>
      <c r="R188" s="1" t="n">
        <v>1</v>
      </c>
      <c r="S188" s="1" t="n">
        <v>0</v>
      </c>
      <c r="T188" s="1" t="s">
        <v>1360</v>
      </c>
      <c r="U188" s="1" t="n">
        <v>3</v>
      </c>
      <c r="V188" s="1" t="n">
        <v>0</v>
      </c>
    </row>
    <row r="189" customFormat="false" ht="18.7" hidden="false" customHeight="true" outlineLevel="0" collapsed="false">
      <c r="A189" s="1" t="n">
        <v>188</v>
      </c>
      <c r="B189" s="7" t="str">
        <f aca="false">HYPERLINK("https://mncourtfraud.com/file/27-CR-21-13144.pdf","27-CR-21-13144")</f>
        <v>27-CR-21-13144</v>
      </c>
      <c r="C189" s="1" t="n">
        <v>1</v>
      </c>
      <c r="D189" s="2" t="s">
        <v>12</v>
      </c>
      <c r="E189" s="8" t="n">
        <v>44396</v>
      </c>
      <c r="F189" s="2" t="s">
        <v>15</v>
      </c>
      <c r="G189" s="7" t="str">
        <f aca="false">HYPERLINK("https://mncourtfraud.com/file/MCRO_27-CR-21-13144_Order-Evaluation for Competency to Proceed (Rule 20.01)_2021-07-19_20251126183017.pdf","MCRO_27-CR-21-13144_Order-Evaluation for Competency to Proceed (Rule 20.01)_2021-07-19_20251126183017.pdf")</f>
        <v>MCRO_27-CR-21-13144_Order-Evaluation for Competency to Proceed (Rule 20.01)_2021-07-19_20251126183017.pdf</v>
      </c>
      <c r="H189" s="1" t="n">
        <v>4</v>
      </c>
      <c r="I189" s="1" t="s">
        <v>1360</v>
      </c>
      <c r="J189" s="1" t="n">
        <v>1</v>
      </c>
      <c r="K189" s="2" t="s">
        <v>1362</v>
      </c>
      <c r="L189" s="2" t="s">
        <v>1364</v>
      </c>
      <c r="M189" s="1" t="s">
        <v>1360</v>
      </c>
      <c r="N189" s="1" t="n">
        <v>0</v>
      </c>
      <c r="O189" s="2" t="n">
        <v>91.54</v>
      </c>
      <c r="P189" s="2" t="n">
        <v>91.54</v>
      </c>
      <c r="Q189" s="2" t="n">
        <v>91.54</v>
      </c>
      <c r="R189" s="1" t="n">
        <v>1</v>
      </c>
      <c r="S189" s="1" t="n">
        <v>0</v>
      </c>
      <c r="T189" s="1" t="s">
        <v>1360</v>
      </c>
      <c r="U189" s="1" t="n">
        <v>4</v>
      </c>
      <c r="V189" s="1" t="n">
        <v>0</v>
      </c>
    </row>
    <row r="190" customFormat="false" ht="18.7" hidden="false" customHeight="true" outlineLevel="0" collapsed="false">
      <c r="A190" s="1" t="n">
        <v>189</v>
      </c>
      <c r="B190" s="7" t="str">
        <f aca="false">HYPERLINK("https://mncourtfraud.com/file/27-CR-21-13144.pdf","27-CR-21-13144")</f>
        <v>27-CR-21-13144</v>
      </c>
      <c r="C190" s="1" t="n">
        <v>1</v>
      </c>
      <c r="D190" s="2" t="s">
        <v>12</v>
      </c>
      <c r="E190" s="8" t="n">
        <v>44543</v>
      </c>
      <c r="F190" s="2" t="s">
        <v>15</v>
      </c>
      <c r="G190" s="7" t="str">
        <f aca="false">HYPERLINK("https://mncourtfraud.com/file/MCRO_27-CR-21-13144_Order-Evaluation for Competency to Proceed (Rule 20.01)_2021-12-13_20251126183025.pdf","MCRO_27-CR-21-13144_Order-Evaluation for Competency to Proceed (Rule 20.01)_2021-12-13_20251126183025.pdf")</f>
        <v>MCRO_27-CR-21-13144_Order-Evaluation for Competency to Proceed (Rule 20.01)_2021-12-13_20251126183025.pdf</v>
      </c>
      <c r="H190" s="1" t="n">
        <v>3</v>
      </c>
      <c r="I190" s="1" t="s">
        <v>1360</v>
      </c>
      <c r="J190" s="1" t="n">
        <v>1</v>
      </c>
      <c r="K190" s="2" t="s">
        <v>1362</v>
      </c>
      <c r="L190" s="2" t="s">
        <v>1364</v>
      </c>
      <c r="M190" s="1" t="s">
        <v>1360</v>
      </c>
      <c r="N190" s="1" t="n">
        <v>0</v>
      </c>
      <c r="O190" s="2" t="n">
        <v>92.99</v>
      </c>
      <c r="P190" s="2" t="n">
        <v>92.99</v>
      </c>
      <c r="Q190" s="2" t="n">
        <v>92.99</v>
      </c>
      <c r="R190" s="1" t="n">
        <v>1</v>
      </c>
      <c r="S190" s="1" t="n">
        <v>0</v>
      </c>
      <c r="T190" s="1" t="s">
        <v>1360</v>
      </c>
      <c r="U190" s="1" t="n">
        <v>3</v>
      </c>
      <c r="V190" s="1" t="n">
        <v>0</v>
      </c>
    </row>
    <row r="191" customFormat="false" ht="18.7" hidden="false" customHeight="true" outlineLevel="0" collapsed="false">
      <c r="A191" s="1" t="n">
        <v>190</v>
      </c>
      <c r="B191" s="7" t="str">
        <f aca="false">HYPERLINK("https://mncourtfraud.com/file/27-CR-21-13144.pdf","27-CR-21-13144")</f>
        <v>27-CR-21-13144</v>
      </c>
      <c r="C191" s="1" t="n">
        <v>1</v>
      </c>
      <c r="D191" s="2" t="s">
        <v>12</v>
      </c>
      <c r="E191" s="8" t="n">
        <v>44558</v>
      </c>
      <c r="F191" s="2" t="s">
        <v>15</v>
      </c>
      <c r="G191" s="7" t="str">
        <f aca="false">HYPERLINK("https://mncourtfraud.com/file/MCRO_27-CR-21-13144_Order-Evaluation for Competency to Proceed (Rule 20.01)_2021-12-28_20251126183033.pdf","MCRO_27-CR-21-13144_Order-Evaluation for Competency to Proceed (Rule 20.01)_2021-12-28_20251126183033.pdf")</f>
        <v>MCRO_27-CR-21-13144_Order-Evaluation for Competency to Proceed (Rule 20.01)_2021-12-28_20251126183033.pdf</v>
      </c>
      <c r="H191" s="1" t="n">
        <v>4</v>
      </c>
      <c r="I191" s="1" t="s">
        <v>1360</v>
      </c>
      <c r="J191" s="1" t="n">
        <v>1</v>
      </c>
      <c r="K191" s="2" t="s">
        <v>1362</v>
      </c>
      <c r="L191" s="2" t="s">
        <v>1364</v>
      </c>
      <c r="M191" s="1" t="s">
        <v>1360</v>
      </c>
      <c r="N191" s="1" t="n">
        <v>0</v>
      </c>
      <c r="O191" s="2" t="n">
        <v>93.14</v>
      </c>
      <c r="P191" s="2" t="n">
        <v>93.14</v>
      </c>
      <c r="Q191" s="2" t="n">
        <v>93.14</v>
      </c>
      <c r="R191" s="1" t="n">
        <v>1</v>
      </c>
      <c r="S191" s="1" t="n">
        <v>0</v>
      </c>
      <c r="T191" s="1" t="s">
        <v>1360</v>
      </c>
      <c r="U191" s="1" t="n">
        <v>4</v>
      </c>
      <c r="V191" s="1" t="n">
        <v>0</v>
      </c>
    </row>
    <row r="192" customFormat="false" ht="18.7" hidden="false" customHeight="true" outlineLevel="0" collapsed="false">
      <c r="A192" s="1" t="n">
        <v>191</v>
      </c>
      <c r="B192" s="7" t="str">
        <f aca="false">HYPERLINK("https://mncourtfraud.com/file/27-CR-21-13144.pdf","27-CR-21-13144")</f>
        <v>27-CR-21-13144</v>
      </c>
      <c r="C192" s="1" t="n">
        <v>1</v>
      </c>
      <c r="D192" s="2" t="s">
        <v>12</v>
      </c>
      <c r="E192" s="8" t="n">
        <v>44692</v>
      </c>
      <c r="F192" s="2" t="s">
        <v>15</v>
      </c>
      <c r="G192" s="7" t="str">
        <f aca="false">HYPERLINK("https://mncourtfraud.com/file/MCRO_27-CR-21-13144_Order-Evaluation for Competency to Proceed (Rule 20.01)_2022-05-11_20251126183041.pdf","MCRO_27-CR-21-13144_Order-Evaluation for Competency to Proceed (Rule 20.01)_2022-05-11_20251126183041.pdf")</f>
        <v>MCRO_27-CR-21-13144_Order-Evaluation for Competency to Proceed (Rule 20.01)_2022-05-11_20251126183041.pdf</v>
      </c>
      <c r="H192" s="1" t="n">
        <v>3</v>
      </c>
      <c r="I192" s="1" t="s">
        <v>1360</v>
      </c>
      <c r="J192" s="1" t="n">
        <v>1</v>
      </c>
      <c r="K192" s="2" t="s">
        <v>1362</v>
      </c>
      <c r="L192" s="2" t="s">
        <v>1364</v>
      </c>
      <c r="M192" s="1" t="s">
        <v>1360</v>
      </c>
      <c r="N192" s="1" t="n">
        <v>0</v>
      </c>
      <c r="O192" s="2" t="n">
        <v>93.17</v>
      </c>
      <c r="P192" s="2" t="n">
        <v>93.17</v>
      </c>
      <c r="Q192" s="2" t="n">
        <v>93.17</v>
      </c>
      <c r="R192" s="1" t="n">
        <v>1</v>
      </c>
      <c r="S192" s="1" t="n">
        <v>0</v>
      </c>
      <c r="T192" s="1" t="s">
        <v>1360</v>
      </c>
      <c r="U192" s="1" t="n">
        <v>3</v>
      </c>
      <c r="V192" s="1" t="n">
        <v>0</v>
      </c>
    </row>
    <row r="193" customFormat="false" ht="18.7" hidden="false" customHeight="true" outlineLevel="0" collapsed="false">
      <c r="A193" s="1" t="n">
        <v>192</v>
      </c>
      <c r="B193" s="7" t="str">
        <f aca="false">HYPERLINK("https://mncourtfraud.com/file/27-CR-21-13144.pdf","27-CR-21-13144")</f>
        <v>27-CR-21-13144</v>
      </c>
      <c r="C193" s="1" t="n">
        <v>1</v>
      </c>
      <c r="D193" s="2" t="s">
        <v>12</v>
      </c>
      <c r="E193" s="8" t="n">
        <v>44895</v>
      </c>
      <c r="F193" s="2" t="s">
        <v>15</v>
      </c>
      <c r="G193" s="7" t="str">
        <f aca="false">HYPERLINK("https://mncourtfraud.com/file/MCRO_27-CR-21-13144_Order-Evaluation for Competency to Proceed (Rule 20.01)_2022-11-30_20251126183049.pdf","MCRO_27-CR-21-13144_Order-Evaluation for Competency to Proceed (Rule 20.01)_2022-11-30_20251126183049.pdf")</f>
        <v>MCRO_27-CR-21-13144_Order-Evaluation for Competency to Proceed (Rule 20.01)_2022-11-30_20251126183049.pdf</v>
      </c>
      <c r="H193" s="1" t="n">
        <v>4</v>
      </c>
      <c r="I193" s="1" t="s">
        <v>1360</v>
      </c>
      <c r="J193" s="1" t="n">
        <v>1</v>
      </c>
      <c r="K193" s="2" t="s">
        <v>1362</v>
      </c>
      <c r="L193" s="2" t="s">
        <v>1364</v>
      </c>
      <c r="M193" s="1" t="s">
        <v>1360</v>
      </c>
      <c r="N193" s="1" t="n">
        <v>0</v>
      </c>
      <c r="O193" s="2" t="n">
        <v>97.99</v>
      </c>
      <c r="P193" s="2" t="n">
        <v>97.99</v>
      </c>
      <c r="Q193" s="2" t="n">
        <v>97.99</v>
      </c>
      <c r="R193" s="1" t="n">
        <v>1</v>
      </c>
      <c r="S193" s="1" t="n">
        <v>0</v>
      </c>
      <c r="T193" s="1" t="s">
        <v>1360</v>
      </c>
      <c r="U193" s="1" t="n">
        <v>4</v>
      </c>
      <c r="V193" s="1" t="n">
        <v>0</v>
      </c>
    </row>
    <row r="194" customFormat="false" ht="18.7" hidden="false" customHeight="true" outlineLevel="0" collapsed="false">
      <c r="A194" s="1" t="n">
        <v>193</v>
      </c>
      <c r="B194" s="7" t="str">
        <f aca="false">HYPERLINK("https://mncourtfraud.com/file/27-CR-21-13144.pdf","27-CR-21-13144")</f>
        <v>27-CR-21-13144</v>
      </c>
      <c r="C194" s="1" t="n">
        <v>1</v>
      </c>
      <c r="D194" s="2" t="s">
        <v>12</v>
      </c>
      <c r="E194" s="8" t="n">
        <v>45160</v>
      </c>
      <c r="F194" s="2" t="s">
        <v>15</v>
      </c>
      <c r="G194" s="7" t="str">
        <f aca="false">HYPERLINK("https://mncourtfraud.com/file/MCRO_27-CR-21-13144_Order-Evaluation for Competency to Proceed (Rule 20.01)_2023-08-22_20251126183057.pdf","MCRO_27-CR-21-13144_Order-Evaluation for Competency to Proceed (Rule 20.01)_2023-08-22_20251126183057.pdf")</f>
        <v>MCRO_27-CR-21-13144_Order-Evaluation for Competency to Proceed (Rule 20.01)_2023-08-22_20251126183057.pdf</v>
      </c>
      <c r="H194" s="1" t="n">
        <v>6</v>
      </c>
      <c r="I194" s="1" t="s">
        <v>1366</v>
      </c>
      <c r="J194" s="1" t="n">
        <v>2</v>
      </c>
      <c r="K194" s="2" t="s">
        <v>2270</v>
      </c>
      <c r="L194" s="2" t="s">
        <v>2269</v>
      </c>
      <c r="M194" s="1" t="s">
        <v>1366</v>
      </c>
      <c r="N194" s="1" t="n">
        <v>1</v>
      </c>
      <c r="O194" s="2" t="n">
        <v>23.95</v>
      </c>
      <c r="P194" s="2" t="n">
        <v>98.13</v>
      </c>
      <c r="Q194" s="2" t="n">
        <v>61.04</v>
      </c>
      <c r="R194" s="1" t="n">
        <v>2</v>
      </c>
      <c r="S194" s="1" t="n">
        <v>0</v>
      </c>
      <c r="T194" s="1" t="s">
        <v>1360</v>
      </c>
      <c r="U194" s="1" t="n">
        <v>3</v>
      </c>
      <c r="V194" s="1" t="n">
        <v>3</v>
      </c>
    </row>
    <row r="195" customFormat="false" ht="18.7" hidden="false" customHeight="true" outlineLevel="0" collapsed="false">
      <c r="A195" s="1" t="n">
        <v>194</v>
      </c>
      <c r="B195" s="7" t="str">
        <f aca="false">HYPERLINK("https://mncourtfraud.com/file/27-CR-21-13144.pdf","27-CR-21-13144")</f>
        <v>27-CR-21-13144</v>
      </c>
      <c r="C195" s="1" t="n">
        <v>1</v>
      </c>
      <c r="D195" s="2" t="s">
        <v>12</v>
      </c>
      <c r="E195" s="8" t="n">
        <v>45412</v>
      </c>
      <c r="F195" s="2" t="s">
        <v>15</v>
      </c>
      <c r="G195" s="7" t="str">
        <f aca="false">HYPERLINK("https://mncourtfraud.com/file/MCRO_27-CR-21-13144_Order-Evaluation for Competency to Proceed (Rule 20.01)_2024-04-30_20251126183105.pdf","MCRO_27-CR-21-13144_Order-Evaluation for Competency to Proceed (Rule 20.01)_2024-04-30_20251126183105.pdf")</f>
        <v>MCRO_27-CR-21-13144_Order-Evaluation for Competency to Proceed (Rule 20.01)_2024-04-30_20251126183105.pdf</v>
      </c>
      <c r="H195" s="1" t="n">
        <v>4</v>
      </c>
      <c r="I195" s="1" t="s">
        <v>1360</v>
      </c>
      <c r="J195" s="1" t="n">
        <v>1</v>
      </c>
      <c r="K195" s="2" t="s">
        <v>1362</v>
      </c>
      <c r="L195" s="2" t="s">
        <v>1364</v>
      </c>
      <c r="M195" s="1" t="s">
        <v>1360</v>
      </c>
      <c r="N195" s="1" t="n">
        <v>0</v>
      </c>
      <c r="O195" s="2" t="n">
        <v>92.54</v>
      </c>
      <c r="P195" s="2" t="n">
        <v>92.54</v>
      </c>
      <c r="Q195" s="2" t="n">
        <v>92.54</v>
      </c>
      <c r="R195" s="1" t="n">
        <v>1</v>
      </c>
      <c r="S195" s="1" t="n">
        <v>0</v>
      </c>
      <c r="T195" s="1" t="s">
        <v>1360</v>
      </c>
      <c r="U195" s="1" t="n">
        <v>4</v>
      </c>
      <c r="V195" s="1" t="n">
        <v>0</v>
      </c>
    </row>
    <row r="196" customFormat="false" ht="18.7" hidden="false" customHeight="true" outlineLevel="0" collapsed="false">
      <c r="A196" s="1" t="n">
        <v>195</v>
      </c>
      <c r="B196" s="7" t="str">
        <f aca="false">HYPERLINK("https://mncourtfraud.com/file/27-CR-21-13144.pdf","27-CR-21-13144")</f>
        <v>27-CR-21-13144</v>
      </c>
      <c r="C196" s="1" t="n">
        <v>1</v>
      </c>
      <c r="D196" s="2" t="s">
        <v>12</v>
      </c>
      <c r="E196" s="8" t="n">
        <v>44460</v>
      </c>
      <c r="F196" s="2" t="s">
        <v>24</v>
      </c>
      <c r="G196" s="7" t="str">
        <f aca="false">HYPERLINK("https://mncourtfraud.com/file/MCRO_27-CR-21-13144_Order for Conditional Release_2021-09-21_20251126182955.pdf","MCRO_27-CR-21-13144_Order for Conditional Release_2021-09-21_20251126182955.pdf")</f>
        <v>MCRO_27-CR-21-13144_Order for Conditional Release_2021-09-21_20251126182955.pdf</v>
      </c>
      <c r="H196" s="1" t="n">
        <v>4</v>
      </c>
      <c r="I196" s="1" t="s">
        <v>1360</v>
      </c>
      <c r="J196" s="1" t="n">
        <v>1</v>
      </c>
      <c r="K196" s="2" t="s">
        <v>1362</v>
      </c>
      <c r="L196" s="2" t="s">
        <v>1364</v>
      </c>
      <c r="M196" s="1" t="s">
        <v>1360</v>
      </c>
      <c r="N196" s="1" t="n">
        <v>0</v>
      </c>
      <c r="O196" s="2" t="n">
        <v>84.52</v>
      </c>
      <c r="P196" s="2" t="n">
        <v>84.52</v>
      </c>
      <c r="Q196" s="2" t="n">
        <v>84.52</v>
      </c>
      <c r="R196" s="1" t="n">
        <v>1</v>
      </c>
      <c r="S196" s="1" t="n">
        <v>0</v>
      </c>
      <c r="T196" s="1" t="s">
        <v>1360</v>
      </c>
      <c r="U196" s="1" t="n">
        <v>4</v>
      </c>
      <c r="V196" s="1" t="n">
        <v>0</v>
      </c>
    </row>
    <row r="197" customFormat="false" ht="18.7" hidden="false" customHeight="true" outlineLevel="0" collapsed="false">
      <c r="A197" s="1" t="n">
        <v>196</v>
      </c>
      <c r="B197" s="7" t="str">
        <f aca="false">HYPERLINK("https://mncourtfraud.com/file/27-CR-21-13144.pdf","27-CR-21-13144")</f>
        <v>27-CR-21-13144</v>
      </c>
      <c r="C197" s="1" t="n">
        <v>1</v>
      </c>
      <c r="D197" s="2" t="s">
        <v>12</v>
      </c>
      <c r="E197" s="8" t="n">
        <v>44468</v>
      </c>
      <c r="F197" s="2" t="s">
        <v>24</v>
      </c>
      <c r="G197" s="7" t="str">
        <f aca="false">HYPERLINK("https://mncourtfraud.com/file/MCRO_27-CR-21-13144_Order for Conditional Release_2021-09-29_20251126183006.pdf","MCRO_27-CR-21-13144_Order for Conditional Release_2021-09-29_20251126183006.pdf")</f>
        <v>MCRO_27-CR-21-13144_Order for Conditional Release_2021-09-29_20251126183006.pdf</v>
      </c>
      <c r="H197" s="1" t="n">
        <v>4</v>
      </c>
      <c r="I197" s="1" t="s">
        <v>1360</v>
      </c>
      <c r="J197" s="1" t="n">
        <v>1</v>
      </c>
      <c r="K197" s="2" t="s">
        <v>1362</v>
      </c>
      <c r="L197" s="2" t="s">
        <v>1364</v>
      </c>
      <c r="M197" s="1" t="s">
        <v>1360</v>
      </c>
      <c r="N197" s="1" t="n">
        <v>0</v>
      </c>
      <c r="O197" s="2" t="n">
        <v>89.21</v>
      </c>
      <c r="P197" s="2" t="n">
        <v>89.21</v>
      </c>
      <c r="Q197" s="2" t="n">
        <v>89.21</v>
      </c>
      <c r="R197" s="1" t="n">
        <v>1</v>
      </c>
      <c r="S197" s="1" t="n">
        <v>0</v>
      </c>
      <c r="T197" s="1" t="s">
        <v>1360</v>
      </c>
      <c r="U197" s="1" t="n">
        <v>4</v>
      </c>
      <c r="V197" s="1" t="n">
        <v>0</v>
      </c>
    </row>
    <row r="198" customFormat="false" ht="18.7" hidden="false" customHeight="true" outlineLevel="0" collapsed="false">
      <c r="A198" s="1" t="n">
        <v>197</v>
      </c>
      <c r="B198" s="7" t="str">
        <f aca="false">HYPERLINK("https://mncourtfraud.com/file/27-CR-21-13144.pdf","27-CR-21-13144")</f>
        <v>27-CR-21-13144</v>
      </c>
      <c r="C198" s="1" t="n">
        <v>1</v>
      </c>
      <c r="D198" s="2" t="s">
        <v>12</v>
      </c>
      <c r="E198" s="8" t="n">
        <v>45412</v>
      </c>
      <c r="F198" s="2" t="s">
        <v>24</v>
      </c>
      <c r="G198" s="7" t="str">
        <f aca="false">HYPERLINK("https://mncourtfraud.com/file/MCRO_27-CR-21-13144_Order for Conditional Release_2024-04-30_20251126182947.pdf","MCRO_27-CR-21-13144_Order for Conditional Release_2024-04-30_20251126182947.pdf")</f>
        <v>MCRO_27-CR-21-13144_Order for Conditional Release_2024-04-30_20251126182947.pdf</v>
      </c>
      <c r="H198" s="1" t="n">
        <v>4</v>
      </c>
      <c r="I198" s="1" t="s">
        <v>1360</v>
      </c>
      <c r="J198" s="1" t="n">
        <v>1</v>
      </c>
      <c r="K198" s="2" t="s">
        <v>1362</v>
      </c>
      <c r="L198" s="2" t="s">
        <v>1364</v>
      </c>
      <c r="M198" s="1" t="s">
        <v>1360</v>
      </c>
      <c r="N198" s="1" t="n">
        <v>0</v>
      </c>
      <c r="O198" s="2" t="n">
        <v>89.11</v>
      </c>
      <c r="P198" s="2" t="n">
        <v>89.11</v>
      </c>
      <c r="Q198" s="2" t="n">
        <v>89.11</v>
      </c>
      <c r="R198" s="1" t="n">
        <v>1</v>
      </c>
      <c r="S198" s="1" t="n">
        <v>0</v>
      </c>
      <c r="T198" s="1" t="s">
        <v>1360</v>
      </c>
      <c r="U198" s="1" t="n">
        <v>4</v>
      </c>
      <c r="V198" s="1" t="n">
        <v>0</v>
      </c>
    </row>
    <row r="199" customFormat="false" ht="18.7" hidden="false" customHeight="true" outlineLevel="0" collapsed="false">
      <c r="A199" s="1" t="n">
        <v>198</v>
      </c>
      <c r="B199" s="7" t="str">
        <f aca="false">HYPERLINK("https://mncourtfraud.com/file/27-CR-21-13144.pdf","27-CR-21-13144")</f>
        <v>27-CR-21-13144</v>
      </c>
      <c r="C199" s="1" t="n">
        <v>1</v>
      </c>
      <c r="D199" s="2" t="s">
        <v>12</v>
      </c>
      <c r="E199" s="8" t="n">
        <v>44999</v>
      </c>
      <c r="F199" s="2" t="s">
        <v>17</v>
      </c>
      <c r="G199" s="7" t="str">
        <f aca="false">HYPERLINK("https://mncourtfraud.com/file/MCRO_27-CR-21-13144_Returned Mail_2023-03-14_20251126183118.pdf","MCRO_27-CR-21-13144_Returned Mail_2023-03-14_20251126183118.pdf")</f>
        <v>MCRO_27-CR-21-13144_Returned Mail_2023-03-14_20251126183118.pdf</v>
      </c>
      <c r="H199" s="1" t="n">
        <v>4</v>
      </c>
      <c r="I199" s="1" t="s">
        <v>1360</v>
      </c>
      <c r="J199" s="1" t="n">
        <v>1</v>
      </c>
      <c r="K199" s="2" t="s">
        <v>1362</v>
      </c>
      <c r="L199" s="2" t="s">
        <v>1364</v>
      </c>
      <c r="M199" s="1" t="s">
        <v>1360</v>
      </c>
      <c r="N199" s="1" t="n">
        <v>0</v>
      </c>
      <c r="O199" s="2" t="n">
        <v>93.85</v>
      </c>
      <c r="P199" s="2" t="n">
        <v>93.85</v>
      </c>
      <c r="Q199" s="2" t="n">
        <v>93.85</v>
      </c>
      <c r="R199" s="1" t="n">
        <v>1</v>
      </c>
      <c r="S199" s="1" t="n">
        <v>0</v>
      </c>
      <c r="T199" s="1" t="s">
        <v>1360</v>
      </c>
      <c r="U199" s="1" t="n">
        <v>4</v>
      </c>
      <c r="V199" s="1" t="n">
        <v>0</v>
      </c>
    </row>
    <row r="200" customFormat="false" ht="18.7" hidden="false" customHeight="true" outlineLevel="0" collapsed="false">
      <c r="A200" s="1" t="n">
        <v>199</v>
      </c>
      <c r="B200" s="7" t="str">
        <f aca="false">HYPERLINK("https://mncourtfraud.com/file/27-CR-21-13146.pdf","27-CR-21-13146")</f>
        <v>27-CR-21-13146</v>
      </c>
      <c r="C200" s="1" t="n">
        <v>1</v>
      </c>
      <c r="D200" s="2" t="s">
        <v>12</v>
      </c>
      <c r="E200" s="8" t="n">
        <v>44405</v>
      </c>
      <c r="F200" s="2" t="s">
        <v>145</v>
      </c>
      <c r="G200" s="7" t="str">
        <f aca="false">HYPERLINK("https://mncourtfraud.com/file/MCRO_27-CR-21-13146_Demand or Request for Discovery_2021-07-28_20251126183146.pdf","MCRO_27-CR-21-13146_Demand or Request for Discovery_2021-07-28_20251126183146.pdf")</f>
        <v>MCRO_27-CR-21-13146_Demand or Request for Discovery_2021-07-28_20251126183146.pdf</v>
      </c>
      <c r="H200" s="1" t="n">
        <v>3</v>
      </c>
      <c r="I200" s="1" t="s">
        <v>1360</v>
      </c>
      <c r="J200" s="1" t="n">
        <v>1</v>
      </c>
      <c r="K200" s="2" t="s">
        <v>1362</v>
      </c>
      <c r="L200" s="2" t="s">
        <v>1364</v>
      </c>
      <c r="M200" s="1" t="s">
        <v>1360</v>
      </c>
      <c r="N200" s="1" t="n">
        <v>0</v>
      </c>
      <c r="O200" s="2" t="n">
        <v>94.82</v>
      </c>
      <c r="P200" s="2" t="n">
        <v>94.82</v>
      </c>
      <c r="Q200" s="2" t="n">
        <v>94.82</v>
      </c>
      <c r="R200" s="1" t="n">
        <v>1</v>
      </c>
      <c r="S200" s="1" t="n">
        <v>0</v>
      </c>
      <c r="T200" s="1" t="s">
        <v>1360</v>
      </c>
      <c r="U200" s="1" t="n">
        <v>3</v>
      </c>
      <c r="V200" s="1" t="n">
        <v>0</v>
      </c>
    </row>
    <row r="201" customFormat="false" ht="18.7" hidden="false" customHeight="true" outlineLevel="0" collapsed="false">
      <c r="A201" s="1" t="n">
        <v>200</v>
      </c>
      <c r="B201" s="7" t="str">
        <f aca="false">HYPERLINK("https://mncourtfraud.com/file/27-CR-21-13146.pdf","27-CR-21-13146")</f>
        <v>27-CR-21-13146</v>
      </c>
      <c r="C201" s="1" t="n">
        <v>1</v>
      </c>
      <c r="D201" s="2" t="s">
        <v>12</v>
      </c>
      <c r="E201" s="8" t="n">
        <v>45048</v>
      </c>
      <c r="F201" s="2" t="s">
        <v>80</v>
      </c>
      <c r="G201" s="7" t="str">
        <f aca="false">HYPERLINK("https://mncourtfraud.com/file/MCRO_27-CR-21-13146_Finding of Incompetency and Order_2023-05-02_20251126183156.pdf","MCRO_27-CR-21-13146_Finding of Incompetency and Order_2023-05-02_20251126183156.pdf")</f>
        <v>MCRO_27-CR-21-13146_Finding of Incompetency and Order_2023-05-02_20251126183156.pdf</v>
      </c>
      <c r="H201" s="1" t="n">
        <v>9</v>
      </c>
      <c r="I201" s="1" t="s">
        <v>1366</v>
      </c>
      <c r="J201" s="1" t="n">
        <v>3</v>
      </c>
      <c r="K201" s="2" t="s">
        <v>2268</v>
      </c>
      <c r="L201" s="2" t="s">
        <v>2269</v>
      </c>
      <c r="M201" s="1" t="s">
        <v>1366</v>
      </c>
      <c r="N201" s="1" t="n">
        <v>2</v>
      </c>
      <c r="O201" s="2" t="n">
        <v>15.21</v>
      </c>
      <c r="P201" s="2" t="n">
        <v>98.32</v>
      </c>
      <c r="Q201" s="2" t="n">
        <v>45.35</v>
      </c>
      <c r="R201" s="1" t="n">
        <v>3</v>
      </c>
      <c r="S201" s="1" t="n">
        <v>0</v>
      </c>
      <c r="T201" s="1" t="s">
        <v>1360</v>
      </c>
      <c r="U201" s="1" t="n">
        <v>5</v>
      </c>
      <c r="V201" s="1" t="n">
        <v>3</v>
      </c>
    </row>
    <row r="202" customFormat="false" ht="18.7" hidden="false" customHeight="true" outlineLevel="0" collapsed="false">
      <c r="A202" s="1" t="n">
        <v>201</v>
      </c>
      <c r="B202" s="7" t="str">
        <f aca="false">HYPERLINK("https://mncourtfraud.com/file/27-CR-21-13146.pdf","27-CR-21-13146")</f>
        <v>27-CR-21-13146</v>
      </c>
      <c r="C202" s="1" t="n">
        <v>1</v>
      </c>
      <c r="D202" s="2" t="s">
        <v>12</v>
      </c>
      <c r="E202" s="8" t="n">
        <v>44439</v>
      </c>
      <c r="F202" s="2" t="s">
        <v>19</v>
      </c>
      <c r="G202" s="7" t="str">
        <f aca="false">HYPERLINK("https://mncourtfraud.com/file/MCRO_27-CR-21-13146_Findings and Order_2021-08-31_20251126183219.pdf","MCRO_27-CR-21-13146_Findings and Order_2021-08-31_20251126183219.pdf")</f>
        <v>MCRO_27-CR-21-13146_Findings and Order_2021-08-31_20251126183219.pdf</v>
      </c>
      <c r="H202" s="1" t="n">
        <v>5</v>
      </c>
      <c r="I202" s="1" t="s">
        <v>1366</v>
      </c>
      <c r="J202" s="1" t="n">
        <v>2</v>
      </c>
      <c r="K202" s="2" t="s">
        <v>2267</v>
      </c>
      <c r="L202" s="2" t="s">
        <v>1364</v>
      </c>
      <c r="M202" s="1" t="s">
        <v>1366</v>
      </c>
      <c r="N202" s="1" t="n">
        <v>1</v>
      </c>
      <c r="O202" s="2" t="n">
        <v>39.94</v>
      </c>
      <c r="P202" s="2" t="n">
        <v>95.64</v>
      </c>
      <c r="Q202" s="2" t="n">
        <v>67.79</v>
      </c>
      <c r="R202" s="1" t="n">
        <v>2</v>
      </c>
      <c r="S202" s="1" t="n">
        <v>0</v>
      </c>
      <c r="T202" s="1" t="s">
        <v>1360</v>
      </c>
      <c r="U202" s="1" t="n">
        <v>2</v>
      </c>
      <c r="V202" s="1" t="n">
        <v>0</v>
      </c>
    </row>
    <row r="203" customFormat="false" ht="18.7" hidden="false" customHeight="true" outlineLevel="0" collapsed="false">
      <c r="A203" s="1" t="n">
        <v>202</v>
      </c>
      <c r="B203" s="7" t="str">
        <f aca="false">HYPERLINK("https://mncourtfraud.com/file/27-CR-21-13146.pdf","27-CR-21-13146")</f>
        <v>27-CR-21-13146</v>
      </c>
      <c r="C203" s="1" t="n">
        <v>1</v>
      </c>
      <c r="D203" s="2" t="s">
        <v>12</v>
      </c>
      <c r="E203" s="8" t="n">
        <v>44593</v>
      </c>
      <c r="F203" s="2" t="s">
        <v>19</v>
      </c>
      <c r="G203" s="7" t="str">
        <f aca="false">HYPERLINK("https://mncourtfraud.com/file/MCRO_27-CR-21-13146_Findings and Order_2022-02-01_20251126183209.pdf","MCRO_27-CR-21-13146_Findings and Order_2022-02-01_20251126183209.pdf")</f>
        <v>MCRO_27-CR-21-13146_Findings and Order_2022-02-01_20251126183209.pdf</v>
      </c>
      <c r="H203" s="1" t="n">
        <v>4</v>
      </c>
      <c r="I203" s="1" t="s">
        <v>1360</v>
      </c>
      <c r="J203" s="1" t="n">
        <v>2</v>
      </c>
      <c r="K203" s="2" t="s">
        <v>2267</v>
      </c>
      <c r="L203" s="2" t="s">
        <v>1364</v>
      </c>
      <c r="M203" s="1" t="s">
        <v>1366</v>
      </c>
      <c r="N203" s="1" t="n">
        <v>1</v>
      </c>
      <c r="O203" s="2" t="n">
        <v>47.77</v>
      </c>
      <c r="P203" s="2" t="n">
        <v>95.47</v>
      </c>
      <c r="Q203" s="2" t="n">
        <v>71.62</v>
      </c>
      <c r="R203" s="1" t="n">
        <v>2</v>
      </c>
      <c r="S203" s="1" t="n">
        <v>0</v>
      </c>
      <c r="T203" s="1" t="s">
        <v>1360</v>
      </c>
      <c r="U203" s="1" t="n">
        <v>2</v>
      </c>
      <c r="V203" s="1" t="n">
        <v>0</v>
      </c>
    </row>
    <row r="204" customFormat="false" ht="18.7" hidden="false" customHeight="true" outlineLevel="0" collapsed="false">
      <c r="A204" s="1" t="n">
        <v>203</v>
      </c>
      <c r="B204" s="7" t="str">
        <f aca="false">HYPERLINK("https://mncourtfraud.com/file/27-CR-21-13146.pdf","27-CR-21-13146")</f>
        <v>27-CR-21-13146</v>
      </c>
      <c r="C204" s="1" t="n">
        <v>1</v>
      </c>
      <c r="D204" s="2" t="s">
        <v>12</v>
      </c>
      <c r="E204" s="8" t="n">
        <v>45093</v>
      </c>
      <c r="F204" s="2" t="s">
        <v>82</v>
      </c>
      <c r="G204" s="7" t="str">
        <f aca="false">HYPERLINK("https://mncourtfraud.com/file/MCRO_27-CR-21-13146_Notice of Case Reassignment_2023-06-16_20251126183231.pdf","MCRO_27-CR-21-13146_Notice of Case Reassignment_2023-06-16_20251126183231.pdf")</f>
        <v>MCRO_27-CR-21-13146_Notice of Case Reassignment_2023-06-16_20251126183231.pdf</v>
      </c>
      <c r="H204" s="1" t="n">
        <v>3</v>
      </c>
      <c r="I204" s="1" t="s">
        <v>1360</v>
      </c>
      <c r="J204" s="1" t="n">
        <v>1</v>
      </c>
      <c r="K204" s="2" t="s">
        <v>1362</v>
      </c>
      <c r="L204" s="2" t="s">
        <v>1364</v>
      </c>
      <c r="M204" s="1" t="s">
        <v>1360</v>
      </c>
      <c r="N204" s="1" t="n">
        <v>0</v>
      </c>
      <c r="O204" s="2" t="n">
        <v>85.58</v>
      </c>
      <c r="P204" s="2" t="n">
        <v>85.58</v>
      </c>
      <c r="Q204" s="2" t="n">
        <v>85.58</v>
      </c>
      <c r="R204" s="1" t="n">
        <v>1</v>
      </c>
      <c r="S204" s="1" t="n">
        <v>0</v>
      </c>
      <c r="T204" s="1" t="s">
        <v>1360</v>
      </c>
      <c r="U204" s="1" t="n">
        <v>3</v>
      </c>
      <c r="V204" s="1" t="n">
        <v>0</v>
      </c>
    </row>
    <row r="205" customFormat="false" ht="18.7" hidden="false" customHeight="true" outlineLevel="0" collapsed="false">
      <c r="A205" s="1" t="n">
        <v>204</v>
      </c>
      <c r="B205" s="7" t="str">
        <f aca="false">HYPERLINK("https://mncourtfraud.com/file/27-CR-21-13146.pdf","27-CR-21-13146")</f>
        <v>27-CR-21-13146</v>
      </c>
      <c r="C205" s="1" t="n">
        <v>1</v>
      </c>
      <c r="D205" s="2" t="s">
        <v>12</v>
      </c>
      <c r="E205" s="8" t="n">
        <v>44396</v>
      </c>
      <c r="F205" s="2" t="s">
        <v>15</v>
      </c>
      <c r="G205" s="7" t="str">
        <f aca="false">HYPERLINK("https://mncourtfraud.com/file/MCRO_27-CR-21-13146_Order-Evaluation for Competency to Proceed (Rule 20.01)_2021-07-19_20251126183316.pdf","MCRO_27-CR-21-13146_Order-Evaluation for Competency to Proceed (Rule 20.01)_2021-07-19_20251126183316.pdf")</f>
        <v>MCRO_27-CR-21-13146_Order-Evaluation for Competency to Proceed (Rule 20.01)_2021-07-19_20251126183316.pdf</v>
      </c>
      <c r="H205" s="1" t="n">
        <v>4</v>
      </c>
      <c r="I205" s="1" t="s">
        <v>1360</v>
      </c>
      <c r="J205" s="1" t="n">
        <v>1</v>
      </c>
      <c r="K205" s="2" t="s">
        <v>1362</v>
      </c>
      <c r="L205" s="2" t="s">
        <v>1364</v>
      </c>
      <c r="M205" s="1" t="s">
        <v>1360</v>
      </c>
      <c r="N205" s="1" t="n">
        <v>0</v>
      </c>
      <c r="O205" s="2" t="n">
        <v>91.6</v>
      </c>
      <c r="P205" s="2" t="n">
        <v>91.6</v>
      </c>
      <c r="Q205" s="2" t="n">
        <v>91.6</v>
      </c>
      <c r="R205" s="1" t="n">
        <v>1</v>
      </c>
      <c r="S205" s="1" t="n">
        <v>0</v>
      </c>
      <c r="T205" s="1" t="s">
        <v>1360</v>
      </c>
      <c r="U205" s="1" t="n">
        <v>4</v>
      </c>
      <c r="V205" s="1" t="n">
        <v>0</v>
      </c>
    </row>
    <row r="206" customFormat="false" ht="18.7" hidden="false" customHeight="true" outlineLevel="0" collapsed="false">
      <c r="A206" s="1" t="n">
        <v>205</v>
      </c>
      <c r="B206" s="7" t="str">
        <f aca="false">HYPERLINK("https://mncourtfraud.com/file/27-CR-21-13146.pdf","27-CR-21-13146")</f>
        <v>27-CR-21-13146</v>
      </c>
      <c r="C206" s="1" t="n">
        <v>1</v>
      </c>
      <c r="D206" s="2" t="s">
        <v>12</v>
      </c>
      <c r="E206" s="8" t="n">
        <v>44543</v>
      </c>
      <c r="F206" s="2" t="s">
        <v>15</v>
      </c>
      <c r="G206" s="7" t="str">
        <f aca="false">HYPERLINK("https://mncourtfraud.com/file/MCRO_27-CR-21-13146_Order-Evaluation for Competency to Proceed (Rule 20.01)_2021-12-13_20251126183322.pdf","MCRO_27-CR-21-13146_Order-Evaluation for Competency to Proceed (Rule 20.01)_2021-12-13_20251126183322.pdf")</f>
        <v>MCRO_27-CR-21-13146_Order-Evaluation for Competency to Proceed (Rule 20.01)_2021-12-13_20251126183322.pdf</v>
      </c>
      <c r="H206" s="1" t="n">
        <v>3</v>
      </c>
      <c r="I206" s="1" t="s">
        <v>1360</v>
      </c>
      <c r="J206" s="1" t="n">
        <v>1</v>
      </c>
      <c r="K206" s="2" t="s">
        <v>1362</v>
      </c>
      <c r="L206" s="2" t="s">
        <v>1364</v>
      </c>
      <c r="M206" s="1" t="s">
        <v>1360</v>
      </c>
      <c r="N206" s="1" t="n">
        <v>0</v>
      </c>
      <c r="O206" s="2" t="n">
        <v>92.99</v>
      </c>
      <c r="P206" s="2" t="n">
        <v>92.99</v>
      </c>
      <c r="Q206" s="2" t="n">
        <v>92.99</v>
      </c>
      <c r="R206" s="1" t="n">
        <v>1</v>
      </c>
      <c r="S206" s="1" t="n">
        <v>0</v>
      </c>
      <c r="T206" s="1" t="s">
        <v>1360</v>
      </c>
      <c r="U206" s="1" t="n">
        <v>3</v>
      </c>
      <c r="V206" s="1" t="n">
        <v>0</v>
      </c>
    </row>
    <row r="207" customFormat="false" ht="18.7" hidden="false" customHeight="true" outlineLevel="0" collapsed="false">
      <c r="A207" s="1" t="n">
        <v>206</v>
      </c>
      <c r="B207" s="7" t="str">
        <f aca="false">HYPERLINK("https://mncourtfraud.com/file/27-CR-21-13146.pdf","27-CR-21-13146")</f>
        <v>27-CR-21-13146</v>
      </c>
      <c r="C207" s="1" t="n">
        <v>1</v>
      </c>
      <c r="D207" s="2" t="s">
        <v>12</v>
      </c>
      <c r="E207" s="8" t="n">
        <v>44558</v>
      </c>
      <c r="F207" s="2" t="s">
        <v>15</v>
      </c>
      <c r="G207" s="7" t="str">
        <f aca="false">HYPERLINK("https://mncourtfraud.com/file/MCRO_27-CR-21-13146_Order-Evaluation for Competency to Proceed (Rule 20.01)_2021-12-28_20251126183331.pdf","MCRO_27-CR-21-13146_Order-Evaluation for Competency to Proceed (Rule 20.01)_2021-12-28_20251126183331.pdf")</f>
        <v>MCRO_27-CR-21-13146_Order-Evaluation for Competency to Proceed (Rule 20.01)_2021-12-28_20251126183331.pdf</v>
      </c>
      <c r="H207" s="1" t="n">
        <v>4</v>
      </c>
      <c r="I207" s="1" t="s">
        <v>1360</v>
      </c>
      <c r="J207" s="1" t="n">
        <v>1</v>
      </c>
      <c r="K207" s="2" t="s">
        <v>1362</v>
      </c>
      <c r="L207" s="2" t="s">
        <v>1364</v>
      </c>
      <c r="M207" s="1" t="s">
        <v>1360</v>
      </c>
      <c r="N207" s="1" t="n">
        <v>0</v>
      </c>
      <c r="O207" s="2" t="n">
        <v>93.15</v>
      </c>
      <c r="P207" s="2" t="n">
        <v>93.15</v>
      </c>
      <c r="Q207" s="2" t="n">
        <v>93.15</v>
      </c>
      <c r="R207" s="1" t="n">
        <v>1</v>
      </c>
      <c r="S207" s="1" t="n">
        <v>0</v>
      </c>
      <c r="T207" s="1" t="s">
        <v>1360</v>
      </c>
      <c r="U207" s="1" t="n">
        <v>4</v>
      </c>
      <c r="V207" s="1" t="n">
        <v>0</v>
      </c>
    </row>
    <row r="208" customFormat="false" ht="18.7" hidden="false" customHeight="true" outlineLevel="0" collapsed="false">
      <c r="A208" s="1" t="n">
        <v>207</v>
      </c>
      <c r="B208" s="7" t="str">
        <f aca="false">HYPERLINK("https://mncourtfraud.com/file/27-CR-21-13146.pdf","27-CR-21-13146")</f>
        <v>27-CR-21-13146</v>
      </c>
      <c r="C208" s="1" t="n">
        <v>1</v>
      </c>
      <c r="D208" s="2" t="s">
        <v>12</v>
      </c>
      <c r="E208" s="8" t="n">
        <v>44692</v>
      </c>
      <c r="F208" s="2" t="s">
        <v>15</v>
      </c>
      <c r="G208" s="7" t="str">
        <f aca="false">HYPERLINK("https://mncourtfraud.com/file/MCRO_27-CR-21-13146_Order-Evaluation for Competency to Proceed (Rule 20.01)_2022-05-11_20251126183340.pdf","MCRO_27-CR-21-13146_Order-Evaluation for Competency to Proceed (Rule 20.01)_2022-05-11_20251126183340.pdf")</f>
        <v>MCRO_27-CR-21-13146_Order-Evaluation for Competency to Proceed (Rule 20.01)_2022-05-11_20251126183340.pdf</v>
      </c>
      <c r="H208" s="1" t="n">
        <v>3</v>
      </c>
      <c r="I208" s="1" t="s">
        <v>1360</v>
      </c>
      <c r="J208" s="1" t="n">
        <v>1</v>
      </c>
      <c r="K208" s="2" t="s">
        <v>1362</v>
      </c>
      <c r="L208" s="2" t="s">
        <v>1364</v>
      </c>
      <c r="M208" s="1" t="s">
        <v>1360</v>
      </c>
      <c r="N208" s="1" t="n">
        <v>0</v>
      </c>
      <c r="O208" s="2" t="n">
        <v>93.17</v>
      </c>
      <c r="P208" s="2" t="n">
        <v>93.17</v>
      </c>
      <c r="Q208" s="2" t="n">
        <v>93.17</v>
      </c>
      <c r="R208" s="1" t="n">
        <v>1</v>
      </c>
      <c r="S208" s="1" t="n">
        <v>0</v>
      </c>
      <c r="T208" s="1" t="s">
        <v>1360</v>
      </c>
      <c r="U208" s="1" t="n">
        <v>3</v>
      </c>
      <c r="V208" s="1" t="n">
        <v>0</v>
      </c>
    </row>
    <row r="209" customFormat="false" ht="18.7" hidden="false" customHeight="true" outlineLevel="0" collapsed="false">
      <c r="A209" s="1" t="n">
        <v>208</v>
      </c>
      <c r="B209" s="7" t="str">
        <f aca="false">HYPERLINK("https://mncourtfraud.com/file/27-CR-21-13146.pdf","27-CR-21-13146")</f>
        <v>27-CR-21-13146</v>
      </c>
      <c r="C209" s="1" t="n">
        <v>1</v>
      </c>
      <c r="D209" s="2" t="s">
        <v>12</v>
      </c>
      <c r="E209" s="8" t="n">
        <v>44895</v>
      </c>
      <c r="F209" s="2" t="s">
        <v>15</v>
      </c>
      <c r="G209" s="7" t="str">
        <f aca="false">HYPERLINK("https://mncourtfraud.com/file/MCRO_27-CR-21-13146_Order-Evaluation for Competency to Proceed (Rule 20.01)_2022-11-30_20251126183348.pdf","MCRO_27-CR-21-13146_Order-Evaluation for Competency to Proceed (Rule 20.01)_2022-11-30_20251126183348.pdf")</f>
        <v>MCRO_27-CR-21-13146_Order-Evaluation for Competency to Proceed (Rule 20.01)_2022-11-30_20251126183348.pdf</v>
      </c>
      <c r="H209" s="1" t="n">
        <v>4</v>
      </c>
      <c r="I209" s="1" t="s">
        <v>1360</v>
      </c>
      <c r="J209" s="1" t="n">
        <v>1</v>
      </c>
      <c r="K209" s="2" t="s">
        <v>1362</v>
      </c>
      <c r="L209" s="2" t="s">
        <v>1364</v>
      </c>
      <c r="M209" s="1" t="s">
        <v>1360</v>
      </c>
      <c r="N209" s="1" t="n">
        <v>0</v>
      </c>
      <c r="O209" s="2" t="n">
        <v>97.99</v>
      </c>
      <c r="P209" s="2" t="n">
        <v>97.99</v>
      </c>
      <c r="Q209" s="2" t="n">
        <v>97.99</v>
      </c>
      <c r="R209" s="1" t="n">
        <v>1</v>
      </c>
      <c r="S209" s="1" t="n">
        <v>0</v>
      </c>
      <c r="T209" s="1" t="s">
        <v>1360</v>
      </c>
      <c r="U209" s="1" t="n">
        <v>4</v>
      </c>
      <c r="V209" s="1" t="n">
        <v>0</v>
      </c>
    </row>
    <row r="210" customFormat="false" ht="18.7" hidden="false" customHeight="true" outlineLevel="0" collapsed="false">
      <c r="A210" s="1" t="n">
        <v>209</v>
      </c>
      <c r="B210" s="7" t="str">
        <f aca="false">HYPERLINK("https://mncourtfraud.com/file/27-CR-21-13146.pdf","27-CR-21-13146")</f>
        <v>27-CR-21-13146</v>
      </c>
      <c r="C210" s="1" t="n">
        <v>1</v>
      </c>
      <c r="D210" s="2" t="s">
        <v>12</v>
      </c>
      <c r="E210" s="8" t="n">
        <v>45160</v>
      </c>
      <c r="F210" s="2" t="s">
        <v>15</v>
      </c>
      <c r="G210" s="7" t="str">
        <f aca="false">HYPERLINK("https://mncourtfraud.com/file/MCRO_27-CR-21-13146_Order-Evaluation for Competency to Proceed (Rule 20.01)_2023-08-22_20251126183356.pdf","MCRO_27-CR-21-13146_Order-Evaluation for Competency to Proceed (Rule 20.01)_2023-08-22_20251126183356.pdf")</f>
        <v>MCRO_27-CR-21-13146_Order-Evaluation for Competency to Proceed (Rule 20.01)_2023-08-22_20251126183356.pdf</v>
      </c>
      <c r="H210" s="1" t="n">
        <v>6</v>
      </c>
      <c r="I210" s="1" t="s">
        <v>1366</v>
      </c>
      <c r="J210" s="1" t="n">
        <v>2</v>
      </c>
      <c r="K210" s="2" t="s">
        <v>2270</v>
      </c>
      <c r="L210" s="2" t="s">
        <v>2269</v>
      </c>
      <c r="M210" s="1" t="s">
        <v>1366</v>
      </c>
      <c r="N210" s="1" t="n">
        <v>1</v>
      </c>
      <c r="O210" s="2" t="n">
        <v>23.95</v>
      </c>
      <c r="P210" s="2" t="n">
        <v>98.13</v>
      </c>
      <c r="Q210" s="2" t="n">
        <v>61.04</v>
      </c>
      <c r="R210" s="1" t="n">
        <v>2</v>
      </c>
      <c r="S210" s="1" t="n">
        <v>0</v>
      </c>
      <c r="T210" s="1" t="s">
        <v>1360</v>
      </c>
      <c r="U210" s="1" t="n">
        <v>3</v>
      </c>
      <c r="V210" s="1" t="n">
        <v>3</v>
      </c>
    </row>
    <row r="211" customFormat="false" ht="18.7" hidden="false" customHeight="true" outlineLevel="0" collapsed="false">
      <c r="A211" s="1" t="n">
        <v>210</v>
      </c>
      <c r="B211" s="7" t="str">
        <f aca="false">HYPERLINK("https://mncourtfraud.com/file/27-CR-21-13146.pdf","27-CR-21-13146")</f>
        <v>27-CR-21-13146</v>
      </c>
      <c r="C211" s="1" t="n">
        <v>1</v>
      </c>
      <c r="D211" s="2" t="s">
        <v>12</v>
      </c>
      <c r="E211" s="8" t="n">
        <v>45412</v>
      </c>
      <c r="F211" s="2" t="s">
        <v>15</v>
      </c>
      <c r="G211" s="7" t="str">
        <f aca="false">HYPERLINK("https://mncourtfraud.com/file/MCRO_27-CR-21-13146_Order-Evaluation for Competency to Proceed (Rule 20.01)_2024-04-30_20251126183404.pdf","MCRO_27-CR-21-13146_Order-Evaluation for Competency to Proceed (Rule 20.01)_2024-04-30_20251126183404.pdf")</f>
        <v>MCRO_27-CR-21-13146_Order-Evaluation for Competency to Proceed (Rule 20.01)_2024-04-30_20251126183404.pdf</v>
      </c>
      <c r="H211" s="1" t="n">
        <v>4</v>
      </c>
      <c r="I211" s="1" t="s">
        <v>1360</v>
      </c>
      <c r="J211" s="1" t="n">
        <v>1</v>
      </c>
      <c r="K211" s="2" t="s">
        <v>1362</v>
      </c>
      <c r="L211" s="2" t="s">
        <v>1364</v>
      </c>
      <c r="M211" s="1" t="s">
        <v>1360</v>
      </c>
      <c r="N211" s="1" t="n">
        <v>0</v>
      </c>
      <c r="O211" s="2" t="n">
        <v>92.54</v>
      </c>
      <c r="P211" s="2" t="n">
        <v>92.54</v>
      </c>
      <c r="Q211" s="2" t="n">
        <v>92.54</v>
      </c>
      <c r="R211" s="1" t="n">
        <v>1</v>
      </c>
      <c r="S211" s="1" t="n">
        <v>0</v>
      </c>
      <c r="T211" s="1" t="s">
        <v>1360</v>
      </c>
      <c r="U211" s="1" t="n">
        <v>4</v>
      </c>
      <c r="V211" s="1" t="n">
        <v>0</v>
      </c>
    </row>
    <row r="212" customFormat="false" ht="18.7" hidden="false" customHeight="true" outlineLevel="0" collapsed="false">
      <c r="A212" s="1" t="n">
        <v>211</v>
      </c>
      <c r="B212" s="7" t="str">
        <f aca="false">HYPERLINK("https://mncourtfraud.com/file/27-CR-21-13146.pdf","27-CR-21-13146")</f>
        <v>27-CR-21-13146</v>
      </c>
      <c r="C212" s="1" t="n">
        <v>1</v>
      </c>
      <c r="D212" s="2" t="s">
        <v>12</v>
      </c>
      <c r="E212" s="8" t="n">
        <v>44460</v>
      </c>
      <c r="F212" s="2" t="s">
        <v>24</v>
      </c>
      <c r="G212" s="7" t="str">
        <f aca="false">HYPERLINK("https://mncourtfraud.com/file/MCRO_27-CR-21-13146_Order for Conditional Release_2021-09-21_20251126183258.pdf","MCRO_27-CR-21-13146_Order for Conditional Release_2021-09-21_20251126183258.pdf")</f>
        <v>MCRO_27-CR-21-13146_Order for Conditional Release_2021-09-21_20251126183258.pdf</v>
      </c>
      <c r="H212" s="1" t="n">
        <v>4</v>
      </c>
      <c r="I212" s="1" t="s">
        <v>1360</v>
      </c>
      <c r="J212" s="1" t="n">
        <v>1</v>
      </c>
      <c r="K212" s="2" t="s">
        <v>1362</v>
      </c>
      <c r="L212" s="2" t="s">
        <v>1364</v>
      </c>
      <c r="M212" s="1" t="s">
        <v>1360</v>
      </c>
      <c r="N212" s="1" t="n">
        <v>0</v>
      </c>
      <c r="O212" s="2" t="n">
        <v>84.52</v>
      </c>
      <c r="P212" s="2" t="n">
        <v>84.52</v>
      </c>
      <c r="Q212" s="2" t="n">
        <v>84.52</v>
      </c>
      <c r="R212" s="1" t="n">
        <v>1</v>
      </c>
      <c r="S212" s="1" t="n">
        <v>0</v>
      </c>
      <c r="T212" s="1" t="s">
        <v>1360</v>
      </c>
      <c r="U212" s="1" t="n">
        <v>4</v>
      </c>
      <c r="V212" s="1" t="n">
        <v>0</v>
      </c>
    </row>
    <row r="213" customFormat="false" ht="18.7" hidden="false" customHeight="true" outlineLevel="0" collapsed="false">
      <c r="A213" s="1" t="n">
        <v>212</v>
      </c>
      <c r="B213" s="7" t="str">
        <f aca="false">HYPERLINK("https://mncourtfraud.com/file/27-CR-21-13146.pdf","27-CR-21-13146")</f>
        <v>27-CR-21-13146</v>
      </c>
      <c r="C213" s="1" t="n">
        <v>1</v>
      </c>
      <c r="D213" s="2" t="s">
        <v>12</v>
      </c>
      <c r="E213" s="8" t="n">
        <v>44468</v>
      </c>
      <c r="F213" s="2" t="s">
        <v>24</v>
      </c>
      <c r="G213" s="7" t="str">
        <f aca="false">HYPERLINK("https://mncourtfraud.com/file/MCRO_27-CR-21-13146_Order for Conditional Release_2021-09-29_20251126183304.pdf","MCRO_27-CR-21-13146_Order for Conditional Release_2021-09-29_20251126183304.pdf")</f>
        <v>MCRO_27-CR-21-13146_Order for Conditional Release_2021-09-29_20251126183304.pdf</v>
      </c>
      <c r="H213" s="1" t="n">
        <v>4</v>
      </c>
      <c r="I213" s="1" t="s">
        <v>1360</v>
      </c>
      <c r="J213" s="1" t="n">
        <v>1</v>
      </c>
      <c r="K213" s="2" t="s">
        <v>1362</v>
      </c>
      <c r="L213" s="2" t="s">
        <v>1364</v>
      </c>
      <c r="M213" s="1" t="s">
        <v>1360</v>
      </c>
      <c r="N213" s="1" t="n">
        <v>0</v>
      </c>
      <c r="O213" s="2" t="n">
        <v>89.21</v>
      </c>
      <c r="P213" s="2" t="n">
        <v>89.21</v>
      </c>
      <c r="Q213" s="2" t="n">
        <v>89.21</v>
      </c>
      <c r="R213" s="1" t="n">
        <v>1</v>
      </c>
      <c r="S213" s="1" t="n">
        <v>0</v>
      </c>
      <c r="T213" s="1" t="s">
        <v>1360</v>
      </c>
      <c r="U213" s="1" t="n">
        <v>4</v>
      </c>
      <c r="V213" s="1" t="n">
        <v>0</v>
      </c>
    </row>
    <row r="214" customFormat="false" ht="18.7" hidden="false" customHeight="true" outlineLevel="0" collapsed="false">
      <c r="A214" s="1" t="n">
        <v>213</v>
      </c>
      <c r="B214" s="7" t="str">
        <f aca="false">HYPERLINK("https://mncourtfraud.com/file/27-CR-21-13146.pdf","27-CR-21-13146")</f>
        <v>27-CR-21-13146</v>
      </c>
      <c r="C214" s="1" t="n">
        <v>1</v>
      </c>
      <c r="D214" s="2" t="s">
        <v>12</v>
      </c>
      <c r="E214" s="8" t="n">
        <v>45412</v>
      </c>
      <c r="F214" s="2" t="s">
        <v>24</v>
      </c>
      <c r="G214" s="7" t="str">
        <f aca="false">HYPERLINK("https://mncourtfraud.com/file/MCRO_27-CR-21-13146_Order for Conditional Release_2024-04-30_20251126183251.pdf","MCRO_27-CR-21-13146_Order for Conditional Release_2024-04-30_20251126183251.pdf")</f>
        <v>MCRO_27-CR-21-13146_Order for Conditional Release_2024-04-30_20251126183251.pdf</v>
      </c>
      <c r="H214" s="1" t="n">
        <v>4</v>
      </c>
      <c r="I214" s="1" t="s">
        <v>1360</v>
      </c>
      <c r="J214" s="1" t="n">
        <v>1</v>
      </c>
      <c r="K214" s="2" t="s">
        <v>1362</v>
      </c>
      <c r="L214" s="2" t="s">
        <v>1364</v>
      </c>
      <c r="M214" s="1" t="s">
        <v>1360</v>
      </c>
      <c r="N214" s="1" t="n">
        <v>0</v>
      </c>
      <c r="O214" s="2" t="n">
        <v>89.11</v>
      </c>
      <c r="P214" s="2" t="n">
        <v>89.11</v>
      </c>
      <c r="Q214" s="2" t="n">
        <v>89.11</v>
      </c>
      <c r="R214" s="1" t="n">
        <v>1</v>
      </c>
      <c r="S214" s="1" t="n">
        <v>0</v>
      </c>
      <c r="T214" s="1" t="s">
        <v>1360</v>
      </c>
      <c r="U214" s="1" t="n">
        <v>4</v>
      </c>
      <c r="V214" s="1" t="n">
        <v>0</v>
      </c>
    </row>
    <row r="215" customFormat="false" ht="18.7" hidden="false" customHeight="true" outlineLevel="0" collapsed="false">
      <c r="A215" s="1" t="n">
        <v>214</v>
      </c>
      <c r="B215" s="7" t="str">
        <f aca="false">HYPERLINK("https://mncourtfraud.com/file/27-CR-21-13146.pdf","27-CR-21-13146")</f>
        <v>27-CR-21-13146</v>
      </c>
      <c r="C215" s="1" t="n">
        <v>1</v>
      </c>
      <c r="D215" s="2" t="s">
        <v>12</v>
      </c>
      <c r="E215" s="8" t="n">
        <v>44999</v>
      </c>
      <c r="F215" s="2" t="s">
        <v>17</v>
      </c>
      <c r="G215" s="7" t="str">
        <f aca="false">HYPERLINK("https://mncourtfraud.com/file/MCRO_27-CR-21-13146_Returned Mail_2023-03-14_20251126183418.pdf","MCRO_27-CR-21-13146_Returned Mail_2023-03-14_20251126183418.pdf")</f>
        <v>MCRO_27-CR-21-13146_Returned Mail_2023-03-14_20251126183418.pdf</v>
      </c>
      <c r="H215" s="1" t="n">
        <v>4</v>
      </c>
      <c r="I215" s="1" t="s">
        <v>1360</v>
      </c>
      <c r="J215" s="1" t="n">
        <v>1</v>
      </c>
      <c r="K215" s="2" t="s">
        <v>1362</v>
      </c>
      <c r="L215" s="2" t="s">
        <v>1364</v>
      </c>
      <c r="M215" s="1" t="s">
        <v>1360</v>
      </c>
      <c r="N215" s="1" t="n">
        <v>0</v>
      </c>
      <c r="O215" s="2" t="n">
        <v>93.7</v>
      </c>
      <c r="P215" s="2" t="n">
        <v>93.7</v>
      </c>
      <c r="Q215" s="2" t="n">
        <v>93.7</v>
      </c>
      <c r="R215" s="1" t="n">
        <v>1</v>
      </c>
      <c r="S215" s="1" t="n">
        <v>0</v>
      </c>
      <c r="T215" s="1" t="s">
        <v>1360</v>
      </c>
      <c r="U215" s="1" t="n">
        <v>4</v>
      </c>
      <c r="V215" s="1" t="n">
        <v>0</v>
      </c>
    </row>
    <row r="216" customFormat="false" ht="18.7" hidden="false" customHeight="true" outlineLevel="0" collapsed="false">
      <c r="A216" s="1" t="n">
        <v>215</v>
      </c>
      <c r="B216" s="7" t="str">
        <f aca="false">HYPERLINK("https://mncourtfraud.com/file/27-CR-21-13147.pdf","27-CR-21-13147")</f>
        <v>27-CR-21-13147</v>
      </c>
      <c r="C216" s="1" t="n">
        <v>1</v>
      </c>
      <c r="D216" s="2" t="s">
        <v>12</v>
      </c>
      <c r="E216" s="8" t="n">
        <v>44405</v>
      </c>
      <c r="F216" s="2" t="s">
        <v>145</v>
      </c>
      <c r="G216" s="7" t="str">
        <f aca="false">HYPERLINK("https://mncourtfraud.com/file/MCRO_27-CR-21-13147_Demand or Request for Discovery_2021-07-28_20251126183447.pdf","MCRO_27-CR-21-13147_Demand or Request for Discovery_2021-07-28_20251126183447.pdf")</f>
        <v>MCRO_27-CR-21-13147_Demand or Request for Discovery_2021-07-28_20251126183447.pdf</v>
      </c>
      <c r="H216" s="1" t="n">
        <v>3</v>
      </c>
      <c r="I216" s="1" t="s">
        <v>1360</v>
      </c>
      <c r="J216" s="1" t="n">
        <v>1</v>
      </c>
      <c r="K216" s="2" t="s">
        <v>1362</v>
      </c>
      <c r="L216" s="2" t="s">
        <v>1364</v>
      </c>
      <c r="M216" s="1" t="s">
        <v>1360</v>
      </c>
      <c r="N216" s="1" t="n">
        <v>0</v>
      </c>
      <c r="O216" s="2" t="n">
        <v>94.81</v>
      </c>
      <c r="P216" s="2" t="n">
        <v>94.81</v>
      </c>
      <c r="Q216" s="2" t="n">
        <v>94.81</v>
      </c>
      <c r="R216" s="1" t="n">
        <v>1</v>
      </c>
      <c r="S216" s="1" t="n">
        <v>0</v>
      </c>
      <c r="T216" s="1" t="s">
        <v>1360</v>
      </c>
      <c r="U216" s="1" t="n">
        <v>3</v>
      </c>
      <c r="V216" s="1" t="n">
        <v>0</v>
      </c>
    </row>
    <row r="217" customFormat="false" ht="18.7" hidden="false" customHeight="true" outlineLevel="0" collapsed="false">
      <c r="A217" s="1" t="n">
        <v>216</v>
      </c>
      <c r="B217" s="7" t="str">
        <f aca="false">HYPERLINK("https://mncourtfraud.com/file/27-CR-21-13147.pdf","27-CR-21-13147")</f>
        <v>27-CR-21-13147</v>
      </c>
      <c r="C217" s="1" t="n">
        <v>1</v>
      </c>
      <c r="D217" s="2" t="s">
        <v>12</v>
      </c>
      <c r="E217" s="8" t="n">
        <v>45048</v>
      </c>
      <c r="F217" s="2" t="s">
        <v>80</v>
      </c>
      <c r="G217" s="7" t="str">
        <f aca="false">HYPERLINK("https://mncourtfraud.com/file/MCRO_27-CR-21-13147_Finding of Incompetency and Order_2023-05-02_20251126183457.pdf","MCRO_27-CR-21-13147_Finding of Incompetency and Order_2023-05-02_20251126183457.pdf")</f>
        <v>MCRO_27-CR-21-13147_Finding of Incompetency and Order_2023-05-02_20251126183457.pdf</v>
      </c>
      <c r="H217" s="1" t="n">
        <v>9</v>
      </c>
      <c r="I217" s="1" t="s">
        <v>1366</v>
      </c>
      <c r="J217" s="1" t="n">
        <v>3</v>
      </c>
      <c r="K217" s="2" t="s">
        <v>2268</v>
      </c>
      <c r="L217" s="2" t="s">
        <v>2269</v>
      </c>
      <c r="M217" s="1" t="s">
        <v>1366</v>
      </c>
      <c r="N217" s="1" t="n">
        <v>2</v>
      </c>
      <c r="O217" s="2" t="n">
        <v>15.21</v>
      </c>
      <c r="P217" s="2" t="n">
        <v>98.32</v>
      </c>
      <c r="Q217" s="2" t="n">
        <v>45.35</v>
      </c>
      <c r="R217" s="1" t="n">
        <v>3</v>
      </c>
      <c r="S217" s="1" t="n">
        <v>0</v>
      </c>
      <c r="T217" s="1" t="s">
        <v>1360</v>
      </c>
      <c r="U217" s="1" t="n">
        <v>5</v>
      </c>
      <c r="V217" s="1" t="n">
        <v>3</v>
      </c>
    </row>
    <row r="218" customFormat="false" ht="18.7" hidden="false" customHeight="true" outlineLevel="0" collapsed="false">
      <c r="A218" s="1" t="n">
        <v>217</v>
      </c>
      <c r="B218" s="7" t="str">
        <f aca="false">HYPERLINK("https://mncourtfraud.com/file/27-CR-21-13147.pdf","27-CR-21-13147")</f>
        <v>27-CR-21-13147</v>
      </c>
      <c r="C218" s="1" t="n">
        <v>1</v>
      </c>
      <c r="D218" s="2" t="s">
        <v>12</v>
      </c>
      <c r="E218" s="8" t="n">
        <v>44439</v>
      </c>
      <c r="F218" s="2" t="s">
        <v>19</v>
      </c>
      <c r="G218" s="7" t="str">
        <f aca="false">HYPERLINK("https://mncourtfraud.com/file/MCRO_27-CR-21-13147_Findings and Order_2021-08-31_20251126183518.pdf","MCRO_27-CR-21-13147_Findings and Order_2021-08-31_20251126183518.pdf")</f>
        <v>MCRO_27-CR-21-13147_Findings and Order_2021-08-31_20251126183518.pdf</v>
      </c>
      <c r="H218" s="1" t="n">
        <v>5</v>
      </c>
      <c r="I218" s="1" t="s">
        <v>1366</v>
      </c>
      <c r="J218" s="1" t="n">
        <v>2</v>
      </c>
      <c r="K218" s="2" t="s">
        <v>2267</v>
      </c>
      <c r="L218" s="2" t="s">
        <v>1364</v>
      </c>
      <c r="M218" s="1" t="s">
        <v>1366</v>
      </c>
      <c r="N218" s="1" t="n">
        <v>1</v>
      </c>
      <c r="O218" s="2" t="n">
        <v>39.94</v>
      </c>
      <c r="P218" s="2" t="n">
        <v>95.64</v>
      </c>
      <c r="Q218" s="2" t="n">
        <v>67.79</v>
      </c>
      <c r="R218" s="1" t="n">
        <v>2</v>
      </c>
      <c r="S218" s="1" t="n">
        <v>0</v>
      </c>
      <c r="T218" s="1" t="s">
        <v>1360</v>
      </c>
      <c r="U218" s="1" t="n">
        <v>2</v>
      </c>
      <c r="V218" s="1" t="n">
        <v>0</v>
      </c>
    </row>
    <row r="219" customFormat="false" ht="18.7" hidden="false" customHeight="true" outlineLevel="0" collapsed="false">
      <c r="A219" s="1" t="n">
        <v>218</v>
      </c>
      <c r="B219" s="7" t="str">
        <f aca="false">HYPERLINK("https://mncourtfraud.com/file/27-CR-21-13147.pdf","27-CR-21-13147")</f>
        <v>27-CR-21-13147</v>
      </c>
      <c r="C219" s="1" t="n">
        <v>1</v>
      </c>
      <c r="D219" s="2" t="s">
        <v>12</v>
      </c>
      <c r="E219" s="8" t="n">
        <v>44593</v>
      </c>
      <c r="F219" s="2" t="s">
        <v>19</v>
      </c>
      <c r="G219" s="7" t="str">
        <f aca="false">HYPERLINK("https://mncourtfraud.com/file/MCRO_27-CR-21-13147_Findings and Order_2022-02-01_20251126183510.pdf","MCRO_27-CR-21-13147_Findings and Order_2022-02-01_20251126183510.pdf")</f>
        <v>MCRO_27-CR-21-13147_Findings and Order_2022-02-01_20251126183510.pdf</v>
      </c>
      <c r="H219" s="1" t="n">
        <v>4</v>
      </c>
      <c r="I219" s="1" t="s">
        <v>1360</v>
      </c>
      <c r="J219" s="1" t="n">
        <v>2</v>
      </c>
      <c r="K219" s="2" t="s">
        <v>2267</v>
      </c>
      <c r="L219" s="2" t="s">
        <v>1364</v>
      </c>
      <c r="M219" s="1" t="s">
        <v>1366</v>
      </c>
      <c r="N219" s="1" t="n">
        <v>1</v>
      </c>
      <c r="O219" s="2" t="n">
        <v>47.77</v>
      </c>
      <c r="P219" s="2" t="n">
        <v>95.47</v>
      </c>
      <c r="Q219" s="2" t="n">
        <v>71.62</v>
      </c>
      <c r="R219" s="1" t="n">
        <v>2</v>
      </c>
      <c r="S219" s="1" t="n">
        <v>0</v>
      </c>
      <c r="T219" s="1" t="s">
        <v>1360</v>
      </c>
      <c r="U219" s="1" t="n">
        <v>2</v>
      </c>
      <c r="V219" s="1" t="n">
        <v>0</v>
      </c>
    </row>
    <row r="220" customFormat="false" ht="18.7" hidden="false" customHeight="true" outlineLevel="0" collapsed="false">
      <c r="A220" s="1" t="n">
        <v>219</v>
      </c>
      <c r="B220" s="7" t="str">
        <f aca="false">HYPERLINK("https://mncourtfraud.com/file/27-CR-21-13147.pdf","27-CR-21-13147")</f>
        <v>27-CR-21-13147</v>
      </c>
      <c r="C220" s="1" t="n">
        <v>1</v>
      </c>
      <c r="D220" s="2" t="s">
        <v>12</v>
      </c>
      <c r="E220" s="8" t="n">
        <v>45093</v>
      </c>
      <c r="F220" s="2" t="s">
        <v>82</v>
      </c>
      <c r="G220" s="7" t="str">
        <f aca="false">HYPERLINK("https://mncourtfraud.com/file/MCRO_27-CR-21-13147_Notice of Case Reassignment_2023-06-16_20251126183529.pdf","MCRO_27-CR-21-13147_Notice of Case Reassignment_2023-06-16_20251126183529.pdf")</f>
        <v>MCRO_27-CR-21-13147_Notice of Case Reassignment_2023-06-16_20251126183529.pdf</v>
      </c>
      <c r="H220" s="1" t="n">
        <v>3</v>
      </c>
      <c r="I220" s="1" t="s">
        <v>1360</v>
      </c>
      <c r="J220" s="1" t="n">
        <v>1</v>
      </c>
      <c r="K220" s="2" t="s">
        <v>1362</v>
      </c>
      <c r="L220" s="2" t="s">
        <v>1364</v>
      </c>
      <c r="M220" s="1" t="s">
        <v>1360</v>
      </c>
      <c r="N220" s="1" t="n">
        <v>0</v>
      </c>
      <c r="O220" s="2" t="n">
        <v>85.58</v>
      </c>
      <c r="P220" s="2" t="n">
        <v>85.58</v>
      </c>
      <c r="Q220" s="2" t="n">
        <v>85.58</v>
      </c>
      <c r="R220" s="1" t="n">
        <v>1</v>
      </c>
      <c r="S220" s="1" t="n">
        <v>0</v>
      </c>
      <c r="T220" s="1" t="s">
        <v>1360</v>
      </c>
      <c r="U220" s="1" t="n">
        <v>3</v>
      </c>
      <c r="V220" s="1" t="n">
        <v>0</v>
      </c>
    </row>
    <row r="221" customFormat="false" ht="18.7" hidden="false" customHeight="true" outlineLevel="0" collapsed="false">
      <c r="A221" s="1" t="n">
        <v>220</v>
      </c>
      <c r="B221" s="7" t="str">
        <f aca="false">HYPERLINK("https://mncourtfraud.com/file/27-CR-21-13147.pdf","27-CR-21-13147")</f>
        <v>27-CR-21-13147</v>
      </c>
      <c r="C221" s="1" t="n">
        <v>1</v>
      </c>
      <c r="D221" s="2" t="s">
        <v>12</v>
      </c>
      <c r="E221" s="8" t="n">
        <v>44396</v>
      </c>
      <c r="F221" s="2" t="s">
        <v>15</v>
      </c>
      <c r="G221" s="7" t="str">
        <f aca="false">HYPERLINK("https://mncourtfraud.com/file/MCRO_27-CR-21-13147_Order-Evaluation for Competency to Proceed (Rule 20.01)_2021-07-19_20251126183607.pdf","MCRO_27-CR-21-13147_Order-Evaluation for Competency to Proceed (Rule 20.01)_2021-07-19_20251126183607.pdf")</f>
        <v>MCRO_27-CR-21-13147_Order-Evaluation for Competency to Proceed (Rule 20.01)_2021-07-19_20251126183607.pdf</v>
      </c>
      <c r="H221" s="1" t="n">
        <v>4</v>
      </c>
      <c r="I221" s="1" t="s">
        <v>1360</v>
      </c>
      <c r="J221" s="1" t="n">
        <v>1</v>
      </c>
      <c r="K221" s="2" t="s">
        <v>1362</v>
      </c>
      <c r="L221" s="2" t="s">
        <v>1364</v>
      </c>
      <c r="M221" s="1" t="s">
        <v>1360</v>
      </c>
      <c r="N221" s="1" t="n">
        <v>0</v>
      </c>
      <c r="O221" s="2" t="n">
        <v>91.68</v>
      </c>
      <c r="P221" s="2" t="n">
        <v>91.68</v>
      </c>
      <c r="Q221" s="2" t="n">
        <v>91.68</v>
      </c>
      <c r="R221" s="1" t="n">
        <v>1</v>
      </c>
      <c r="S221" s="1" t="n">
        <v>0</v>
      </c>
      <c r="T221" s="1" t="s">
        <v>1360</v>
      </c>
      <c r="U221" s="1" t="n">
        <v>4</v>
      </c>
      <c r="V221" s="1" t="n">
        <v>0</v>
      </c>
    </row>
    <row r="222" customFormat="false" ht="18.7" hidden="false" customHeight="true" outlineLevel="0" collapsed="false">
      <c r="A222" s="1" t="n">
        <v>221</v>
      </c>
      <c r="B222" s="7" t="str">
        <f aca="false">HYPERLINK("https://mncourtfraud.com/file/27-CR-21-13147.pdf","27-CR-21-13147")</f>
        <v>27-CR-21-13147</v>
      </c>
      <c r="C222" s="1" t="n">
        <v>1</v>
      </c>
      <c r="D222" s="2" t="s">
        <v>12</v>
      </c>
      <c r="E222" s="8" t="n">
        <v>44543</v>
      </c>
      <c r="F222" s="2" t="s">
        <v>15</v>
      </c>
      <c r="G222" s="7" t="str">
        <f aca="false">HYPERLINK("https://mncourtfraud.com/file/MCRO_27-CR-21-13147_Order-Evaluation for Competency to Proceed (Rule 20.01)_2021-12-13_20251126183615.pdf","MCRO_27-CR-21-13147_Order-Evaluation for Competency to Proceed (Rule 20.01)_2021-12-13_20251126183615.pdf")</f>
        <v>MCRO_27-CR-21-13147_Order-Evaluation for Competency to Proceed (Rule 20.01)_2021-12-13_20251126183615.pdf</v>
      </c>
      <c r="H222" s="1" t="n">
        <v>3</v>
      </c>
      <c r="I222" s="1" t="s">
        <v>1360</v>
      </c>
      <c r="J222" s="1" t="n">
        <v>1</v>
      </c>
      <c r="K222" s="2" t="s">
        <v>1362</v>
      </c>
      <c r="L222" s="2" t="s">
        <v>1364</v>
      </c>
      <c r="M222" s="1" t="s">
        <v>1360</v>
      </c>
      <c r="N222" s="1" t="n">
        <v>0</v>
      </c>
      <c r="O222" s="2" t="n">
        <v>92.99</v>
      </c>
      <c r="P222" s="2" t="n">
        <v>92.99</v>
      </c>
      <c r="Q222" s="2" t="n">
        <v>92.99</v>
      </c>
      <c r="R222" s="1" t="n">
        <v>1</v>
      </c>
      <c r="S222" s="1" t="n">
        <v>0</v>
      </c>
      <c r="T222" s="1" t="s">
        <v>1360</v>
      </c>
      <c r="U222" s="1" t="n">
        <v>3</v>
      </c>
      <c r="V222" s="1" t="n">
        <v>0</v>
      </c>
    </row>
    <row r="223" customFormat="false" ht="18.7" hidden="false" customHeight="true" outlineLevel="0" collapsed="false">
      <c r="A223" s="1" t="n">
        <v>222</v>
      </c>
      <c r="B223" s="7" t="str">
        <f aca="false">HYPERLINK("https://mncourtfraud.com/file/27-CR-21-13147.pdf","27-CR-21-13147")</f>
        <v>27-CR-21-13147</v>
      </c>
      <c r="C223" s="1" t="n">
        <v>1</v>
      </c>
      <c r="D223" s="2" t="s">
        <v>12</v>
      </c>
      <c r="E223" s="8" t="n">
        <v>44558</v>
      </c>
      <c r="F223" s="2" t="s">
        <v>15</v>
      </c>
      <c r="G223" s="7" t="str">
        <f aca="false">HYPERLINK("https://mncourtfraud.com/file/MCRO_27-CR-21-13147_Order-Evaluation for Competency to Proceed (Rule 20.01)_2021-12-28_20251126183624.pdf","MCRO_27-CR-21-13147_Order-Evaluation for Competency to Proceed (Rule 20.01)_2021-12-28_20251126183624.pdf")</f>
        <v>MCRO_27-CR-21-13147_Order-Evaluation for Competency to Proceed (Rule 20.01)_2021-12-28_20251126183624.pdf</v>
      </c>
      <c r="H223" s="1" t="n">
        <v>4</v>
      </c>
      <c r="I223" s="1" t="s">
        <v>1360</v>
      </c>
      <c r="J223" s="1" t="n">
        <v>1</v>
      </c>
      <c r="K223" s="2" t="s">
        <v>1362</v>
      </c>
      <c r="L223" s="2" t="s">
        <v>1364</v>
      </c>
      <c r="M223" s="1" t="s">
        <v>1360</v>
      </c>
      <c r="N223" s="1" t="n">
        <v>0</v>
      </c>
      <c r="O223" s="2" t="n">
        <v>93.15</v>
      </c>
      <c r="P223" s="2" t="n">
        <v>93.15</v>
      </c>
      <c r="Q223" s="2" t="n">
        <v>93.15</v>
      </c>
      <c r="R223" s="1" t="n">
        <v>1</v>
      </c>
      <c r="S223" s="1" t="n">
        <v>0</v>
      </c>
      <c r="T223" s="1" t="s">
        <v>1360</v>
      </c>
      <c r="U223" s="1" t="n">
        <v>4</v>
      </c>
      <c r="V223" s="1" t="n">
        <v>0</v>
      </c>
    </row>
    <row r="224" customFormat="false" ht="18.7" hidden="false" customHeight="true" outlineLevel="0" collapsed="false">
      <c r="A224" s="1" t="n">
        <v>223</v>
      </c>
      <c r="B224" s="7" t="str">
        <f aca="false">HYPERLINK("https://mncourtfraud.com/file/27-CR-21-13147.pdf","27-CR-21-13147")</f>
        <v>27-CR-21-13147</v>
      </c>
      <c r="C224" s="1" t="n">
        <v>1</v>
      </c>
      <c r="D224" s="2" t="s">
        <v>12</v>
      </c>
      <c r="E224" s="8" t="n">
        <v>44692</v>
      </c>
      <c r="F224" s="2" t="s">
        <v>15</v>
      </c>
      <c r="G224" s="7" t="str">
        <f aca="false">HYPERLINK("https://mncourtfraud.com/file/MCRO_27-CR-21-13147_Order-Evaluation for Competency to Proceed (Rule 20.01)_2022-05-11_20251126183632.pdf","MCRO_27-CR-21-13147_Order-Evaluation for Competency to Proceed (Rule 20.01)_2022-05-11_20251126183632.pdf")</f>
        <v>MCRO_27-CR-21-13147_Order-Evaluation for Competency to Proceed (Rule 20.01)_2022-05-11_20251126183632.pdf</v>
      </c>
      <c r="H224" s="1" t="n">
        <v>3</v>
      </c>
      <c r="I224" s="1" t="s">
        <v>1360</v>
      </c>
      <c r="J224" s="1" t="n">
        <v>1</v>
      </c>
      <c r="K224" s="2" t="s">
        <v>1362</v>
      </c>
      <c r="L224" s="2" t="s">
        <v>1364</v>
      </c>
      <c r="M224" s="1" t="s">
        <v>1360</v>
      </c>
      <c r="N224" s="1" t="n">
        <v>0</v>
      </c>
      <c r="O224" s="2" t="n">
        <v>93.17</v>
      </c>
      <c r="P224" s="2" t="n">
        <v>93.17</v>
      </c>
      <c r="Q224" s="2" t="n">
        <v>93.17</v>
      </c>
      <c r="R224" s="1" t="n">
        <v>1</v>
      </c>
      <c r="S224" s="1" t="n">
        <v>0</v>
      </c>
      <c r="T224" s="1" t="s">
        <v>1360</v>
      </c>
      <c r="U224" s="1" t="n">
        <v>3</v>
      </c>
      <c r="V224" s="1" t="n">
        <v>0</v>
      </c>
    </row>
    <row r="225" customFormat="false" ht="18.7" hidden="false" customHeight="true" outlineLevel="0" collapsed="false">
      <c r="A225" s="1" t="n">
        <v>224</v>
      </c>
      <c r="B225" s="7" t="str">
        <f aca="false">HYPERLINK("https://mncourtfraud.com/file/27-CR-21-13147.pdf","27-CR-21-13147")</f>
        <v>27-CR-21-13147</v>
      </c>
      <c r="C225" s="1" t="n">
        <v>1</v>
      </c>
      <c r="D225" s="2" t="s">
        <v>12</v>
      </c>
      <c r="E225" s="8" t="n">
        <v>44895</v>
      </c>
      <c r="F225" s="2" t="s">
        <v>15</v>
      </c>
      <c r="G225" s="7" t="str">
        <f aca="false">HYPERLINK("https://mncourtfraud.com/file/MCRO_27-CR-21-13147_Order-Evaluation for Competency to Proceed (Rule 20.01)_2022-11-30_20251126183640.pdf","MCRO_27-CR-21-13147_Order-Evaluation for Competency to Proceed (Rule 20.01)_2022-11-30_20251126183640.pdf")</f>
        <v>MCRO_27-CR-21-13147_Order-Evaluation for Competency to Proceed (Rule 20.01)_2022-11-30_20251126183640.pdf</v>
      </c>
      <c r="H225" s="1" t="n">
        <v>4</v>
      </c>
      <c r="I225" s="1" t="s">
        <v>1360</v>
      </c>
      <c r="J225" s="1" t="n">
        <v>1</v>
      </c>
      <c r="K225" s="2" t="s">
        <v>1362</v>
      </c>
      <c r="L225" s="2" t="s">
        <v>1364</v>
      </c>
      <c r="M225" s="1" t="s">
        <v>1360</v>
      </c>
      <c r="N225" s="1" t="n">
        <v>0</v>
      </c>
      <c r="O225" s="2" t="n">
        <v>97.99</v>
      </c>
      <c r="P225" s="2" t="n">
        <v>97.99</v>
      </c>
      <c r="Q225" s="2" t="n">
        <v>97.99</v>
      </c>
      <c r="R225" s="1" t="n">
        <v>1</v>
      </c>
      <c r="S225" s="1" t="n">
        <v>0</v>
      </c>
      <c r="T225" s="1" t="s">
        <v>1360</v>
      </c>
      <c r="U225" s="1" t="n">
        <v>4</v>
      </c>
      <c r="V225" s="1" t="n">
        <v>0</v>
      </c>
    </row>
    <row r="226" customFormat="false" ht="18.7" hidden="false" customHeight="true" outlineLevel="0" collapsed="false">
      <c r="A226" s="1" t="n">
        <v>225</v>
      </c>
      <c r="B226" s="7" t="str">
        <f aca="false">HYPERLINK("https://mncourtfraud.com/file/27-CR-21-13147.pdf","27-CR-21-13147")</f>
        <v>27-CR-21-13147</v>
      </c>
      <c r="C226" s="1" t="n">
        <v>1</v>
      </c>
      <c r="D226" s="2" t="s">
        <v>12</v>
      </c>
      <c r="E226" s="8" t="n">
        <v>45160</v>
      </c>
      <c r="F226" s="2" t="s">
        <v>15</v>
      </c>
      <c r="G226" s="7" t="str">
        <f aca="false">HYPERLINK("https://mncourtfraud.com/file/MCRO_27-CR-21-13147_Order-Evaluation for Competency to Proceed (Rule 20.01)_2023-08-22_20251126183648.pdf","MCRO_27-CR-21-13147_Order-Evaluation for Competency to Proceed (Rule 20.01)_2023-08-22_20251126183648.pdf")</f>
        <v>MCRO_27-CR-21-13147_Order-Evaluation for Competency to Proceed (Rule 20.01)_2023-08-22_20251126183648.pdf</v>
      </c>
      <c r="H226" s="1" t="n">
        <v>6</v>
      </c>
      <c r="I226" s="1" t="s">
        <v>1366</v>
      </c>
      <c r="J226" s="1" t="n">
        <v>2</v>
      </c>
      <c r="K226" s="2" t="s">
        <v>2270</v>
      </c>
      <c r="L226" s="2" t="s">
        <v>2269</v>
      </c>
      <c r="M226" s="1" t="s">
        <v>1366</v>
      </c>
      <c r="N226" s="1" t="n">
        <v>1</v>
      </c>
      <c r="O226" s="2" t="n">
        <v>23.95</v>
      </c>
      <c r="P226" s="2" t="n">
        <v>98.13</v>
      </c>
      <c r="Q226" s="2" t="n">
        <v>61.04</v>
      </c>
      <c r="R226" s="1" t="n">
        <v>2</v>
      </c>
      <c r="S226" s="1" t="n">
        <v>0</v>
      </c>
      <c r="T226" s="1" t="s">
        <v>1360</v>
      </c>
      <c r="U226" s="1" t="n">
        <v>3</v>
      </c>
      <c r="V226" s="1" t="n">
        <v>3</v>
      </c>
    </row>
    <row r="227" customFormat="false" ht="18.7" hidden="false" customHeight="true" outlineLevel="0" collapsed="false">
      <c r="A227" s="1" t="n">
        <v>226</v>
      </c>
      <c r="B227" s="7" t="str">
        <f aca="false">HYPERLINK("https://mncourtfraud.com/file/27-CR-21-13147.pdf","27-CR-21-13147")</f>
        <v>27-CR-21-13147</v>
      </c>
      <c r="C227" s="1" t="n">
        <v>1</v>
      </c>
      <c r="D227" s="2" t="s">
        <v>12</v>
      </c>
      <c r="E227" s="8" t="n">
        <v>45412</v>
      </c>
      <c r="F227" s="2" t="s">
        <v>15</v>
      </c>
      <c r="G227" s="7" t="str">
        <f aca="false">HYPERLINK("https://mncourtfraud.com/file/MCRO_27-CR-21-13147_Order-Evaluation for Competency to Proceed (Rule 20.01)_2024-04-30_20251126183656.pdf","MCRO_27-CR-21-13147_Order-Evaluation for Competency to Proceed (Rule 20.01)_2024-04-30_20251126183656.pdf")</f>
        <v>MCRO_27-CR-21-13147_Order-Evaluation for Competency to Proceed (Rule 20.01)_2024-04-30_20251126183656.pdf</v>
      </c>
      <c r="H227" s="1" t="n">
        <v>4</v>
      </c>
      <c r="I227" s="1" t="s">
        <v>1360</v>
      </c>
      <c r="J227" s="1" t="n">
        <v>1</v>
      </c>
      <c r="K227" s="2" t="s">
        <v>1362</v>
      </c>
      <c r="L227" s="2" t="s">
        <v>1364</v>
      </c>
      <c r="M227" s="1" t="s">
        <v>1360</v>
      </c>
      <c r="N227" s="1" t="n">
        <v>0</v>
      </c>
      <c r="O227" s="2" t="n">
        <v>92.54</v>
      </c>
      <c r="P227" s="2" t="n">
        <v>92.54</v>
      </c>
      <c r="Q227" s="2" t="n">
        <v>92.54</v>
      </c>
      <c r="R227" s="1" t="n">
        <v>1</v>
      </c>
      <c r="S227" s="1" t="n">
        <v>0</v>
      </c>
      <c r="T227" s="1" t="s">
        <v>1360</v>
      </c>
      <c r="U227" s="1" t="n">
        <v>4</v>
      </c>
      <c r="V227" s="1" t="n">
        <v>0</v>
      </c>
    </row>
    <row r="228" customFormat="false" ht="18.7" hidden="false" customHeight="true" outlineLevel="0" collapsed="false">
      <c r="A228" s="1" t="n">
        <v>227</v>
      </c>
      <c r="B228" s="7" t="str">
        <f aca="false">HYPERLINK("https://mncourtfraud.com/file/27-CR-21-13147.pdf","27-CR-21-13147")</f>
        <v>27-CR-21-13147</v>
      </c>
      <c r="C228" s="1" t="n">
        <v>1</v>
      </c>
      <c r="D228" s="2" t="s">
        <v>12</v>
      </c>
      <c r="E228" s="8" t="n">
        <v>44460</v>
      </c>
      <c r="F228" s="2" t="s">
        <v>24</v>
      </c>
      <c r="G228" s="7" t="str">
        <f aca="false">HYPERLINK("https://mncourtfraud.com/file/MCRO_27-CR-21-13147_Order for Conditional Release_2021-09-21_20251126183551.pdf","MCRO_27-CR-21-13147_Order for Conditional Release_2021-09-21_20251126183551.pdf")</f>
        <v>MCRO_27-CR-21-13147_Order for Conditional Release_2021-09-21_20251126183551.pdf</v>
      </c>
      <c r="H228" s="1" t="n">
        <v>4</v>
      </c>
      <c r="I228" s="1" t="s">
        <v>1360</v>
      </c>
      <c r="J228" s="1" t="n">
        <v>1</v>
      </c>
      <c r="K228" s="2" t="s">
        <v>1362</v>
      </c>
      <c r="L228" s="2" t="s">
        <v>1364</v>
      </c>
      <c r="M228" s="1" t="s">
        <v>1360</v>
      </c>
      <c r="N228" s="1" t="n">
        <v>0</v>
      </c>
      <c r="O228" s="2" t="n">
        <v>84.52</v>
      </c>
      <c r="P228" s="2" t="n">
        <v>84.52</v>
      </c>
      <c r="Q228" s="2" t="n">
        <v>84.52</v>
      </c>
      <c r="R228" s="1" t="n">
        <v>1</v>
      </c>
      <c r="S228" s="1" t="n">
        <v>0</v>
      </c>
      <c r="T228" s="1" t="s">
        <v>1360</v>
      </c>
      <c r="U228" s="1" t="n">
        <v>4</v>
      </c>
      <c r="V228" s="1" t="n">
        <v>0</v>
      </c>
    </row>
    <row r="229" customFormat="false" ht="18.7" hidden="false" customHeight="true" outlineLevel="0" collapsed="false">
      <c r="A229" s="1" t="n">
        <v>228</v>
      </c>
      <c r="B229" s="7" t="str">
        <f aca="false">HYPERLINK("https://mncourtfraud.com/file/27-CR-21-13147.pdf","27-CR-21-13147")</f>
        <v>27-CR-21-13147</v>
      </c>
      <c r="C229" s="1" t="n">
        <v>1</v>
      </c>
      <c r="D229" s="2" t="s">
        <v>12</v>
      </c>
      <c r="E229" s="8" t="n">
        <v>44468</v>
      </c>
      <c r="F229" s="2" t="s">
        <v>24</v>
      </c>
      <c r="G229" s="7" t="str">
        <f aca="false">HYPERLINK("https://mncourtfraud.com/file/MCRO_27-CR-21-13147_Order for Conditional Release_2021-09-29_20251126183556.pdf","MCRO_27-CR-21-13147_Order for Conditional Release_2021-09-29_20251126183556.pdf")</f>
        <v>MCRO_27-CR-21-13147_Order for Conditional Release_2021-09-29_20251126183556.pdf</v>
      </c>
      <c r="H229" s="1" t="n">
        <v>4</v>
      </c>
      <c r="I229" s="1" t="s">
        <v>1360</v>
      </c>
      <c r="J229" s="1" t="n">
        <v>1</v>
      </c>
      <c r="K229" s="2" t="s">
        <v>1362</v>
      </c>
      <c r="L229" s="2" t="s">
        <v>1364</v>
      </c>
      <c r="M229" s="1" t="s">
        <v>1360</v>
      </c>
      <c r="N229" s="1" t="n">
        <v>0</v>
      </c>
      <c r="O229" s="2" t="n">
        <v>89.21</v>
      </c>
      <c r="P229" s="2" t="n">
        <v>89.21</v>
      </c>
      <c r="Q229" s="2" t="n">
        <v>89.21</v>
      </c>
      <c r="R229" s="1" t="n">
        <v>1</v>
      </c>
      <c r="S229" s="1" t="n">
        <v>0</v>
      </c>
      <c r="T229" s="1" t="s">
        <v>1360</v>
      </c>
      <c r="U229" s="1" t="n">
        <v>4</v>
      </c>
      <c r="V229" s="1" t="n">
        <v>0</v>
      </c>
    </row>
    <row r="230" customFormat="false" ht="18.7" hidden="false" customHeight="true" outlineLevel="0" collapsed="false">
      <c r="A230" s="1" t="n">
        <v>229</v>
      </c>
      <c r="B230" s="7" t="str">
        <f aca="false">HYPERLINK("https://mncourtfraud.com/file/27-CR-21-13147.pdf","27-CR-21-13147")</f>
        <v>27-CR-21-13147</v>
      </c>
      <c r="C230" s="1" t="n">
        <v>1</v>
      </c>
      <c r="D230" s="2" t="s">
        <v>12</v>
      </c>
      <c r="E230" s="8" t="n">
        <v>45412</v>
      </c>
      <c r="F230" s="2" t="s">
        <v>24</v>
      </c>
      <c r="G230" s="7" t="str">
        <f aca="false">HYPERLINK("https://mncourtfraud.com/file/MCRO_27-CR-21-13147_Order for Conditional Release_2024-04-30_20251126183543.pdf","MCRO_27-CR-21-13147_Order for Conditional Release_2024-04-30_20251126183543.pdf")</f>
        <v>MCRO_27-CR-21-13147_Order for Conditional Release_2024-04-30_20251126183543.pdf</v>
      </c>
      <c r="H230" s="1" t="n">
        <v>4</v>
      </c>
      <c r="I230" s="1" t="s">
        <v>1360</v>
      </c>
      <c r="J230" s="1" t="n">
        <v>1</v>
      </c>
      <c r="K230" s="2" t="s">
        <v>1362</v>
      </c>
      <c r="L230" s="2" t="s">
        <v>1364</v>
      </c>
      <c r="M230" s="1" t="s">
        <v>1360</v>
      </c>
      <c r="N230" s="1" t="n">
        <v>0</v>
      </c>
      <c r="O230" s="2" t="n">
        <v>89.12</v>
      </c>
      <c r="P230" s="2" t="n">
        <v>89.12</v>
      </c>
      <c r="Q230" s="2" t="n">
        <v>89.12</v>
      </c>
      <c r="R230" s="1" t="n">
        <v>1</v>
      </c>
      <c r="S230" s="1" t="n">
        <v>0</v>
      </c>
      <c r="T230" s="1" t="s">
        <v>1360</v>
      </c>
      <c r="U230" s="1" t="n">
        <v>4</v>
      </c>
      <c r="V230" s="1" t="n">
        <v>0</v>
      </c>
    </row>
    <row r="231" customFormat="false" ht="18.7" hidden="false" customHeight="true" outlineLevel="0" collapsed="false">
      <c r="A231" s="1" t="n">
        <v>230</v>
      </c>
      <c r="B231" s="7" t="str">
        <f aca="false">HYPERLINK("https://mncourtfraud.com/file/27-CR-21-13147.pdf","27-CR-21-13147")</f>
        <v>27-CR-21-13147</v>
      </c>
      <c r="C231" s="1" t="n">
        <v>1</v>
      </c>
      <c r="D231" s="2" t="s">
        <v>12</v>
      </c>
      <c r="E231" s="8" t="n">
        <v>44999</v>
      </c>
      <c r="F231" s="2" t="s">
        <v>17</v>
      </c>
      <c r="G231" s="7" t="str">
        <f aca="false">HYPERLINK("https://mncourtfraud.com/file/MCRO_27-CR-21-13147_Returned Mail_2023-03-14_20251126183709.pdf","MCRO_27-CR-21-13147_Returned Mail_2023-03-14_20251126183709.pdf")</f>
        <v>MCRO_27-CR-21-13147_Returned Mail_2023-03-14_20251126183709.pdf</v>
      </c>
      <c r="H231" s="1" t="n">
        <v>4</v>
      </c>
      <c r="I231" s="1" t="s">
        <v>1360</v>
      </c>
      <c r="J231" s="1" t="n">
        <v>1</v>
      </c>
      <c r="K231" s="2" t="s">
        <v>1362</v>
      </c>
      <c r="L231" s="2" t="s">
        <v>1364</v>
      </c>
      <c r="M231" s="1" t="s">
        <v>1360</v>
      </c>
      <c r="N231" s="1" t="n">
        <v>0</v>
      </c>
      <c r="O231" s="2" t="n">
        <v>93.89</v>
      </c>
      <c r="P231" s="2" t="n">
        <v>93.89</v>
      </c>
      <c r="Q231" s="2" t="n">
        <v>93.89</v>
      </c>
      <c r="R231" s="1" t="n">
        <v>1</v>
      </c>
      <c r="S231" s="1" t="n">
        <v>0</v>
      </c>
      <c r="T231" s="1" t="s">
        <v>1360</v>
      </c>
      <c r="U231" s="1" t="n">
        <v>4</v>
      </c>
      <c r="V231" s="1" t="n">
        <v>0</v>
      </c>
    </row>
    <row r="232" customFormat="false" ht="18.7" hidden="false" customHeight="true" outlineLevel="0" collapsed="false">
      <c r="A232" s="1" t="n">
        <v>231</v>
      </c>
      <c r="B232" s="7" t="str">
        <f aca="false">HYPERLINK("https://mncourtfraud.com/file/27-CR-21-13150.pdf","27-CR-21-13150")</f>
        <v>27-CR-21-13150</v>
      </c>
      <c r="C232" s="1" t="n">
        <v>1</v>
      </c>
      <c r="D232" s="2" t="s">
        <v>12</v>
      </c>
      <c r="E232" s="8" t="n">
        <v>44405</v>
      </c>
      <c r="F232" s="2" t="s">
        <v>145</v>
      </c>
      <c r="G232" s="7" t="str">
        <f aca="false">HYPERLINK("https://mncourtfraud.com/file/MCRO_27-CR-21-13150_Demand or Request for Discovery_2021-07-28_20251126183738.pdf","MCRO_27-CR-21-13150_Demand or Request for Discovery_2021-07-28_20251126183738.pdf")</f>
        <v>MCRO_27-CR-21-13150_Demand or Request for Discovery_2021-07-28_20251126183738.pdf</v>
      </c>
      <c r="H232" s="1" t="n">
        <v>3</v>
      </c>
      <c r="I232" s="1" t="s">
        <v>1360</v>
      </c>
      <c r="J232" s="1" t="n">
        <v>1</v>
      </c>
      <c r="K232" s="2" t="s">
        <v>1362</v>
      </c>
      <c r="L232" s="2" t="s">
        <v>1364</v>
      </c>
      <c r="M232" s="1" t="s">
        <v>1360</v>
      </c>
      <c r="N232" s="1" t="n">
        <v>0</v>
      </c>
      <c r="O232" s="2" t="n">
        <v>94.82</v>
      </c>
      <c r="P232" s="2" t="n">
        <v>94.82</v>
      </c>
      <c r="Q232" s="2" t="n">
        <v>94.82</v>
      </c>
      <c r="R232" s="1" t="n">
        <v>1</v>
      </c>
      <c r="S232" s="1" t="n">
        <v>0</v>
      </c>
      <c r="T232" s="1" t="s">
        <v>1360</v>
      </c>
      <c r="U232" s="1" t="n">
        <v>3</v>
      </c>
      <c r="V232" s="1" t="n">
        <v>0</v>
      </c>
    </row>
    <row r="233" customFormat="false" ht="18.7" hidden="false" customHeight="true" outlineLevel="0" collapsed="false">
      <c r="A233" s="1" t="n">
        <v>232</v>
      </c>
      <c r="B233" s="7" t="str">
        <f aca="false">HYPERLINK("https://mncourtfraud.com/file/27-CR-21-13150.pdf","27-CR-21-13150")</f>
        <v>27-CR-21-13150</v>
      </c>
      <c r="C233" s="1" t="n">
        <v>1</v>
      </c>
      <c r="D233" s="2" t="s">
        <v>12</v>
      </c>
      <c r="E233" s="8" t="n">
        <v>45048</v>
      </c>
      <c r="F233" s="2" t="s">
        <v>80</v>
      </c>
      <c r="G233" s="7" t="str">
        <f aca="false">HYPERLINK("https://mncourtfraud.com/file/MCRO_27-CR-21-13150_Finding of Incompetency and Order_2023-05-02_20251126183749.pdf","MCRO_27-CR-21-13150_Finding of Incompetency and Order_2023-05-02_20251126183749.pdf")</f>
        <v>MCRO_27-CR-21-13150_Finding of Incompetency and Order_2023-05-02_20251126183749.pdf</v>
      </c>
      <c r="H233" s="1" t="n">
        <v>9</v>
      </c>
      <c r="I233" s="1" t="s">
        <v>1366</v>
      </c>
      <c r="J233" s="1" t="n">
        <v>3</v>
      </c>
      <c r="K233" s="2" t="s">
        <v>2268</v>
      </c>
      <c r="L233" s="2" t="s">
        <v>2269</v>
      </c>
      <c r="M233" s="1" t="s">
        <v>1366</v>
      </c>
      <c r="N233" s="1" t="n">
        <v>2</v>
      </c>
      <c r="O233" s="2" t="n">
        <v>15.21</v>
      </c>
      <c r="P233" s="2" t="n">
        <v>98.32</v>
      </c>
      <c r="Q233" s="2" t="n">
        <v>45.35</v>
      </c>
      <c r="R233" s="1" t="n">
        <v>3</v>
      </c>
      <c r="S233" s="1" t="n">
        <v>0</v>
      </c>
      <c r="T233" s="1" t="s">
        <v>1360</v>
      </c>
      <c r="U233" s="1" t="n">
        <v>5</v>
      </c>
      <c r="V233" s="1" t="n">
        <v>3</v>
      </c>
    </row>
    <row r="234" customFormat="false" ht="18.7" hidden="false" customHeight="true" outlineLevel="0" collapsed="false">
      <c r="A234" s="1" t="n">
        <v>233</v>
      </c>
      <c r="B234" s="7" t="str">
        <f aca="false">HYPERLINK("https://mncourtfraud.com/file/27-CR-21-13150.pdf","27-CR-21-13150")</f>
        <v>27-CR-21-13150</v>
      </c>
      <c r="C234" s="1" t="n">
        <v>1</v>
      </c>
      <c r="D234" s="2" t="s">
        <v>12</v>
      </c>
      <c r="E234" s="8" t="n">
        <v>44439</v>
      </c>
      <c r="F234" s="2" t="s">
        <v>19</v>
      </c>
      <c r="G234" s="7" t="str">
        <f aca="false">HYPERLINK("https://mncourtfraud.com/file/MCRO_27-CR-21-13150_Findings and Order_2021-08-31_20251126183809.pdf","MCRO_27-CR-21-13150_Findings and Order_2021-08-31_20251126183809.pdf")</f>
        <v>MCRO_27-CR-21-13150_Findings and Order_2021-08-31_20251126183809.pdf</v>
      </c>
      <c r="H234" s="1" t="n">
        <v>5</v>
      </c>
      <c r="I234" s="1" t="s">
        <v>1366</v>
      </c>
      <c r="J234" s="1" t="n">
        <v>2</v>
      </c>
      <c r="K234" s="2" t="s">
        <v>2267</v>
      </c>
      <c r="L234" s="2" t="s">
        <v>1364</v>
      </c>
      <c r="M234" s="1" t="s">
        <v>1366</v>
      </c>
      <c r="N234" s="1" t="n">
        <v>1</v>
      </c>
      <c r="O234" s="2" t="n">
        <v>39.94</v>
      </c>
      <c r="P234" s="2" t="n">
        <v>95.64</v>
      </c>
      <c r="Q234" s="2" t="n">
        <v>67.79</v>
      </c>
      <c r="R234" s="1" t="n">
        <v>2</v>
      </c>
      <c r="S234" s="1" t="n">
        <v>0</v>
      </c>
      <c r="T234" s="1" t="s">
        <v>1360</v>
      </c>
      <c r="U234" s="1" t="n">
        <v>2</v>
      </c>
      <c r="V234" s="1" t="n">
        <v>0</v>
      </c>
    </row>
    <row r="235" customFormat="false" ht="18.7" hidden="false" customHeight="true" outlineLevel="0" collapsed="false">
      <c r="A235" s="1" t="n">
        <v>234</v>
      </c>
      <c r="B235" s="7" t="str">
        <f aca="false">HYPERLINK("https://mncourtfraud.com/file/27-CR-21-13150.pdf","27-CR-21-13150")</f>
        <v>27-CR-21-13150</v>
      </c>
      <c r="C235" s="1" t="n">
        <v>1</v>
      </c>
      <c r="D235" s="2" t="s">
        <v>12</v>
      </c>
      <c r="E235" s="8" t="n">
        <v>44593</v>
      </c>
      <c r="F235" s="2" t="s">
        <v>19</v>
      </c>
      <c r="G235" s="7" t="str">
        <f aca="false">HYPERLINK("https://mncourtfraud.com/file/MCRO_27-CR-21-13150_Findings and Order_2022-02-01_20251126183801.pdf","MCRO_27-CR-21-13150_Findings and Order_2022-02-01_20251126183801.pdf")</f>
        <v>MCRO_27-CR-21-13150_Findings and Order_2022-02-01_20251126183801.pdf</v>
      </c>
      <c r="H235" s="1" t="n">
        <v>4</v>
      </c>
      <c r="I235" s="1" t="s">
        <v>1360</v>
      </c>
      <c r="J235" s="1" t="n">
        <v>2</v>
      </c>
      <c r="K235" s="2" t="s">
        <v>2267</v>
      </c>
      <c r="L235" s="2" t="s">
        <v>1364</v>
      </c>
      <c r="M235" s="1" t="s">
        <v>1366</v>
      </c>
      <c r="N235" s="1" t="n">
        <v>1</v>
      </c>
      <c r="O235" s="2" t="n">
        <v>47.77</v>
      </c>
      <c r="P235" s="2" t="n">
        <v>95.47</v>
      </c>
      <c r="Q235" s="2" t="n">
        <v>71.62</v>
      </c>
      <c r="R235" s="1" t="n">
        <v>2</v>
      </c>
      <c r="S235" s="1" t="n">
        <v>0</v>
      </c>
      <c r="T235" s="1" t="s">
        <v>1360</v>
      </c>
      <c r="U235" s="1" t="n">
        <v>2</v>
      </c>
      <c r="V235" s="1" t="n">
        <v>0</v>
      </c>
    </row>
    <row r="236" customFormat="false" ht="18.7" hidden="false" customHeight="true" outlineLevel="0" collapsed="false">
      <c r="A236" s="1" t="n">
        <v>235</v>
      </c>
      <c r="B236" s="7" t="str">
        <f aca="false">HYPERLINK("https://mncourtfraud.com/file/27-CR-21-13150.pdf","27-CR-21-13150")</f>
        <v>27-CR-21-13150</v>
      </c>
      <c r="C236" s="1" t="n">
        <v>1</v>
      </c>
      <c r="D236" s="2" t="s">
        <v>12</v>
      </c>
      <c r="E236" s="8" t="n">
        <v>45093</v>
      </c>
      <c r="F236" s="2" t="s">
        <v>82</v>
      </c>
      <c r="G236" s="7" t="str">
        <f aca="false">HYPERLINK("https://mncourtfraud.com/file/MCRO_27-CR-21-13150_Notice of Case Reassignment_2023-06-16_20251126183821.pdf","MCRO_27-CR-21-13150_Notice of Case Reassignment_2023-06-16_20251126183821.pdf")</f>
        <v>MCRO_27-CR-21-13150_Notice of Case Reassignment_2023-06-16_20251126183821.pdf</v>
      </c>
      <c r="H236" s="1" t="n">
        <v>3</v>
      </c>
      <c r="I236" s="1" t="s">
        <v>1360</v>
      </c>
      <c r="J236" s="1" t="n">
        <v>1</v>
      </c>
      <c r="K236" s="2" t="s">
        <v>1362</v>
      </c>
      <c r="L236" s="2" t="s">
        <v>1364</v>
      </c>
      <c r="M236" s="1" t="s">
        <v>1360</v>
      </c>
      <c r="N236" s="1" t="n">
        <v>0</v>
      </c>
      <c r="O236" s="2" t="n">
        <v>85.58</v>
      </c>
      <c r="P236" s="2" t="n">
        <v>85.58</v>
      </c>
      <c r="Q236" s="2" t="n">
        <v>85.58</v>
      </c>
      <c r="R236" s="1" t="n">
        <v>1</v>
      </c>
      <c r="S236" s="1" t="n">
        <v>0</v>
      </c>
      <c r="T236" s="1" t="s">
        <v>1360</v>
      </c>
      <c r="U236" s="1" t="n">
        <v>3</v>
      </c>
      <c r="V236" s="1" t="n">
        <v>0</v>
      </c>
    </row>
    <row r="237" customFormat="false" ht="18.7" hidden="false" customHeight="true" outlineLevel="0" collapsed="false">
      <c r="A237" s="1" t="n">
        <v>236</v>
      </c>
      <c r="B237" s="7" t="str">
        <f aca="false">HYPERLINK("https://mncourtfraud.com/file/27-CR-21-13150.pdf","27-CR-21-13150")</f>
        <v>27-CR-21-13150</v>
      </c>
      <c r="C237" s="1" t="n">
        <v>1</v>
      </c>
      <c r="D237" s="2" t="s">
        <v>12</v>
      </c>
      <c r="E237" s="8" t="n">
        <v>44396</v>
      </c>
      <c r="F237" s="2" t="s">
        <v>15</v>
      </c>
      <c r="G237" s="7" t="str">
        <f aca="false">HYPERLINK("https://mncourtfraud.com/file/MCRO_27-CR-21-13150_Order-Evaluation for Competency to Proceed (Rule 20.01)_2021-07-19_20251126183857.pdf","MCRO_27-CR-21-13150_Order-Evaluation for Competency to Proceed (Rule 20.01)_2021-07-19_20251126183857.pdf")</f>
        <v>MCRO_27-CR-21-13150_Order-Evaluation for Competency to Proceed (Rule 20.01)_2021-07-19_20251126183857.pdf</v>
      </c>
      <c r="H237" s="1" t="n">
        <v>4</v>
      </c>
      <c r="I237" s="1" t="s">
        <v>1360</v>
      </c>
      <c r="J237" s="1" t="n">
        <v>1</v>
      </c>
      <c r="K237" s="2" t="s">
        <v>1362</v>
      </c>
      <c r="L237" s="2" t="s">
        <v>1364</v>
      </c>
      <c r="M237" s="1" t="s">
        <v>1360</v>
      </c>
      <c r="N237" s="1" t="n">
        <v>0</v>
      </c>
      <c r="O237" s="2" t="n">
        <v>91.64</v>
      </c>
      <c r="P237" s="2" t="n">
        <v>91.64</v>
      </c>
      <c r="Q237" s="2" t="n">
        <v>91.64</v>
      </c>
      <c r="R237" s="1" t="n">
        <v>1</v>
      </c>
      <c r="S237" s="1" t="n">
        <v>0</v>
      </c>
      <c r="T237" s="1" t="s">
        <v>1360</v>
      </c>
      <c r="U237" s="1" t="n">
        <v>4</v>
      </c>
      <c r="V237" s="1" t="n">
        <v>0</v>
      </c>
    </row>
    <row r="238" customFormat="false" ht="18.7" hidden="false" customHeight="true" outlineLevel="0" collapsed="false">
      <c r="A238" s="1" t="n">
        <v>237</v>
      </c>
      <c r="B238" s="7" t="str">
        <f aca="false">HYPERLINK("https://mncourtfraud.com/file/27-CR-21-13150.pdf","27-CR-21-13150")</f>
        <v>27-CR-21-13150</v>
      </c>
      <c r="C238" s="1" t="n">
        <v>1</v>
      </c>
      <c r="D238" s="2" t="s">
        <v>12</v>
      </c>
      <c r="E238" s="8" t="n">
        <v>44543</v>
      </c>
      <c r="F238" s="2" t="s">
        <v>15</v>
      </c>
      <c r="G238" s="7" t="str">
        <f aca="false">HYPERLINK("https://mncourtfraud.com/file/MCRO_27-CR-21-13150_Order-Evaluation for Competency to Proceed (Rule 20.01)_2021-12-13_20251126183906.pdf","MCRO_27-CR-21-13150_Order-Evaluation for Competency to Proceed (Rule 20.01)_2021-12-13_20251126183906.pdf")</f>
        <v>MCRO_27-CR-21-13150_Order-Evaluation for Competency to Proceed (Rule 20.01)_2021-12-13_20251126183906.pdf</v>
      </c>
      <c r="H238" s="1" t="n">
        <v>3</v>
      </c>
      <c r="I238" s="1" t="s">
        <v>1360</v>
      </c>
      <c r="J238" s="1" t="n">
        <v>1</v>
      </c>
      <c r="K238" s="2" t="s">
        <v>1362</v>
      </c>
      <c r="L238" s="2" t="s">
        <v>1364</v>
      </c>
      <c r="M238" s="1" t="s">
        <v>1360</v>
      </c>
      <c r="N238" s="1" t="n">
        <v>0</v>
      </c>
      <c r="O238" s="2" t="n">
        <v>92.99</v>
      </c>
      <c r="P238" s="2" t="n">
        <v>92.99</v>
      </c>
      <c r="Q238" s="2" t="n">
        <v>92.99</v>
      </c>
      <c r="R238" s="1" t="n">
        <v>1</v>
      </c>
      <c r="S238" s="1" t="n">
        <v>0</v>
      </c>
      <c r="T238" s="1" t="s">
        <v>1360</v>
      </c>
      <c r="U238" s="1" t="n">
        <v>3</v>
      </c>
      <c r="V238" s="1" t="n">
        <v>0</v>
      </c>
    </row>
    <row r="239" customFormat="false" ht="18.7" hidden="false" customHeight="true" outlineLevel="0" collapsed="false">
      <c r="A239" s="1" t="n">
        <v>238</v>
      </c>
      <c r="B239" s="7" t="str">
        <f aca="false">HYPERLINK("https://mncourtfraud.com/file/27-CR-21-13150.pdf","27-CR-21-13150")</f>
        <v>27-CR-21-13150</v>
      </c>
      <c r="C239" s="1" t="n">
        <v>1</v>
      </c>
      <c r="D239" s="2" t="s">
        <v>12</v>
      </c>
      <c r="E239" s="8" t="n">
        <v>44558</v>
      </c>
      <c r="F239" s="2" t="s">
        <v>15</v>
      </c>
      <c r="G239" s="7" t="str">
        <f aca="false">HYPERLINK("https://mncourtfraud.com/file/MCRO_27-CR-21-13150_Order-Evaluation for Competency to Proceed (Rule 20.01)_2021-12-28_20251126183913.pdf","MCRO_27-CR-21-13150_Order-Evaluation for Competency to Proceed (Rule 20.01)_2021-12-28_20251126183913.pdf")</f>
        <v>MCRO_27-CR-21-13150_Order-Evaluation for Competency to Proceed (Rule 20.01)_2021-12-28_20251126183913.pdf</v>
      </c>
      <c r="H239" s="1" t="n">
        <v>4</v>
      </c>
      <c r="I239" s="1" t="s">
        <v>1360</v>
      </c>
      <c r="J239" s="1" t="n">
        <v>1</v>
      </c>
      <c r="K239" s="2" t="s">
        <v>1362</v>
      </c>
      <c r="L239" s="2" t="s">
        <v>1364</v>
      </c>
      <c r="M239" s="1" t="s">
        <v>1360</v>
      </c>
      <c r="N239" s="1" t="n">
        <v>0</v>
      </c>
      <c r="O239" s="2" t="n">
        <v>93.25</v>
      </c>
      <c r="P239" s="2" t="n">
        <v>93.25</v>
      </c>
      <c r="Q239" s="2" t="n">
        <v>93.25</v>
      </c>
      <c r="R239" s="1" t="n">
        <v>1</v>
      </c>
      <c r="S239" s="1" t="n">
        <v>0</v>
      </c>
      <c r="T239" s="1" t="s">
        <v>1360</v>
      </c>
      <c r="U239" s="1" t="n">
        <v>4</v>
      </c>
      <c r="V239" s="1" t="n">
        <v>0</v>
      </c>
    </row>
    <row r="240" customFormat="false" ht="18.7" hidden="false" customHeight="true" outlineLevel="0" collapsed="false">
      <c r="A240" s="1" t="n">
        <v>239</v>
      </c>
      <c r="B240" s="7" t="str">
        <f aca="false">HYPERLINK("https://mncourtfraud.com/file/27-CR-21-13150.pdf","27-CR-21-13150")</f>
        <v>27-CR-21-13150</v>
      </c>
      <c r="C240" s="1" t="n">
        <v>1</v>
      </c>
      <c r="D240" s="2" t="s">
        <v>12</v>
      </c>
      <c r="E240" s="8" t="n">
        <v>44692</v>
      </c>
      <c r="F240" s="2" t="s">
        <v>15</v>
      </c>
      <c r="G240" s="7" t="str">
        <f aca="false">HYPERLINK("https://mncourtfraud.com/file/MCRO_27-CR-21-13150_Order-Evaluation for Competency to Proceed (Rule 20.01)_2022-05-11_20251126183920.pdf","MCRO_27-CR-21-13150_Order-Evaluation for Competency to Proceed (Rule 20.01)_2022-05-11_20251126183920.pdf")</f>
        <v>MCRO_27-CR-21-13150_Order-Evaluation for Competency to Proceed (Rule 20.01)_2022-05-11_20251126183920.pdf</v>
      </c>
      <c r="H240" s="1" t="n">
        <v>3</v>
      </c>
      <c r="I240" s="1" t="s">
        <v>1360</v>
      </c>
      <c r="J240" s="1" t="n">
        <v>1</v>
      </c>
      <c r="K240" s="2" t="s">
        <v>1362</v>
      </c>
      <c r="L240" s="2" t="s">
        <v>1364</v>
      </c>
      <c r="M240" s="1" t="s">
        <v>1360</v>
      </c>
      <c r="N240" s="1" t="n">
        <v>0</v>
      </c>
      <c r="O240" s="2" t="n">
        <v>93.17</v>
      </c>
      <c r="P240" s="2" t="n">
        <v>93.17</v>
      </c>
      <c r="Q240" s="2" t="n">
        <v>93.17</v>
      </c>
      <c r="R240" s="1" t="n">
        <v>1</v>
      </c>
      <c r="S240" s="1" t="n">
        <v>0</v>
      </c>
      <c r="T240" s="1" t="s">
        <v>1360</v>
      </c>
      <c r="U240" s="1" t="n">
        <v>3</v>
      </c>
      <c r="V240" s="1" t="n">
        <v>0</v>
      </c>
    </row>
    <row r="241" customFormat="false" ht="18.7" hidden="false" customHeight="true" outlineLevel="0" collapsed="false">
      <c r="A241" s="1" t="n">
        <v>240</v>
      </c>
      <c r="B241" s="7" t="str">
        <f aca="false">HYPERLINK("https://mncourtfraud.com/file/27-CR-21-13150.pdf","27-CR-21-13150")</f>
        <v>27-CR-21-13150</v>
      </c>
      <c r="C241" s="1" t="n">
        <v>1</v>
      </c>
      <c r="D241" s="2" t="s">
        <v>12</v>
      </c>
      <c r="E241" s="8" t="n">
        <v>44895</v>
      </c>
      <c r="F241" s="2" t="s">
        <v>15</v>
      </c>
      <c r="G241" s="7" t="str">
        <f aca="false">HYPERLINK("https://mncourtfraud.com/file/MCRO_27-CR-21-13150_Order-Evaluation for Competency to Proceed (Rule 20.01)_2022-11-30_20251126183927.pdf","MCRO_27-CR-21-13150_Order-Evaluation for Competency to Proceed (Rule 20.01)_2022-11-30_20251126183927.pdf")</f>
        <v>MCRO_27-CR-21-13150_Order-Evaluation for Competency to Proceed (Rule 20.01)_2022-11-30_20251126183927.pdf</v>
      </c>
      <c r="H241" s="1" t="n">
        <v>4</v>
      </c>
      <c r="I241" s="1" t="s">
        <v>1360</v>
      </c>
      <c r="J241" s="1" t="n">
        <v>1</v>
      </c>
      <c r="K241" s="2" t="s">
        <v>1362</v>
      </c>
      <c r="L241" s="2" t="s">
        <v>1364</v>
      </c>
      <c r="M241" s="1" t="s">
        <v>1360</v>
      </c>
      <c r="N241" s="1" t="n">
        <v>0</v>
      </c>
      <c r="O241" s="2" t="n">
        <v>97.99</v>
      </c>
      <c r="P241" s="2" t="n">
        <v>97.99</v>
      </c>
      <c r="Q241" s="2" t="n">
        <v>97.99</v>
      </c>
      <c r="R241" s="1" t="n">
        <v>1</v>
      </c>
      <c r="S241" s="1" t="n">
        <v>0</v>
      </c>
      <c r="T241" s="1" t="s">
        <v>1360</v>
      </c>
      <c r="U241" s="1" t="n">
        <v>4</v>
      </c>
      <c r="V241" s="1" t="n">
        <v>0</v>
      </c>
    </row>
    <row r="242" customFormat="false" ht="18.7" hidden="false" customHeight="true" outlineLevel="0" collapsed="false">
      <c r="A242" s="1" t="n">
        <v>241</v>
      </c>
      <c r="B242" s="7" t="str">
        <f aca="false">HYPERLINK("https://mncourtfraud.com/file/27-CR-21-13150.pdf","27-CR-21-13150")</f>
        <v>27-CR-21-13150</v>
      </c>
      <c r="C242" s="1" t="n">
        <v>1</v>
      </c>
      <c r="D242" s="2" t="s">
        <v>12</v>
      </c>
      <c r="E242" s="8" t="n">
        <v>45160</v>
      </c>
      <c r="F242" s="2" t="s">
        <v>15</v>
      </c>
      <c r="G242" s="7" t="str">
        <f aca="false">HYPERLINK("https://mncourtfraud.com/file/MCRO_27-CR-21-13150_Order-Evaluation for Competency to Proceed (Rule 20.01)_2023-08-22_20251126183934.pdf","MCRO_27-CR-21-13150_Order-Evaluation for Competency to Proceed (Rule 20.01)_2023-08-22_20251126183934.pdf")</f>
        <v>MCRO_27-CR-21-13150_Order-Evaluation for Competency to Proceed (Rule 20.01)_2023-08-22_20251126183934.pdf</v>
      </c>
      <c r="H242" s="1" t="n">
        <v>6</v>
      </c>
      <c r="I242" s="1" t="s">
        <v>1366</v>
      </c>
      <c r="J242" s="1" t="n">
        <v>2</v>
      </c>
      <c r="K242" s="2" t="s">
        <v>2270</v>
      </c>
      <c r="L242" s="2" t="s">
        <v>2269</v>
      </c>
      <c r="M242" s="1" t="s">
        <v>1366</v>
      </c>
      <c r="N242" s="1" t="n">
        <v>1</v>
      </c>
      <c r="O242" s="2" t="n">
        <v>23.95</v>
      </c>
      <c r="P242" s="2" t="n">
        <v>98.13</v>
      </c>
      <c r="Q242" s="2" t="n">
        <v>61.04</v>
      </c>
      <c r="R242" s="1" t="n">
        <v>2</v>
      </c>
      <c r="S242" s="1" t="n">
        <v>0</v>
      </c>
      <c r="T242" s="1" t="s">
        <v>1360</v>
      </c>
      <c r="U242" s="1" t="n">
        <v>3</v>
      </c>
      <c r="V242" s="1" t="n">
        <v>3</v>
      </c>
    </row>
    <row r="243" customFormat="false" ht="18.7" hidden="false" customHeight="true" outlineLevel="0" collapsed="false">
      <c r="A243" s="1" t="n">
        <v>242</v>
      </c>
      <c r="B243" s="7" t="str">
        <f aca="false">HYPERLINK("https://mncourtfraud.com/file/27-CR-21-13150.pdf","27-CR-21-13150")</f>
        <v>27-CR-21-13150</v>
      </c>
      <c r="C243" s="1" t="n">
        <v>1</v>
      </c>
      <c r="D243" s="2" t="s">
        <v>12</v>
      </c>
      <c r="E243" s="8" t="n">
        <v>45412</v>
      </c>
      <c r="F243" s="2" t="s">
        <v>15</v>
      </c>
      <c r="G243" s="7" t="str">
        <f aca="false">HYPERLINK("https://mncourtfraud.com/file/MCRO_27-CR-21-13150_Order-Evaluation for Competency to Proceed (Rule 20.01)_2024-04-30_20251126183942.pdf","MCRO_27-CR-21-13150_Order-Evaluation for Competency to Proceed (Rule 20.01)_2024-04-30_20251126183942.pdf")</f>
        <v>MCRO_27-CR-21-13150_Order-Evaluation for Competency to Proceed (Rule 20.01)_2024-04-30_20251126183942.pdf</v>
      </c>
      <c r="H243" s="1" t="n">
        <v>4</v>
      </c>
      <c r="I243" s="1" t="s">
        <v>1360</v>
      </c>
      <c r="J243" s="1" t="n">
        <v>1</v>
      </c>
      <c r="K243" s="2" t="s">
        <v>1362</v>
      </c>
      <c r="L243" s="2" t="s">
        <v>1364</v>
      </c>
      <c r="M243" s="1" t="s">
        <v>1360</v>
      </c>
      <c r="N243" s="1" t="n">
        <v>0</v>
      </c>
      <c r="O243" s="2" t="n">
        <v>92.54</v>
      </c>
      <c r="P243" s="2" t="n">
        <v>92.54</v>
      </c>
      <c r="Q243" s="2" t="n">
        <v>92.54</v>
      </c>
      <c r="R243" s="1" t="n">
        <v>1</v>
      </c>
      <c r="S243" s="1" t="n">
        <v>0</v>
      </c>
      <c r="T243" s="1" t="s">
        <v>1360</v>
      </c>
      <c r="U243" s="1" t="n">
        <v>4</v>
      </c>
      <c r="V243" s="1" t="n">
        <v>0</v>
      </c>
    </row>
    <row r="244" customFormat="false" ht="18.7" hidden="false" customHeight="true" outlineLevel="0" collapsed="false">
      <c r="A244" s="1" t="n">
        <v>243</v>
      </c>
      <c r="B244" s="7" t="str">
        <f aca="false">HYPERLINK("https://mncourtfraud.com/file/27-CR-21-13150.pdf","27-CR-21-13150")</f>
        <v>27-CR-21-13150</v>
      </c>
      <c r="C244" s="1" t="n">
        <v>1</v>
      </c>
      <c r="D244" s="2" t="s">
        <v>12</v>
      </c>
      <c r="E244" s="8" t="n">
        <v>44460</v>
      </c>
      <c r="F244" s="2" t="s">
        <v>24</v>
      </c>
      <c r="G244" s="7" t="str">
        <f aca="false">HYPERLINK("https://mncourtfraud.com/file/MCRO_27-CR-21-13150_Order for Conditional Release_2021-09-21_20251126183841.pdf","MCRO_27-CR-21-13150_Order for Conditional Release_2021-09-21_20251126183841.pdf")</f>
        <v>MCRO_27-CR-21-13150_Order for Conditional Release_2021-09-21_20251126183841.pdf</v>
      </c>
      <c r="H244" s="1" t="n">
        <v>4</v>
      </c>
      <c r="I244" s="1" t="s">
        <v>1360</v>
      </c>
      <c r="J244" s="1" t="n">
        <v>1</v>
      </c>
      <c r="K244" s="2" t="s">
        <v>1362</v>
      </c>
      <c r="L244" s="2" t="s">
        <v>1364</v>
      </c>
      <c r="M244" s="1" t="s">
        <v>1360</v>
      </c>
      <c r="N244" s="1" t="n">
        <v>0</v>
      </c>
      <c r="O244" s="2" t="n">
        <v>84.52</v>
      </c>
      <c r="P244" s="2" t="n">
        <v>84.52</v>
      </c>
      <c r="Q244" s="2" t="n">
        <v>84.52</v>
      </c>
      <c r="R244" s="1" t="n">
        <v>1</v>
      </c>
      <c r="S244" s="1" t="n">
        <v>0</v>
      </c>
      <c r="T244" s="1" t="s">
        <v>1360</v>
      </c>
      <c r="U244" s="1" t="n">
        <v>4</v>
      </c>
      <c r="V244" s="1" t="n">
        <v>0</v>
      </c>
    </row>
    <row r="245" customFormat="false" ht="18.7" hidden="false" customHeight="true" outlineLevel="0" collapsed="false">
      <c r="A245" s="1" t="n">
        <v>244</v>
      </c>
      <c r="B245" s="7" t="str">
        <f aca="false">HYPERLINK("https://mncourtfraud.com/file/27-CR-21-13150.pdf","27-CR-21-13150")</f>
        <v>27-CR-21-13150</v>
      </c>
      <c r="C245" s="1" t="n">
        <v>1</v>
      </c>
      <c r="D245" s="2" t="s">
        <v>12</v>
      </c>
      <c r="E245" s="8" t="n">
        <v>44468</v>
      </c>
      <c r="F245" s="2" t="s">
        <v>24</v>
      </c>
      <c r="G245" s="7" t="str">
        <f aca="false">HYPERLINK("https://mncourtfraud.com/file/MCRO_27-CR-21-13150_Order for Conditional Release_2021-09-29_20251126183846.pdf","MCRO_27-CR-21-13150_Order for Conditional Release_2021-09-29_20251126183846.pdf")</f>
        <v>MCRO_27-CR-21-13150_Order for Conditional Release_2021-09-29_20251126183846.pdf</v>
      </c>
      <c r="H245" s="1" t="n">
        <v>4</v>
      </c>
      <c r="I245" s="1" t="s">
        <v>1360</v>
      </c>
      <c r="J245" s="1" t="n">
        <v>1</v>
      </c>
      <c r="K245" s="2" t="s">
        <v>1362</v>
      </c>
      <c r="L245" s="2" t="s">
        <v>1364</v>
      </c>
      <c r="M245" s="1" t="s">
        <v>1360</v>
      </c>
      <c r="N245" s="1" t="n">
        <v>0</v>
      </c>
      <c r="O245" s="2" t="n">
        <v>89.21</v>
      </c>
      <c r="P245" s="2" t="n">
        <v>89.21</v>
      </c>
      <c r="Q245" s="2" t="n">
        <v>89.21</v>
      </c>
      <c r="R245" s="1" t="n">
        <v>1</v>
      </c>
      <c r="S245" s="1" t="n">
        <v>0</v>
      </c>
      <c r="T245" s="1" t="s">
        <v>1360</v>
      </c>
      <c r="U245" s="1" t="n">
        <v>4</v>
      </c>
      <c r="V245" s="1" t="n">
        <v>0</v>
      </c>
    </row>
    <row r="246" customFormat="false" ht="18.7" hidden="false" customHeight="true" outlineLevel="0" collapsed="false">
      <c r="A246" s="1" t="n">
        <v>245</v>
      </c>
      <c r="B246" s="7" t="str">
        <f aca="false">HYPERLINK("https://mncourtfraud.com/file/27-CR-21-13150.pdf","27-CR-21-13150")</f>
        <v>27-CR-21-13150</v>
      </c>
      <c r="C246" s="1" t="n">
        <v>1</v>
      </c>
      <c r="D246" s="2" t="s">
        <v>12</v>
      </c>
      <c r="E246" s="8" t="n">
        <v>45412</v>
      </c>
      <c r="F246" s="2" t="s">
        <v>24</v>
      </c>
      <c r="G246" s="7" t="str">
        <f aca="false">HYPERLINK("https://mncourtfraud.com/file/MCRO_27-CR-21-13150_Order for Conditional Release_2024-04-30_20251126183833.pdf","MCRO_27-CR-21-13150_Order for Conditional Release_2024-04-30_20251126183833.pdf")</f>
        <v>MCRO_27-CR-21-13150_Order for Conditional Release_2024-04-30_20251126183833.pdf</v>
      </c>
      <c r="H246" s="1" t="n">
        <v>4</v>
      </c>
      <c r="I246" s="1" t="s">
        <v>1360</v>
      </c>
      <c r="J246" s="1" t="n">
        <v>1</v>
      </c>
      <c r="K246" s="2" t="s">
        <v>1362</v>
      </c>
      <c r="L246" s="2" t="s">
        <v>1364</v>
      </c>
      <c r="M246" s="1" t="s">
        <v>1360</v>
      </c>
      <c r="N246" s="1" t="n">
        <v>0</v>
      </c>
      <c r="O246" s="2" t="n">
        <v>89.11</v>
      </c>
      <c r="P246" s="2" t="n">
        <v>89.11</v>
      </c>
      <c r="Q246" s="2" t="n">
        <v>89.11</v>
      </c>
      <c r="R246" s="1" t="n">
        <v>1</v>
      </c>
      <c r="S246" s="1" t="n">
        <v>0</v>
      </c>
      <c r="T246" s="1" t="s">
        <v>1360</v>
      </c>
      <c r="U246" s="1" t="n">
        <v>4</v>
      </c>
      <c r="V246" s="1" t="n">
        <v>0</v>
      </c>
    </row>
    <row r="247" customFormat="false" ht="18.7" hidden="false" customHeight="true" outlineLevel="0" collapsed="false">
      <c r="A247" s="1" t="n">
        <v>246</v>
      </c>
      <c r="B247" s="7" t="str">
        <f aca="false">HYPERLINK("https://mncourtfraud.com/file/27-CR-21-13526.pdf","27-CR-21-13526")</f>
        <v>27-CR-21-13526</v>
      </c>
      <c r="C247" s="1" t="n">
        <v>5</v>
      </c>
      <c r="D247" s="2" t="s">
        <v>267</v>
      </c>
      <c r="E247" s="8" t="n">
        <v>44873</v>
      </c>
      <c r="F247" s="2" t="s">
        <v>15</v>
      </c>
      <c r="G247" s="7" t="str">
        <f aca="false">HYPERLINK("https://mncourtfraud.com/file/MCRO_27-CR-21-13526_Order-Evaluation for Competency to Proceed (Rule 20.01)_2022-11-08_20251126164716.pdf","MCRO_27-CR-21-13526_Order-Evaluation for Competency to Proceed (Rule 20.01)_2022-11-08_20251126164716.pdf")</f>
        <v>MCRO_27-CR-21-13526_Order-Evaluation for Competency to Proceed (Rule 20.01)_2022-11-08_20251126164716.pdf</v>
      </c>
      <c r="H247" s="1" t="n">
        <v>4</v>
      </c>
      <c r="I247" s="1" t="s">
        <v>1360</v>
      </c>
      <c r="J247" s="1" t="n">
        <v>1</v>
      </c>
      <c r="K247" s="2" t="s">
        <v>1362</v>
      </c>
      <c r="L247" s="2" t="s">
        <v>1364</v>
      </c>
      <c r="M247" s="1" t="s">
        <v>1360</v>
      </c>
      <c r="N247" s="1" t="n">
        <v>0</v>
      </c>
      <c r="O247" s="2" t="n">
        <v>98.06</v>
      </c>
      <c r="P247" s="2" t="n">
        <v>98.06</v>
      </c>
      <c r="Q247" s="2" t="n">
        <v>98.06</v>
      </c>
      <c r="R247" s="1" t="n">
        <v>1</v>
      </c>
      <c r="S247" s="1" t="n">
        <v>0</v>
      </c>
      <c r="T247" s="1" t="s">
        <v>1360</v>
      </c>
      <c r="U247" s="1" t="n">
        <v>4</v>
      </c>
      <c r="V247" s="1" t="n">
        <v>0</v>
      </c>
    </row>
    <row r="248" customFormat="false" ht="18.7" hidden="false" customHeight="true" outlineLevel="0" collapsed="false">
      <c r="A248" s="1" t="n">
        <v>247</v>
      </c>
      <c r="B248" s="7" t="str">
        <f aca="false">HYPERLINK("https://mncourtfraud.com/file/27-CR-21-13526.pdf","27-CR-21-13526")</f>
        <v>27-CR-21-13526</v>
      </c>
      <c r="C248" s="1" t="n">
        <v>5</v>
      </c>
      <c r="D248" s="2" t="s">
        <v>267</v>
      </c>
      <c r="E248" s="8" t="n">
        <v>45023</v>
      </c>
      <c r="F248" s="2" t="s">
        <v>15</v>
      </c>
      <c r="G248" s="7" t="str">
        <f aca="false">HYPERLINK("https://mncourtfraud.com/file/MCRO_27-CR-21-13526_Order-Evaluation for Competency to Proceed (Rule 20.01)_2023-04-07_20251126164730.pdf","MCRO_27-CR-21-13526_Order-Evaluation for Competency to Proceed (Rule 20.01)_2023-04-07_20251126164730.pdf")</f>
        <v>MCRO_27-CR-21-13526_Order-Evaluation for Competency to Proceed (Rule 20.01)_2023-04-07_20251126164730.pdf</v>
      </c>
      <c r="H248" s="1" t="n">
        <v>4</v>
      </c>
      <c r="I248" s="1" t="s">
        <v>1360</v>
      </c>
      <c r="J248" s="1" t="n">
        <v>1</v>
      </c>
      <c r="K248" s="2" t="s">
        <v>1362</v>
      </c>
      <c r="L248" s="2" t="s">
        <v>1364</v>
      </c>
      <c r="M248" s="1" t="s">
        <v>1360</v>
      </c>
      <c r="N248" s="1" t="n">
        <v>0</v>
      </c>
      <c r="O248" s="2" t="n">
        <v>98.55</v>
      </c>
      <c r="P248" s="2" t="n">
        <v>98.55</v>
      </c>
      <c r="Q248" s="2" t="n">
        <v>98.55</v>
      </c>
      <c r="R248" s="1" t="n">
        <v>1</v>
      </c>
      <c r="S248" s="1" t="n">
        <v>0</v>
      </c>
      <c r="T248" s="1" t="s">
        <v>1360</v>
      </c>
      <c r="U248" s="1" t="n">
        <v>4</v>
      </c>
      <c r="V248" s="1" t="n">
        <v>0</v>
      </c>
    </row>
    <row r="249" customFormat="false" ht="18.7" hidden="false" customHeight="true" outlineLevel="0" collapsed="false">
      <c r="A249" s="1" t="n">
        <v>248</v>
      </c>
      <c r="B249" s="7" t="str">
        <f aca="false">HYPERLINK("https://mncourtfraud.com/file/27-CR-21-13526.pdf","27-CR-21-13526")</f>
        <v>27-CR-21-13526</v>
      </c>
      <c r="C249" s="1" t="n">
        <v>5</v>
      </c>
      <c r="D249" s="2" t="s">
        <v>267</v>
      </c>
      <c r="E249" s="8" t="n">
        <v>45194</v>
      </c>
      <c r="F249" s="2" t="s">
        <v>15</v>
      </c>
      <c r="G249" s="7" t="str">
        <f aca="false">HYPERLINK("https://mncourtfraud.com/file/MCRO_27-CR-21-13526_Order-Evaluation for Competency to Proceed (Rule 20.01)_2023-09-25_20251126164657.pdf","MCRO_27-CR-21-13526_Order-Evaluation for Competency to Proceed (Rule 20.01)_2023-09-25_20251126164657.pdf")</f>
        <v>MCRO_27-CR-21-13526_Order-Evaluation for Competency to Proceed (Rule 20.01)_2023-09-25_20251126164657.pdf</v>
      </c>
      <c r="H249" s="1" t="n">
        <v>4</v>
      </c>
      <c r="I249" s="1" t="s">
        <v>1360</v>
      </c>
      <c r="J249" s="1" t="n">
        <v>1</v>
      </c>
      <c r="K249" s="2" t="s">
        <v>1362</v>
      </c>
      <c r="L249" s="2" t="s">
        <v>1364</v>
      </c>
      <c r="M249" s="1" t="s">
        <v>1360</v>
      </c>
      <c r="N249" s="1" t="n">
        <v>0</v>
      </c>
      <c r="O249" s="2" t="n">
        <v>90.17</v>
      </c>
      <c r="P249" s="2" t="n">
        <v>90.17</v>
      </c>
      <c r="Q249" s="2" t="n">
        <v>90.17</v>
      </c>
      <c r="R249" s="1" t="n">
        <v>1</v>
      </c>
      <c r="S249" s="1" t="n">
        <v>0</v>
      </c>
      <c r="T249" s="1" t="s">
        <v>1360</v>
      </c>
      <c r="U249" s="1" t="n">
        <v>4</v>
      </c>
      <c r="V249" s="1" t="n">
        <v>0</v>
      </c>
    </row>
    <row r="250" customFormat="false" ht="18.7" hidden="false" customHeight="true" outlineLevel="0" collapsed="false">
      <c r="A250" s="1" t="n">
        <v>249</v>
      </c>
      <c r="B250" s="7" t="str">
        <f aca="false">HYPERLINK("https://mncourtfraud.com/file/27-CR-21-13526.pdf","27-CR-21-13526")</f>
        <v>27-CR-21-13526</v>
      </c>
      <c r="C250" s="1" t="n">
        <v>5</v>
      </c>
      <c r="D250" s="2" t="s">
        <v>267</v>
      </c>
      <c r="E250" s="8" t="n">
        <v>44733</v>
      </c>
      <c r="F250" s="2" t="s">
        <v>17</v>
      </c>
      <c r="G250" s="7" t="str">
        <f aca="false">HYPERLINK("https://mncourtfraud.com/file/MCRO_27-CR-21-13526_Returned Mail_2022-06-21_20251126164634.pdf","MCRO_27-CR-21-13526_Returned Mail_2022-06-21_20251126164634.pdf")</f>
        <v>MCRO_27-CR-21-13526_Returned Mail_2022-06-21_20251126164634.pdf</v>
      </c>
      <c r="H250" s="1" t="n">
        <v>4</v>
      </c>
      <c r="I250" s="1" t="s">
        <v>1360</v>
      </c>
      <c r="J250" s="1" t="n">
        <v>1</v>
      </c>
      <c r="K250" s="2" t="s">
        <v>1362</v>
      </c>
      <c r="L250" s="2" t="s">
        <v>1364</v>
      </c>
      <c r="M250" s="1" t="s">
        <v>1360</v>
      </c>
      <c r="N250" s="1" t="n">
        <v>0</v>
      </c>
      <c r="O250" s="2" t="n">
        <v>93.56</v>
      </c>
      <c r="P250" s="2" t="n">
        <v>93.56</v>
      </c>
      <c r="Q250" s="2" t="n">
        <v>93.56</v>
      </c>
      <c r="R250" s="1" t="n">
        <v>1</v>
      </c>
      <c r="S250" s="1" t="n">
        <v>0</v>
      </c>
      <c r="T250" s="1" t="s">
        <v>1360</v>
      </c>
      <c r="U250" s="1" t="n">
        <v>4</v>
      </c>
      <c r="V250" s="1" t="n">
        <v>0</v>
      </c>
    </row>
    <row r="251" customFormat="false" ht="18.7" hidden="false" customHeight="true" outlineLevel="0" collapsed="false">
      <c r="A251" s="1" t="n">
        <v>250</v>
      </c>
      <c r="B251" s="7" t="str">
        <f aca="false">HYPERLINK("https://mncourtfraud.com/file/27-CR-21-13526.pdf","27-CR-21-13526")</f>
        <v>27-CR-21-13526</v>
      </c>
      <c r="C251" s="1" t="n">
        <v>5</v>
      </c>
      <c r="D251" s="2" t="s">
        <v>267</v>
      </c>
      <c r="E251" s="8" t="n">
        <v>44837</v>
      </c>
      <c r="F251" s="2" t="s">
        <v>17</v>
      </c>
      <c r="G251" s="7" t="str">
        <f aca="false">HYPERLINK("https://mncourtfraud.com/file/MCRO_27-CR-21-13526_Returned Mail_2022-10-03_20251126164501.pdf","MCRO_27-CR-21-13526_Returned Mail_2022-10-03_20251126164501.pdf")</f>
        <v>MCRO_27-CR-21-13526_Returned Mail_2022-10-03_20251126164501.pdf</v>
      </c>
      <c r="H251" s="1" t="n">
        <v>4</v>
      </c>
      <c r="I251" s="1" t="s">
        <v>1360</v>
      </c>
      <c r="J251" s="1" t="n">
        <v>1</v>
      </c>
      <c r="K251" s="2" t="s">
        <v>1362</v>
      </c>
      <c r="L251" s="2" t="s">
        <v>1364</v>
      </c>
      <c r="M251" s="1" t="s">
        <v>1360</v>
      </c>
      <c r="N251" s="1" t="n">
        <v>0</v>
      </c>
      <c r="O251" s="2" t="n">
        <v>95.7</v>
      </c>
      <c r="P251" s="2" t="n">
        <v>95.7</v>
      </c>
      <c r="Q251" s="2" t="n">
        <v>95.7</v>
      </c>
      <c r="R251" s="1" t="n">
        <v>1</v>
      </c>
      <c r="S251" s="1" t="n">
        <v>0</v>
      </c>
      <c r="T251" s="1" t="s">
        <v>1360</v>
      </c>
      <c r="U251" s="1" t="n">
        <v>4</v>
      </c>
      <c r="V251" s="1" t="n">
        <v>0</v>
      </c>
    </row>
    <row r="252" customFormat="false" ht="18.7" hidden="false" customHeight="true" outlineLevel="0" collapsed="false">
      <c r="A252" s="1" t="n">
        <v>251</v>
      </c>
      <c r="B252" s="7" t="str">
        <f aca="false">HYPERLINK("https://mncourtfraud.com/file/27-CR-21-14266.pdf","27-CR-21-14266")</f>
        <v>27-CR-21-14266</v>
      </c>
      <c r="C252" s="1" t="n">
        <v>5</v>
      </c>
      <c r="D252" s="2" t="s">
        <v>267</v>
      </c>
      <c r="E252" s="8" t="n">
        <v>44873</v>
      </c>
      <c r="F252" s="2" t="s">
        <v>15</v>
      </c>
      <c r="G252" s="7" t="str">
        <f aca="false">HYPERLINK("https://mncourtfraud.com/file/MCRO_27-CR-21-14266_Order-Evaluation for Competency to Proceed (Rule 20.01)_2022-11-08_20251126164836.pdf","MCRO_27-CR-21-14266_Order-Evaluation for Competency to Proceed (Rule 20.01)_2022-11-08_20251126164836.pdf")</f>
        <v>MCRO_27-CR-21-14266_Order-Evaluation for Competency to Proceed (Rule 20.01)_2022-11-08_20251126164836.pdf</v>
      </c>
      <c r="H252" s="1" t="n">
        <v>4</v>
      </c>
      <c r="I252" s="1" t="s">
        <v>1360</v>
      </c>
      <c r="J252" s="1" t="n">
        <v>1</v>
      </c>
      <c r="K252" s="2" t="s">
        <v>1362</v>
      </c>
      <c r="L252" s="2" t="s">
        <v>1364</v>
      </c>
      <c r="M252" s="1" t="s">
        <v>1360</v>
      </c>
      <c r="N252" s="1" t="n">
        <v>0</v>
      </c>
      <c r="O252" s="2" t="n">
        <v>98.06</v>
      </c>
      <c r="P252" s="2" t="n">
        <v>98.06</v>
      </c>
      <c r="Q252" s="2" t="n">
        <v>98.06</v>
      </c>
      <c r="R252" s="1" t="n">
        <v>1</v>
      </c>
      <c r="S252" s="1" t="n">
        <v>0</v>
      </c>
      <c r="T252" s="1" t="s">
        <v>1360</v>
      </c>
      <c r="U252" s="1" t="n">
        <v>4</v>
      </c>
      <c r="V252" s="1" t="n">
        <v>0</v>
      </c>
    </row>
    <row r="253" customFormat="false" ht="18.7" hidden="false" customHeight="true" outlineLevel="0" collapsed="false">
      <c r="A253" s="1" t="n">
        <v>252</v>
      </c>
      <c r="B253" s="7" t="str">
        <f aca="false">HYPERLINK("https://mncourtfraud.com/file/27-CR-21-14266.pdf","27-CR-21-14266")</f>
        <v>27-CR-21-14266</v>
      </c>
      <c r="C253" s="1" t="n">
        <v>5</v>
      </c>
      <c r="D253" s="2" t="s">
        <v>267</v>
      </c>
      <c r="E253" s="8" t="n">
        <v>45023</v>
      </c>
      <c r="F253" s="2" t="s">
        <v>15</v>
      </c>
      <c r="G253" s="7" t="str">
        <f aca="false">HYPERLINK("https://mncourtfraud.com/file/MCRO_27-CR-21-14266_Order-Evaluation for Competency to Proceed (Rule 20.01)_2023-04-07_20251126164851.pdf","MCRO_27-CR-21-14266_Order-Evaluation for Competency to Proceed (Rule 20.01)_2023-04-07_20251126164851.pdf")</f>
        <v>MCRO_27-CR-21-14266_Order-Evaluation for Competency to Proceed (Rule 20.01)_2023-04-07_20251126164851.pdf</v>
      </c>
      <c r="H253" s="1" t="n">
        <v>4</v>
      </c>
      <c r="I253" s="1" t="s">
        <v>1360</v>
      </c>
      <c r="J253" s="1" t="n">
        <v>1</v>
      </c>
      <c r="K253" s="2" t="s">
        <v>1362</v>
      </c>
      <c r="L253" s="2" t="s">
        <v>1364</v>
      </c>
      <c r="M253" s="1" t="s">
        <v>1360</v>
      </c>
      <c r="N253" s="1" t="n">
        <v>0</v>
      </c>
      <c r="O253" s="2" t="n">
        <v>98.55</v>
      </c>
      <c r="P253" s="2" t="n">
        <v>98.55</v>
      </c>
      <c r="Q253" s="2" t="n">
        <v>98.55</v>
      </c>
      <c r="R253" s="1" t="n">
        <v>1</v>
      </c>
      <c r="S253" s="1" t="n">
        <v>0</v>
      </c>
      <c r="T253" s="1" t="s">
        <v>1360</v>
      </c>
      <c r="U253" s="1" t="n">
        <v>4</v>
      </c>
      <c r="V253" s="1" t="n">
        <v>0</v>
      </c>
    </row>
    <row r="254" customFormat="false" ht="18.7" hidden="false" customHeight="true" outlineLevel="0" collapsed="false">
      <c r="A254" s="1" t="n">
        <v>253</v>
      </c>
      <c r="B254" s="7" t="str">
        <f aca="false">HYPERLINK("https://mncourtfraud.com/file/27-CR-21-14266.pdf","27-CR-21-14266")</f>
        <v>27-CR-21-14266</v>
      </c>
      <c r="C254" s="1" t="n">
        <v>5</v>
      </c>
      <c r="D254" s="2" t="s">
        <v>267</v>
      </c>
      <c r="E254" s="8" t="n">
        <v>45194</v>
      </c>
      <c r="F254" s="2" t="s">
        <v>15</v>
      </c>
      <c r="G254" s="7" t="str">
        <f aca="false">HYPERLINK("https://mncourtfraud.com/file/MCRO_27-CR-21-14266_Order-Evaluation for Competency to Proceed (Rule 20.01)_2023-09-25_20251126164823.pdf","MCRO_27-CR-21-14266_Order-Evaluation for Competency to Proceed (Rule 20.01)_2023-09-25_20251126164823.pdf")</f>
        <v>MCRO_27-CR-21-14266_Order-Evaluation for Competency to Proceed (Rule 20.01)_2023-09-25_20251126164823.pdf</v>
      </c>
      <c r="H254" s="1" t="n">
        <v>4</v>
      </c>
      <c r="I254" s="1" t="s">
        <v>1360</v>
      </c>
      <c r="J254" s="1" t="n">
        <v>1</v>
      </c>
      <c r="K254" s="2" t="s">
        <v>1362</v>
      </c>
      <c r="L254" s="2" t="s">
        <v>1364</v>
      </c>
      <c r="M254" s="1" t="s">
        <v>1360</v>
      </c>
      <c r="N254" s="1" t="n">
        <v>0</v>
      </c>
      <c r="O254" s="2" t="n">
        <v>90.17</v>
      </c>
      <c r="P254" s="2" t="n">
        <v>90.17</v>
      </c>
      <c r="Q254" s="2" t="n">
        <v>90.17</v>
      </c>
      <c r="R254" s="1" t="n">
        <v>1</v>
      </c>
      <c r="S254" s="1" t="n">
        <v>0</v>
      </c>
      <c r="T254" s="1" t="s">
        <v>1360</v>
      </c>
      <c r="U254" s="1" t="n">
        <v>4</v>
      </c>
      <c r="V254" s="1" t="n">
        <v>0</v>
      </c>
    </row>
    <row r="255" customFormat="false" ht="18.7" hidden="false" customHeight="true" outlineLevel="0" collapsed="false">
      <c r="A255" s="1" t="n">
        <v>254</v>
      </c>
      <c r="B255" s="7" t="str">
        <f aca="false">HYPERLINK("https://mncourtfraud.com/file/27-CR-21-14266.pdf","27-CR-21-14266")</f>
        <v>27-CR-21-14266</v>
      </c>
      <c r="C255" s="1" t="n">
        <v>5</v>
      </c>
      <c r="D255" s="2" t="s">
        <v>267</v>
      </c>
      <c r="E255" s="8" t="n">
        <v>44733</v>
      </c>
      <c r="F255" s="2" t="s">
        <v>17</v>
      </c>
      <c r="G255" s="7" t="str">
        <f aca="false">HYPERLINK("https://mncourtfraud.com/file/MCRO_27-CR-21-14266_Returned Mail_2022-06-21_20251126164918.pdf","MCRO_27-CR-21-14266_Returned Mail_2022-06-21_20251126164918.pdf")</f>
        <v>MCRO_27-CR-21-14266_Returned Mail_2022-06-21_20251126164918.pdf</v>
      </c>
      <c r="H255" s="1" t="n">
        <v>4</v>
      </c>
      <c r="I255" s="1" t="s">
        <v>1360</v>
      </c>
      <c r="J255" s="1" t="n">
        <v>1</v>
      </c>
      <c r="K255" s="2" t="s">
        <v>1362</v>
      </c>
      <c r="L255" s="2" t="s">
        <v>1364</v>
      </c>
      <c r="M255" s="1" t="s">
        <v>1360</v>
      </c>
      <c r="N255" s="1" t="n">
        <v>0</v>
      </c>
      <c r="O255" s="2" t="n">
        <v>93.56</v>
      </c>
      <c r="P255" s="2" t="n">
        <v>93.56</v>
      </c>
      <c r="Q255" s="2" t="n">
        <v>93.56</v>
      </c>
      <c r="R255" s="1" t="n">
        <v>1</v>
      </c>
      <c r="S255" s="1" t="n">
        <v>0</v>
      </c>
      <c r="T255" s="1" t="s">
        <v>1360</v>
      </c>
      <c r="U255" s="1" t="n">
        <v>4</v>
      </c>
      <c r="V255" s="1" t="n">
        <v>0</v>
      </c>
    </row>
    <row r="256" customFormat="false" ht="18.7" hidden="false" customHeight="true" outlineLevel="0" collapsed="false">
      <c r="A256" s="1" t="n">
        <v>255</v>
      </c>
      <c r="B256" s="7" t="str">
        <f aca="false">HYPERLINK("https://mncourtfraud.com/file/27-CR-21-14266.pdf","27-CR-21-14266")</f>
        <v>27-CR-21-14266</v>
      </c>
      <c r="C256" s="1" t="n">
        <v>5</v>
      </c>
      <c r="D256" s="2" t="s">
        <v>267</v>
      </c>
      <c r="E256" s="8" t="n">
        <v>44837</v>
      </c>
      <c r="F256" s="2" t="s">
        <v>17</v>
      </c>
      <c r="G256" s="7" t="str">
        <f aca="false">HYPERLINK("https://mncourtfraud.com/file/MCRO_27-CR-21-14266_Returned Mail_2022-10-03_20251126164905.pdf","MCRO_27-CR-21-14266_Returned Mail_2022-10-03_20251126164905.pdf")</f>
        <v>MCRO_27-CR-21-14266_Returned Mail_2022-10-03_20251126164905.pdf</v>
      </c>
      <c r="H256" s="1" t="n">
        <v>4</v>
      </c>
      <c r="I256" s="1" t="s">
        <v>1360</v>
      </c>
      <c r="J256" s="1" t="n">
        <v>1</v>
      </c>
      <c r="K256" s="2" t="s">
        <v>1362</v>
      </c>
      <c r="L256" s="2" t="s">
        <v>1364</v>
      </c>
      <c r="M256" s="1" t="s">
        <v>1360</v>
      </c>
      <c r="N256" s="1" t="n">
        <v>0</v>
      </c>
      <c r="O256" s="2" t="n">
        <v>95.7</v>
      </c>
      <c r="P256" s="2" t="n">
        <v>95.7</v>
      </c>
      <c r="Q256" s="2" t="n">
        <v>95.7</v>
      </c>
      <c r="R256" s="1" t="n">
        <v>1</v>
      </c>
      <c r="S256" s="1" t="n">
        <v>0</v>
      </c>
      <c r="T256" s="1" t="s">
        <v>1360</v>
      </c>
      <c r="U256" s="1" t="n">
        <v>4</v>
      </c>
      <c r="V256" s="1" t="n">
        <v>0</v>
      </c>
    </row>
    <row r="257" customFormat="false" ht="18.7" hidden="false" customHeight="true" outlineLevel="0" collapsed="false">
      <c r="A257" s="1" t="n">
        <v>256</v>
      </c>
      <c r="B257" s="7" t="str">
        <f aca="false">HYPERLINK("https://mncourtfraud.com/file/27-CR-21-17656.pdf","27-CR-21-17656")</f>
        <v>27-CR-21-17656</v>
      </c>
      <c r="C257" s="1" t="n">
        <v>5</v>
      </c>
      <c r="D257" s="2" t="s">
        <v>267</v>
      </c>
      <c r="E257" s="8" t="n">
        <v>44873</v>
      </c>
      <c r="F257" s="2" t="s">
        <v>15</v>
      </c>
      <c r="G257" s="7" t="str">
        <f aca="false">HYPERLINK("https://mncourtfraud.com/file/MCRO_27-CR-21-17656_Order-Evaluation for Competency to Proceed (Rule 20.01)_2022-11-08_20251126165032.pdf","MCRO_27-CR-21-17656_Order-Evaluation for Competency to Proceed (Rule 20.01)_2022-11-08_20251126165032.pdf")</f>
        <v>MCRO_27-CR-21-17656_Order-Evaluation for Competency to Proceed (Rule 20.01)_2022-11-08_20251126165032.pdf</v>
      </c>
      <c r="H257" s="1" t="n">
        <v>4</v>
      </c>
      <c r="I257" s="1" t="s">
        <v>1360</v>
      </c>
      <c r="J257" s="1" t="n">
        <v>1</v>
      </c>
      <c r="K257" s="2" t="s">
        <v>1362</v>
      </c>
      <c r="L257" s="2" t="s">
        <v>1364</v>
      </c>
      <c r="M257" s="1" t="s">
        <v>1360</v>
      </c>
      <c r="N257" s="1" t="n">
        <v>0</v>
      </c>
      <c r="O257" s="2" t="n">
        <v>98.06</v>
      </c>
      <c r="P257" s="2" t="n">
        <v>98.06</v>
      </c>
      <c r="Q257" s="2" t="n">
        <v>98.06</v>
      </c>
      <c r="R257" s="1" t="n">
        <v>1</v>
      </c>
      <c r="S257" s="1" t="n">
        <v>0</v>
      </c>
      <c r="T257" s="1" t="s">
        <v>1360</v>
      </c>
      <c r="U257" s="1" t="n">
        <v>4</v>
      </c>
      <c r="V257" s="1" t="n">
        <v>0</v>
      </c>
    </row>
    <row r="258" customFormat="false" ht="18.7" hidden="false" customHeight="true" outlineLevel="0" collapsed="false">
      <c r="A258" s="1" t="n">
        <v>257</v>
      </c>
      <c r="B258" s="7" t="str">
        <f aca="false">HYPERLINK("https://mncourtfraud.com/file/27-CR-21-17656.pdf","27-CR-21-17656")</f>
        <v>27-CR-21-17656</v>
      </c>
      <c r="C258" s="1" t="n">
        <v>5</v>
      </c>
      <c r="D258" s="2" t="s">
        <v>267</v>
      </c>
      <c r="E258" s="8" t="n">
        <v>45023</v>
      </c>
      <c r="F258" s="2" t="s">
        <v>15</v>
      </c>
      <c r="G258" s="7" t="str">
        <f aca="false">HYPERLINK("https://mncourtfraud.com/file/MCRO_27-CR-21-17656_Order-Evaluation for Competency to Proceed (Rule 20.01)_2023-04-07_20251126165044.pdf","MCRO_27-CR-21-17656_Order-Evaluation for Competency to Proceed (Rule 20.01)_2023-04-07_20251126165044.pdf")</f>
        <v>MCRO_27-CR-21-17656_Order-Evaluation for Competency to Proceed (Rule 20.01)_2023-04-07_20251126165044.pdf</v>
      </c>
      <c r="H258" s="1" t="n">
        <v>4</v>
      </c>
      <c r="I258" s="1" t="s">
        <v>1360</v>
      </c>
      <c r="J258" s="1" t="n">
        <v>1</v>
      </c>
      <c r="K258" s="2" t="s">
        <v>1362</v>
      </c>
      <c r="L258" s="2" t="s">
        <v>1364</v>
      </c>
      <c r="M258" s="1" t="s">
        <v>1360</v>
      </c>
      <c r="N258" s="1" t="n">
        <v>0</v>
      </c>
      <c r="O258" s="2" t="n">
        <v>98.54</v>
      </c>
      <c r="P258" s="2" t="n">
        <v>98.54</v>
      </c>
      <c r="Q258" s="2" t="n">
        <v>98.54</v>
      </c>
      <c r="R258" s="1" t="n">
        <v>1</v>
      </c>
      <c r="S258" s="1" t="n">
        <v>0</v>
      </c>
      <c r="T258" s="1" t="s">
        <v>1360</v>
      </c>
      <c r="U258" s="1" t="n">
        <v>4</v>
      </c>
      <c r="V258" s="1" t="n">
        <v>0</v>
      </c>
    </row>
    <row r="259" customFormat="false" ht="18.7" hidden="false" customHeight="true" outlineLevel="0" collapsed="false">
      <c r="A259" s="1" t="n">
        <v>258</v>
      </c>
      <c r="B259" s="7" t="str">
        <f aca="false">HYPERLINK("https://mncourtfraud.com/file/27-CR-21-17656.pdf","27-CR-21-17656")</f>
        <v>27-CR-21-17656</v>
      </c>
      <c r="C259" s="1" t="n">
        <v>5</v>
      </c>
      <c r="D259" s="2" t="s">
        <v>267</v>
      </c>
      <c r="E259" s="8" t="n">
        <v>45194</v>
      </c>
      <c r="F259" s="2" t="s">
        <v>15</v>
      </c>
      <c r="G259" s="7" t="str">
        <f aca="false">HYPERLINK("https://mncourtfraud.com/file/MCRO_27-CR-21-17656_Order-Evaluation for Competency to Proceed (Rule 20.01)_2023-09-25_20251126165021.pdf","MCRO_27-CR-21-17656_Order-Evaluation for Competency to Proceed (Rule 20.01)_2023-09-25_20251126165021.pdf")</f>
        <v>MCRO_27-CR-21-17656_Order-Evaluation for Competency to Proceed (Rule 20.01)_2023-09-25_20251126165021.pdf</v>
      </c>
      <c r="H259" s="1" t="n">
        <v>4</v>
      </c>
      <c r="I259" s="1" t="s">
        <v>1360</v>
      </c>
      <c r="J259" s="1" t="n">
        <v>1</v>
      </c>
      <c r="K259" s="2" t="s">
        <v>1362</v>
      </c>
      <c r="L259" s="2" t="s">
        <v>1364</v>
      </c>
      <c r="M259" s="1" t="s">
        <v>1360</v>
      </c>
      <c r="N259" s="1" t="n">
        <v>0</v>
      </c>
      <c r="O259" s="2" t="n">
        <v>90.17</v>
      </c>
      <c r="P259" s="2" t="n">
        <v>90.17</v>
      </c>
      <c r="Q259" s="2" t="n">
        <v>90.17</v>
      </c>
      <c r="R259" s="1" t="n">
        <v>1</v>
      </c>
      <c r="S259" s="1" t="n">
        <v>0</v>
      </c>
      <c r="T259" s="1" t="s">
        <v>1360</v>
      </c>
      <c r="U259" s="1" t="n">
        <v>4</v>
      </c>
      <c r="V259" s="1" t="n">
        <v>0</v>
      </c>
    </row>
    <row r="260" customFormat="false" ht="18.7" hidden="false" customHeight="true" outlineLevel="0" collapsed="false">
      <c r="A260" s="1" t="n">
        <v>259</v>
      </c>
      <c r="B260" s="7" t="str">
        <f aca="false">HYPERLINK("https://mncourtfraud.com/file/27-CR-21-17656.pdf","27-CR-21-17656")</f>
        <v>27-CR-21-17656</v>
      </c>
      <c r="C260" s="1" t="n">
        <v>5</v>
      </c>
      <c r="D260" s="2" t="s">
        <v>267</v>
      </c>
      <c r="E260" s="8" t="n">
        <v>44733</v>
      </c>
      <c r="F260" s="2" t="s">
        <v>17</v>
      </c>
      <c r="G260" s="7" t="str">
        <f aca="false">HYPERLINK("https://mncourtfraud.com/file/MCRO_27-CR-21-17656_Returned Mail_2022-06-21_20251126165007.pdf","MCRO_27-CR-21-17656_Returned Mail_2022-06-21_20251126165007.pdf")</f>
        <v>MCRO_27-CR-21-17656_Returned Mail_2022-06-21_20251126165007.pdf</v>
      </c>
      <c r="H260" s="1" t="n">
        <v>4</v>
      </c>
      <c r="I260" s="1" t="s">
        <v>1360</v>
      </c>
      <c r="J260" s="1" t="n">
        <v>1</v>
      </c>
      <c r="K260" s="2" t="s">
        <v>1362</v>
      </c>
      <c r="L260" s="2" t="s">
        <v>1364</v>
      </c>
      <c r="M260" s="1" t="s">
        <v>1360</v>
      </c>
      <c r="N260" s="1" t="n">
        <v>0</v>
      </c>
      <c r="O260" s="2" t="n">
        <v>93.56</v>
      </c>
      <c r="P260" s="2" t="n">
        <v>93.56</v>
      </c>
      <c r="Q260" s="2" t="n">
        <v>93.56</v>
      </c>
      <c r="R260" s="1" t="n">
        <v>1</v>
      </c>
      <c r="S260" s="1" t="n">
        <v>0</v>
      </c>
      <c r="T260" s="1" t="s">
        <v>1360</v>
      </c>
      <c r="U260" s="1" t="n">
        <v>4</v>
      </c>
      <c r="V260" s="1" t="n">
        <v>0</v>
      </c>
    </row>
    <row r="261" customFormat="false" ht="18.7" hidden="false" customHeight="true" outlineLevel="0" collapsed="false">
      <c r="A261" s="1" t="n">
        <v>260</v>
      </c>
      <c r="B261" s="7" t="str">
        <f aca="false">HYPERLINK("https://mncourtfraud.com/file/27-CR-21-17656.pdf","27-CR-21-17656")</f>
        <v>27-CR-21-17656</v>
      </c>
      <c r="C261" s="1" t="n">
        <v>5</v>
      </c>
      <c r="D261" s="2" t="s">
        <v>267</v>
      </c>
      <c r="E261" s="8" t="n">
        <v>44837</v>
      </c>
      <c r="F261" s="2" t="s">
        <v>17</v>
      </c>
      <c r="G261" s="7" t="str">
        <f aca="false">HYPERLINK("https://mncourtfraud.com/file/MCRO_27-CR-21-17656_Returned Mail_2022-10-03_20251126164949.pdf","MCRO_27-CR-21-17656_Returned Mail_2022-10-03_20251126164949.pdf")</f>
        <v>MCRO_27-CR-21-17656_Returned Mail_2022-10-03_20251126164949.pdf</v>
      </c>
      <c r="H261" s="1" t="n">
        <v>4</v>
      </c>
      <c r="I261" s="1" t="s">
        <v>1360</v>
      </c>
      <c r="J261" s="1" t="n">
        <v>1</v>
      </c>
      <c r="K261" s="2" t="s">
        <v>1362</v>
      </c>
      <c r="L261" s="2" t="s">
        <v>1364</v>
      </c>
      <c r="M261" s="1" t="s">
        <v>1360</v>
      </c>
      <c r="N261" s="1" t="n">
        <v>0</v>
      </c>
      <c r="O261" s="2" t="n">
        <v>95.7</v>
      </c>
      <c r="P261" s="2" t="n">
        <v>95.7</v>
      </c>
      <c r="Q261" s="2" t="n">
        <v>95.7</v>
      </c>
      <c r="R261" s="1" t="n">
        <v>1</v>
      </c>
      <c r="S261" s="1" t="n">
        <v>0</v>
      </c>
      <c r="T261" s="1" t="s">
        <v>1360</v>
      </c>
      <c r="U261" s="1" t="n">
        <v>4</v>
      </c>
      <c r="V261" s="1" t="n">
        <v>0</v>
      </c>
    </row>
    <row r="262" customFormat="false" ht="18.7" hidden="false" customHeight="true" outlineLevel="0" collapsed="false">
      <c r="A262" s="1" t="n">
        <v>261</v>
      </c>
      <c r="B262" s="7" t="str">
        <f aca="false">HYPERLINK("https://mncourtfraud.com/file/27-CR-21-21707.pdf","27-CR-21-21707")</f>
        <v>27-CR-21-21707</v>
      </c>
      <c r="C262" s="1" t="n">
        <v>5</v>
      </c>
      <c r="D262" s="2" t="s">
        <v>267</v>
      </c>
      <c r="E262" s="8" t="n">
        <v>44873</v>
      </c>
      <c r="F262" s="2" t="s">
        <v>15</v>
      </c>
      <c r="G262" s="7" t="str">
        <f aca="false">HYPERLINK("https://mncourtfraud.com/file/MCRO_27-CR-21-21707_Order-Evaluation for Competency to Proceed (Rule 20.01)_2022-11-08_20251126165112.pdf","MCRO_27-CR-21-21707_Order-Evaluation for Competency to Proceed (Rule 20.01)_2022-11-08_20251126165112.pdf")</f>
        <v>MCRO_27-CR-21-21707_Order-Evaluation for Competency to Proceed (Rule 20.01)_2022-11-08_20251126165112.pdf</v>
      </c>
      <c r="H262" s="1" t="n">
        <v>4</v>
      </c>
      <c r="I262" s="1" t="s">
        <v>1360</v>
      </c>
      <c r="J262" s="1" t="n">
        <v>1</v>
      </c>
      <c r="K262" s="2" t="s">
        <v>1362</v>
      </c>
      <c r="L262" s="2" t="s">
        <v>1364</v>
      </c>
      <c r="M262" s="1" t="s">
        <v>1360</v>
      </c>
      <c r="N262" s="1" t="n">
        <v>0</v>
      </c>
      <c r="O262" s="2" t="n">
        <v>98.06</v>
      </c>
      <c r="P262" s="2" t="n">
        <v>98.06</v>
      </c>
      <c r="Q262" s="2" t="n">
        <v>98.06</v>
      </c>
      <c r="R262" s="1" t="n">
        <v>1</v>
      </c>
      <c r="S262" s="1" t="n">
        <v>0</v>
      </c>
      <c r="T262" s="1" t="s">
        <v>1360</v>
      </c>
      <c r="U262" s="1" t="n">
        <v>4</v>
      </c>
      <c r="V262" s="1" t="n">
        <v>0</v>
      </c>
    </row>
    <row r="263" customFormat="false" ht="18.7" hidden="false" customHeight="true" outlineLevel="0" collapsed="false">
      <c r="A263" s="1" t="n">
        <v>262</v>
      </c>
      <c r="B263" s="7" t="str">
        <f aca="false">HYPERLINK("https://mncourtfraud.com/file/27-CR-21-21707.pdf","27-CR-21-21707")</f>
        <v>27-CR-21-21707</v>
      </c>
      <c r="C263" s="1" t="n">
        <v>5</v>
      </c>
      <c r="D263" s="2" t="s">
        <v>267</v>
      </c>
      <c r="E263" s="8" t="n">
        <v>45023</v>
      </c>
      <c r="F263" s="2" t="s">
        <v>15</v>
      </c>
      <c r="G263" s="7" t="str">
        <f aca="false">HYPERLINK("https://mncourtfraud.com/file/MCRO_27-CR-21-21707_Order-Evaluation for Competency to Proceed (Rule 20.01)_2023-04-07_20251126165123.pdf","MCRO_27-CR-21-21707_Order-Evaluation for Competency to Proceed (Rule 20.01)_2023-04-07_20251126165123.pdf")</f>
        <v>MCRO_27-CR-21-21707_Order-Evaluation for Competency to Proceed (Rule 20.01)_2023-04-07_20251126165123.pdf</v>
      </c>
      <c r="H263" s="1" t="n">
        <v>4</v>
      </c>
      <c r="I263" s="1" t="s">
        <v>1360</v>
      </c>
      <c r="J263" s="1" t="n">
        <v>1</v>
      </c>
      <c r="K263" s="2" t="s">
        <v>1362</v>
      </c>
      <c r="L263" s="2" t="s">
        <v>1364</v>
      </c>
      <c r="M263" s="1" t="s">
        <v>1360</v>
      </c>
      <c r="N263" s="1" t="n">
        <v>0</v>
      </c>
      <c r="O263" s="2" t="n">
        <v>98.54</v>
      </c>
      <c r="P263" s="2" t="n">
        <v>98.54</v>
      </c>
      <c r="Q263" s="2" t="n">
        <v>98.54</v>
      </c>
      <c r="R263" s="1" t="n">
        <v>1</v>
      </c>
      <c r="S263" s="1" t="n">
        <v>0</v>
      </c>
      <c r="T263" s="1" t="s">
        <v>1360</v>
      </c>
      <c r="U263" s="1" t="n">
        <v>4</v>
      </c>
      <c r="V263" s="1" t="n">
        <v>0</v>
      </c>
    </row>
    <row r="264" customFormat="false" ht="18.7" hidden="false" customHeight="true" outlineLevel="0" collapsed="false">
      <c r="A264" s="1" t="n">
        <v>263</v>
      </c>
      <c r="B264" s="7" t="str">
        <f aca="false">HYPERLINK("https://mncourtfraud.com/file/27-CR-21-21707.pdf","27-CR-21-21707")</f>
        <v>27-CR-21-21707</v>
      </c>
      <c r="C264" s="1" t="n">
        <v>5</v>
      </c>
      <c r="D264" s="2" t="s">
        <v>267</v>
      </c>
      <c r="E264" s="8" t="n">
        <v>45194</v>
      </c>
      <c r="F264" s="2" t="s">
        <v>15</v>
      </c>
      <c r="G264" s="7" t="str">
        <f aca="false">HYPERLINK("https://mncourtfraud.com/file/MCRO_27-CR-21-21707_Order-Evaluation for Competency to Proceed (Rule 20.01)_2023-09-25_20251126165133.pdf","MCRO_27-CR-21-21707_Order-Evaluation for Competency to Proceed (Rule 20.01)_2023-09-25_20251126165133.pdf")</f>
        <v>MCRO_27-CR-21-21707_Order-Evaluation for Competency to Proceed (Rule 20.01)_2023-09-25_20251126165133.pdf</v>
      </c>
      <c r="H264" s="1" t="n">
        <v>4</v>
      </c>
      <c r="I264" s="1" t="s">
        <v>1360</v>
      </c>
      <c r="J264" s="1" t="n">
        <v>1</v>
      </c>
      <c r="K264" s="2" t="s">
        <v>1362</v>
      </c>
      <c r="L264" s="2" t="s">
        <v>1364</v>
      </c>
      <c r="M264" s="1" t="s">
        <v>1360</v>
      </c>
      <c r="N264" s="1" t="n">
        <v>0</v>
      </c>
      <c r="O264" s="2" t="n">
        <v>90.17</v>
      </c>
      <c r="P264" s="2" t="n">
        <v>90.17</v>
      </c>
      <c r="Q264" s="2" t="n">
        <v>90.17</v>
      </c>
      <c r="R264" s="1" t="n">
        <v>1</v>
      </c>
      <c r="S264" s="1" t="n">
        <v>0</v>
      </c>
      <c r="T264" s="1" t="s">
        <v>1360</v>
      </c>
      <c r="U264" s="1" t="n">
        <v>4</v>
      </c>
      <c r="V264" s="1" t="n">
        <v>0</v>
      </c>
    </row>
    <row r="265" customFormat="false" ht="18.7" hidden="false" customHeight="true" outlineLevel="0" collapsed="false">
      <c r="A265" s="1" t="n">
        <v>264</v>
      </c>
      <c r="B265" s="7" t="str">
        <f aca="false">HYPERLINK("https://mncourtfraud.com/file/27-CR-21-21707.pdf","27-CR-21-21707")</f>
        <v>27-CR-21-21707</v>
      </c>
      <c r="C265" s="1" t="n">
        <v>5</v>
      </c>
      <c r="D265" s="2" t="s">
        <v>267</v>
      </c>
      <c r="E265" s="8" t="n">
        <v>44733</v>
      </c>
      <c r="F265" s="2" t="s">
        <v>17</v>
      </c>
      <c r="G265" s="7" t="str">
        <f aca="false">HYPERLINK("https://mncourtfraud.com/file/MCRO_27-CR-21-21707_Returned Mail_2022-06-21_20251126165201.pdf","MCRO_27-CR-21-21707_Returned Mail_2022-06-21_20251126165201.pdf")</f>
        <v>MCRO_27-CR-21-21707_Returned Mail_2022-06-21_20251126165201.pdf</v>
      </c>
      <c r="H265" s="1" t="n">
        <v>4</v>
      </c>
      <c r="I265" s="1" t="s">
        <v>1360</v>
      </c>
      <c r="J265" s="1" t="n">
        <v>1</v>
      </c>
      <c r="K265" s="2" t="s">
        <v>1362</v>
      </c>
      <c r="L265" s="2" t="s">
        <v>1364</v>
      </c>
      <c r="M265" s="1" t="s">
        <v>1360</v>
      </c>
      <c r="N265" s="1" t="n">
        <v>0</v>
      </c>
      <c r="O265" s="2" t="n">
        <v>93.56</v>
      </c>
      <c r="P265" s="2" t="n">
        <v>93.56</v>
      </c>
      <c r="Q265" s="2" t="n">
        <v>93.56</v>
      </c>
      <c r="R265" s="1" t="n">
        <v>1</v>
      </c>
      <c r="S265" s="1" t="n">
        <v>0</v>
      </c>
      <c r="T265" s="1" t="s">
        <v>1360</v>
      </c>
      <c r="U265" s="1" t="n">
        <v>4</v>
      </c>
      <c r="V265" s="1" t="n">
        <v>0</v>
      </c>
    </row>
    <row r="266" customFormat="false" ht="18.7" hidden="false" customHeight="true" outlineLevel="0" collapsed="false">
      <c r="A266" s="1" t="n">
        <v>265</v>
      </c>
      <c r="B266" s="7" t="str">
        <f aca="false">HYPERLINK("https://mncourtfraud.com/file/27-CR-21-21707.pdf","27-CR-21-21707")</f>
        <v>27-CR-21-21707</v>
      </c>
      <c r="C266" s="1" t="n">
        <v>5</v>
      </c>
      <c r="D266" s="2" t="s">
        <v>267</v>
      </c>
      <c r="E266" s="8" t="n">
        <v>44837</v>
      </c>
      <c r="F266" s="2" t="s">
        <v>17</v>
      </c>
      <c r="G266" s="7" t="str">
        <f aca="false">HYPERLINK("https://mncourtfraud.com/file/MCRO_27-CR-21-21707_Returned Mail_2022-10-03_20251126165146.pdf","MCRO_27-CR-21-21707_Returned Mail_2022-10-03_20251126165146.pdf")</f>
        <v>MCRO_27-CR-21-21707_Returned Mail_2022-10-03_20251126165146.pdf</v>
      </c>
      <c r="H266" s="1" t="n">
        <v>4</v>
      </c>
      <c r="I266" s="1" t="s">
        <v>1360</v>
      </c>
      <c r="J266" s="1" t="n">
        <v>1</v>
      </c>
      <c r="K266" s="2" t="s">
        <v>1362</v>
      </c>
      <c r="L266" s="2" t="s">
        <v>1364</v>
      </c>
      <c r="M266" s="1" t="s">
        <v>1360</v>
      </c>
      <c r="N266" s="1" t="n">
        <v>0</v>
      </c>
      <c r="O266" s="2" t="n">
        <v>95.7</v>
      </c>
      <c r="P266" s="2" t="n">
        <v>95.7</v>
      </c>
      <c r="Q266" s="2" t="n">
        <v>95.7</v>
      </c>
      <c r="R266" s="1" t="n">
        <v>1</v>
      </c>
      <c r="S266" s="1" t="n">
        <v>0</v>
      </c>
      <c r="T266" s="1" t="s">
        <v>1360</v>
      </c>
      <c r="U266" s="1" t="n">
        <v>4</v>
      </c>
      <c r="V266" s="1" t="n">
        <v>0</v>
      </c>
    </row>
    <row r="267" customFormat="false" ht="18.7" hidden="false" customHeight="true" outlineLevel="0" collapsed="false">
      <c r="A267" s="1" t="n">
        <v>266</v>
      </c>
      <c r="B267" s="7" t="str">
        <f aca="false">HYPERLINK("https://mncourtfraud.com/file/27-CR-21-21833.pdf","27-CR-21-21833")</f>
        <v>27-CR-21-21833</v>
      </c>
      <c r="C267" s="1" t="n">
        <v>5</v>
      </c>
      <c r="D267" s="2" t="s">
        <v>267</v>
      </c>
      <c r="E267" s="8" t="n">
        <v>44873</v>
      </c>
      <c r="F267" s="2" t="s">
        <v>15</v>
      </c>
      <c r="G267" s="7" t="str">
        <f aca="false">HYPERLINK("https://mncourtfraud.com/file/MCRO_27-CR-21-21833_Order-Evaluation for Competency to Proceed (Rule 20.01)_2022-11-08_20251126165318.pdf","MCRO_27-CR-21-21833_Order-Evaluation for Competency to Proceed (Rule 20.01)_2022-11-08_20251126165318.pdf")</f>
        <v>MCRO_27-CR-21-21833_Order-Evaluation for Competency to Proceed (Rule 20.01)_2022-11-08_20251126165318.pdf</v>
      </c>
      <c r="H267" s="1" t="n">
        <v>4</v>
      </c>
      <c r="I267" s="1" t="s">
        <v>1360</v>
      </c>
      <c r="J267" s="1" t="n">
        <v>1</v>
      </c>
      <c r="K267" s="2" t="s">
        <v>1362</v>
      </c>
      <c r="L267" s="2" t="s">
        <v>1364</v>
      </c>
      <c r="M267" s="1" t="s">
        <v>1360</v>
      </c>
      <c r="N267" s="1" t="n">
        <v>0</v>
      </c>
      <c r="O267" s="2" t="n">
        <v>98.06</v>
      </c>
      <c r="P267" s="2" t="n">
        <v>98.06</v>
      </c>
      <c r="Q267" s="2" t="n">
        <v>98.06</v>
      </c>
      <c r="R267" s="1" t="n">
        <v>1</v>
      </c>
      <c r="S267" s="1" t="n">
        <v>0</v>
      </c>
      <c r="T267" s="1" t="s">
        <v>1360</v>
      </c>
      <c r="U267" s="1" t="n">
        <v>4</v>
      </c>
      <c r="V267" s="1" t="n">
        <v>0</v>
      </c>
    </row>
    <row r="268" customFormat="false" ht="18.7" hidden="false" customHeight="true" outlineLevel="0" collapsed="false">
      <c r="A268" s="1" t="n">
        <v>267</v>
      </c>
      <c r="B268" s="7" t="str">
        <f aca="false">HYPERLINK("https://mncourtfraud.com/file/27-CR-21-21833.pdf","27-CR-21-21833")</f>
        <v>27-CR-21-21833</v>
      </c>
      <c r="C268" s="1" t="n">
        <v>5</v>
      </c>
      <c r="D268" s="2" t="s">
        <v>267</v>
      </c>
      <c r="E268" s="8" t="n">
        <v>45023</v>
      </c>
      <c r="F268" s="2" t="s">
        <v>15</v>
      </c>
      <c r="G268" s="7" t="str">
        <f aca="false">HYPERLINK("https://mncourtfraud.com/file/MCRO_27-CR-21-21833_Order-Evaluation for Competency to Proceed (Rule 20.01)_2023-04-07_20251126165327.pdf","MCRO_27-CR-21-21833_Order-Evaluation for Competency to Proceed (Rule 20.01)_2023-04-07_20251126165327.pdf")</f>
        <v>MCRO_27-CR-21-21833_Order-Evaluation for Competency to Proceed (Rule 20.01)_2023-04-07_20251126165327.pdf</v>
      </c>
      <c r="H268" s="1" t="n">
        <v>4</v>
      </c>
      <c r="I268" s="1" t="s">
        <v>1360</v>
      </c>
      <c r="J268" s="1" t="n">
        <v>1</v>
      </c>
      <c r="K268" s="2" t="s">
        <v>1362</v>
      </c>
      <c r="L268" s="2" t="s">
        <v>1364</v>
      </c>
      <c r="M268" s="1" t="s">
        <v>1360</v>
      </c>
      <c r="N268" s="1" t="n">
        <v>0</v>
      </c>
      <c r="O268" s="2" t="n">
        <v>98.54</v>
      </c>
      <c r="P268" s="2" t="n">
        <v>98.54</v>
      </c>
      <c r="Q268" s="2" t="n">
        <v>98.54</v>
      </c>
      <c r="R268" s="1" t="n">
        <v>1</v>
      </c>
      <c r="S268" s="1" t="n">
        <v>0</v>
      </c>
      <c r="T268" s="1" t="s">
        <v>1360</v>
      </c>
      <c r="U268" s="1" t="n">
        <v>4</v>
      </c>
      <c r="V268" s="1" t="n">
        <v>0</v>
      </c>
    </row>
    <row r="269" customFormat="false" ht="18.7" hidden="false" customHeight="true" outlineLevel="0" collapsed="false">
      <c r="A269" s="1" t="n">
        <v>268</v>
      </c>
      <c r="B269" s="7" t="str">
        <f aca="false">HYPERLINK("https://mncourtfraud.com/file/27-CR-21-21833.pdf","27-CR-21-21833")</f>
        <v>27-CR-21-21833</v>
      </c>
      <c r="C269" s="1" t="n">
        <v>5</v>
      </c>
      <c r="D269" s="2" t="s">
        <v>267</v>
      </c>
      <c r="E269" s="8" t="n">
        <v>45194</v>
      </c>
      <c r="F269" s="2" t="s">
        <v>15</v>
      </c>
      <c r="G269" s="7" t="str">
        <f aca="false">HYPERLINK("https://mncourtfraud.com/file/MCRO_27-CR-21-21833_Order-Evaluation for Competency to Proceed (Rule 20.01)_2023-09-25_20251126165306.pdf","MCRO_27-CR-21-21833_Order-Evaluation for Competency to Proceed (Rule 20.01)_2023-09-25_20251126165306.pdf")</f>
        <v>MCRO_27-CR-21-21833_Order-Evaluation for Competency to Proceed (Rule 20.01)_2023-09-25_20251126165306.pdf</v>
      </c>
      <c r="H269" s="1" t="n">
        <v>4</v>
      </c>
      <c r="I269" s="1" t="s">
        <v>1360</v>
      </c>
      <c r="J269" s="1" t="n">
        <v>1</v>
      </c>
      <c r="K269" s="2" t="s">
        <v>1362</v>
      </c>
      <c r="L269" s="2" t="s">
        <v>1364</v>
      </c>
      <c r="M269" s="1" t="s">
        <v>1360</v>
      </c>
      <c r="N269" s="1" t="n">
        <v>0</v>
      </c>
      <c r="O269" s="2" t="n">
        <v>90.17</v>
      </c>
      <c r="P269" s="2" t="n">
        <v>90.17</v>
      </c>
      <c r="Q269" s="2" t="n">
        <v>90.17</v>
      </c>
      <c r="R269" s="1" t="n">
        <v>1</v>
      </c>
      <c r="S269" s="1" t="n">
        <v>0</v>
      </c>
      <c r="T269" s="1" t="s">
        <v>1360</v>
      </c>
      <c r="U269" s="1" t="n">
        <v>4</v>
      </c>
      <c r="V269" s="1" t="n">
        <v>0</v>
      </c>
    </row>
    <row r="270" customFormat="false" ht="18.7" hidden="false" customHeight="true" outlineLevel="0" collapsed="false">
      <c r="A270" s="1" t="n">
        <v>269</v>
      </c>
      <c r="B270" s="7" t="str">
        <f aca="false">HYPERLINK("https://mncourtfraud.com/file/27-CR-21-21833.pdf","27-CR-21-21833")</f>
        <v>27-CR-21-21833</v>
      </c>
      <c r="C270" s="1" t="n">
        <v>5</v>
      </c>
      <c r="D270" s="2" t="s">
        <v>267</v>
      </c>
      <c r="E270" s="8" t="n">
        <v>44733</v>
      </c>
      <c r="F270" s="2" t="s">
        <v>17</v>
      </c>
      <c r="G270" s="7" t="str">
        <f aca="false">HYPERLINK("https://mncourtfraud.com/file/MCRO_27-CR-21-21833_Returned Mail_2022-06-21_20251126165240.pdf","MCRO_27-CR-21-21833_Returned Mail_2022-06-21_20251126165240.pdf")</f>
        <v>MCRO_27-CR-21-21833_Returned Mail_2022-06-21_20251126165240.pdf</v>
      </c>
      <c r="H270" s="1" t="n">
        <v>4</v>
      </c>
      <c r="I270" s="1" t="s">
        <v>1360</v>
      </c>
      <c r="J270" s="1" t="n">
        <v>1</v>
      </c>
      <c r="K270" s="2" t="s">
        <v>1362</v>
      </c>
      <c r="L270" s="2" t="s">
        <v>1364</v>
      </c>
      <c r="M270" s="1" t="s">
        <v>1360</v>
      </c>
      <c r="N270" s="1" t="n">
        <v>0</v>
      </c>
      <c r="O270" s="2" t="n">
        <v>93.56</v>
      </c>
      <c r="P270" s="2" t="n">
        <v>93.56</v>
      </c>
      <c r="Q270" s="2" t="n">
        <v>93.56</v>
      </c>
      <c r="R270" s="1" t="n">
        <v>1</v>
      </c>
      <c r="S270" s="1" t="n">
        <v>0</v>
      </c>
      <c r="T270" s="1" t="s">
        <v>1360</v>
      </c>
      <c r="U270" s="1" t="n">
        <v>4</v>
      </c>
      <c r="V270" s="1" t="n">
        <v>0</v>
      </c>
    </row>
    <row r="271" customFormat="false" ht="18.7" hidden="false" customHeight="true" outlineLevel="0" collapsed="false">
      <c r="A271" s="1" t="n">
        <v>270</v>
      </c>
      <c r="B271" s="7" t="str">
        <f aca="false">HYPERLINK("https://mncourtfraud.com/file/27-CR-21-21833.pdf","27-CR-21-21833")</f>
        <v>27-CR-21-21833</v>
      </c>
      <c r="C271" s="1" t="n">
        <v>5</v>
      </c>
      <c r="D271" s="2" t="s">
        <v>267</v>
      </c>
      <c r="E271" s="8" t="n">
        <v>44837</v>
      </c>
      <c r="F271" s="2" t="s">
        <v>17</v>
      </c>
      <c r="G271" s="7" t="str">
        <f aca="false">HYPERLINK("https://mncourtfraud.com/file/MCRO_27-CR-21-21833_Returned Mail_2022-10-03_20251126165252.pdf","MCRO_27-CR-21-21833_Returned Mail_2022-10-03_20251126165252.pdf")</f>
        <v>MCRO_27-CR-21-21833_Returned Mail_2022-10-03_20251126165252.pdf</v>
      </c>
      <c r="H271" s="1" t="n">
        <v>4</v>
      </c>
      <c r="I271" s="1" t="s">
        <v>1360</v>
      </c>
      <c r="J271" s="1" t="n">
        <v>1</v>
      </c>
      <c r="K271" s="2" t="s">
        <v>1362</v>
      </c>
      <c r="L271" s="2" t="s">
        <v>1364</v>
      </c>
      <c r="M271" s="1" t="s">
        <v>1360</v>
      </c>
      <c r="N271" s="1" t="n">
        <v>0</v>
      </c>
      <c r="O271" s="2" t="n">
        <v>95.7</v>
      </c>
      <c r="P271" s="2" t="n">
        <v>95.7</v>
      </c>
      <c r="Q271" s="2" t="n">
        <v>95.7</v>
      </c>
      <c r="R271" s="1" t="n">
        <v>1</v>
      </c>
      <c r="S271" s="1" t="n">
        <v>0</v>
      </c>
      <c r="T271" s="1" t="s">
        <v>1360</v>
      </c>
      <c r="U271" s="1" t="n">
        <v>4</v>
      </c>
      <c r="V271" s="1" t="n">
        <v>0</v>
      </c>
    </row>
    <row r="272" customFormat="false" ht="18.7" hidden="false" customHeight="true" outlineLevel="0" collapsed="false">
      <c r="A272" s="1" t="n">
        <v>271</v>
      </c>
      <c r="B272" s="7" t="str">
        <f aca="false">HYPERLINK("https://mncourtfraud.com/file/27-CR-21-22737.pdf","27-CR-21-22737")</f>
        <v>27-CR-21-22737</v>
      </c>
      <c r="C272" s="1" t="n">
        <v>5</v>
      </c>
      <c r="D272" s="2" t="s">
        <v>267</v>
      </c>
      <c r="E272" s="8" t="n">
        <v>44873</v>
      </c>
      <c r="F272" s="2" t="s">
        <v>15</v>
      </c>
      <c r="G272" s="7" t="str">
        <f aca="false">HYPERLINK("https://mncourtfraud.com/file/MCRO_27-CR-21-22737_Order-Evaluation for Competency to Proceed (Rule 20.01)_2022-11-08_20251126165353.pdf","MCRO_27-CR-21-22737_Order-Evaluation for Competency to Proceed (Rule 20.01)_2022-11-08_20251126165353.pdf")</f>
        <v>MCRO_27-CR-21-22737_Order-Evaluation for Competency to Proceed (Rule 20.01)_2022-11-08_20251126165353.pdf</v>
      </c>
      <c r="H272" s="1" t="n">
        <v>4</v>
      </c>
      <c r="I272" s="1" t="s">
        <v>1360</v>
      </c>
      <c r="J272" s="1" t="n">
        <v>1</v>
      </c>
      <c r="K272" s="2" t="s">
        <v>1362</v>
      </c>
      <c r="L272" s="2" t="s">
        <v>1364</v>
      </c>
      <c r="M272" s="1" t="s">
        <v>1360</v>
      </c>
      <c r="N272" s="1" t="n">
        <v>0</v>
      </c>
      <c r="O272" s="2" t="n">
        <v>98.06</v>
      </c>
      <c r="P272" s="2" t="n">
        <v>98.06</v>
      </c>
      <c r="Q272" s="2" t="n">
        <v>98.06</v>
      </c>
      <c r="R272" s="1" t="n">
        <v>1</v>
      </c>
      <c r="S272" s="1" t="n">
        <v>0</v>
      </c>
      <c r="T272" s="1" t="s">
        <v>1360</v>
      </c>
      <c r="U272" s="1" t="n">
        <v>4</v>
      </c>
      <c r="V272" s="1" t="n">
        <v>0</v>
      </c>
    </row>
    <row r="273" customFormat="false" ht="18.7" hidden="false" customHeight="true" outlineLevel="0" collapsed="false">
      <c r="A273" s="1" t="n">
        <v>272</v>
      </c>
      <c r="B273" s="7" t="str">
        <f aca="false">HYPERLINK("https://mncourtfraud.com/file/27-CR-21-22737.pdf","27-CR-21-22737")</f>
        <v>27-CR-21-22737</v>
      </c>
      <c r="C273" s="1" t="n">
        <v>5</v>
      </c>
      <c r="D273" s="2" t="s">
        <v>267</v>
      </c>
      <c r="E273" s="8" t="n">
        <v>45023</v>
      </c>
      <c r="F273" s="2" t="s">
        <v>15</v>
      </c>
      <c r="G273" s="7" t="str">
        <f aca="false">HYPERLINK("https://mncourtfraud.com/file/MCRO_27-CR-21-22737_Order-Evaluation for Competency to Proceed (Rule 20.01)_2023-04-07_20251126165404.pdf","MCRO_27-CR-21-22737_Order-Evaluation for Competency to Proceed (Rule 20.01)_2023-04-07_20251126165404.pdf")</f>
        <v>MCRO_27-CR-21-22737_Order-Evaluation for Competency to Proceed (Rule 20.01)_2023-04-07_20251126165404.pdf</v>
      </c>
      <c r="H273" s="1" t="n">
        <v>4</v>
      </c>
      <c r="I273" s="1" t="s">
        <v>1360</v>
      </c>
      <c r="J273" s="1" t="n">
        <v>1</v>
      </c>
      <c r="K273" s="2" t="s">
        <v>1362</v>
      </c>
      <c r="L273" s="2" t="s">
        <v>1364</v>
      </c>
      <c r="M273" s="1" t="s">
        <v>1360</v>
      </c>
      <c r="N273" s="1" t="n">
        <v>0</v>
      </c>
      <c r="O273" s="2" t="n">
        <v>98.56</v>
      </c>
      <c r="P273" s="2" t="n">
        <v>98.56</v>
      </c>
      <c r="Q273" s="2" t="n">
        <v>98.56</v>
      </c>
      <c r="R273" s="1" t="n">
        <v>1</v>
      </c>
      <c r="S273" s="1" t="n">
        <v>0</v>
      </c>
      <c r="T273" s="1" t="s">
        <v>1360</v>
      </c>
      <c r="U273" s="1" t="n">
        <v>4</v>
      </c>
      <c r="V273" s="1" t="n">
        <v>0</v>
      </c>
    </row>
    <row r="274" customFormat="false" ht="18.7" hidden="false" customHeight="true" outlineLevel="0" collapsed="false">
      <c r="A274" s="1" t="n">
        <v>273</v>
      </c>
      <c r="B274" s="7" t="str">
        <f aca="false">HYPERLINK("https://mncourtfraud.com/file/27-CR-21-22737.pdf","27-CR-21-22737")</f>
        <v>27-CR-21-22737</v>
      </c>
      <c r="C274" s="1" t="n">
        <v>5</v>
      </c>
      <c r="D274" s="2" t="s">
        <v>267</v>
      </c>
      <c r="E274" s="8" t="n">
        <v>45194</v>
      </c>
      <c r="F274" s="2" t="s">
        <v>15</v>
      </c>
      <c r="G274" s="7" t="str">
        <f aca="false">HYPERLINK("https://mncourtfraud.com/file/MCRO_27-CR-21-22737_Order-Evaluation for Competency to Proceed (Rule 20.01)_2023-09-25_20251126165414.pdf","MCRO_27-CR-21-22737_Order-Evaluation for Competency to Proceed (Rule 20.01)_2023-09-25_20251126165414.pdf")</f>
        <v>MCRO_27-CR-21-22737_Order-Evaluation for Competency to Proceed (Rule 20.01)_2023-09-25_20251126165414.pdf</v>
      </c>
      <c r="H274" s="1" t="n">
        <v>4</v>
      </c>
      <c r="I274" s="1" t="s">
        <v>1360</v>
      </c>
      <c r="J274" s="1" t="n">
        <v>1</v>
      </c>
      <c r="K274" s="2" t="s">
        <v>1362</v>
      </c>
      <c r="L274" s="2" t="s">
        <v>1364</v>
      </c>
      <c r="M274" s="1" t="s">
        <v>1360</v>
      </c>
      <c r="N274" s="1" t="n">
        <v>0</v>
      </c>
      <c r="O274" s="2" t="n">
        <v>90.17</v>
      </c>
      <c r="P274" s="2" t="n">
        <v>90.17</v>
      </c>
      <c r="Q274" s="2" t="n">
        <v>90.17</v>
      </c>
      <c r="R274" s="1" t="n">
        <v>1</v>
      </c>
      <c r="S274" s="1" t="n">
        <v>0</v>
      </c>
      <c r="T274" s="1" t="s">
        <v>1360</v>
      </c>
      <c r="U274" s="1" t="n">
        <v>4</v>
      </c>
      <c r="V274" s="1" t="n">
        <v>0</v>
      </c>
    </row>
    <row r="275" customFormat="false" ht="18.7" hidden="false" customHeight="true" outlineLevel="0" collapsed="false">
      <c r="A275" s="1" t="n">
        <v>274</v>
      </c>
      <c r="B275" s="7" t="str">
        <f aca="false">HYPERLINK("https://mncourtfraud.com/file/27-CR-21-22737.pdf","27-CR-21-22737")</f>
        <v>27-CR-21-22737</v>
      </c>
      <c r="C275" s="1" t="n">
        <v>5</v>
      </c>
      <c r="D275" s="2" t="s">
        <v>267</v>
      </c>
      <c r="E275" s="8" t="n">
        <v>44733</v>
      </c>
      <c r="F275" s="2" t="s">
        <v>17</v>
      </c>
      <c r="G275" s="7" t="str">
        <f aca="false">HYPERLINK("https://mncourtfraud.com/file/MCRO_27-CR-21-22737_Returned Mail_2022-06-21_20251126165440.pdf","MCRO_27-CR-21-22737_Returned Mail_2022-06-21_20251126165440.pdf")</f>
        <v>MCRO_27-CR-21-22737_Returned Mail_2022-06-21_20251126165440.pdf</v>
      </c>
      <c r="H275" s="1" t="n">
        <v>4</v>
      </c>
      <c r="I275" s="1" t="s">
        <v>1360</v>
      </c>
      <c r="J275" s="1" t="n">
        <v>1</v>
      </c>
      <c r="K275" s="2" t="s">
        <v>1362</v>
      </c>
      <c r="L275" s="2" t="s">
        <v>1364</v>
      </c>
      <c r="M275" s="1" t="s">
        <v>1360</v>
      </c>
      <c r="N275" s="1" t="n">
        <v>0</v>
      </c>
      <c r="O275" s="2" t="n">
        <v>95.92</v>
      </c>
      <c r="P275" s="2" t="n">
        <v>95.92</v>
      </c>
      <c r="Q275" s="2" t="n">
        <v>95.92</v>
      </c>
      <c r="R275" s="1" t="n">
        <v>1</v>
      </c>
      <c r="S275" s="1" t="n">
        <v>0</v>
      </c>
      <c r="T275" s="1" t="s">
        <v>1360</v>
      </c>
      <c r="U275" s="1" t="n">
        <v>4</v>
      </c>
      <c r="V275" s="1" t="n">
        <v>0</v>
      </c>
    </row>
    <row r="276" customFormat="false" ht="18.7" hidden="false" customHeight="true" outlineLevel="0" collapsed="false">
      <c r="A276" s="1" t="n">
        <v>275</v>
      </c>
      <c r="B276" s="7" t="str">
        <f aca="false">HYPERLINK("https://mncourtfraud.com/file/27-CR-21-22737.pdf","27-CR-21-22737")</f>
        <v>27-CR-21-22737</v>
      </c>
      <c r="C276" s="1" t="n">
        <v>5</v>
      </c>
      <c r="D276" s="2" t="s">
        <v>267</v>
      </c>
      <c r="E276" s="8" t="n">
        <v>44837</v>
      </c>
      <c r="F276" s="2" t="s">
        <v>17</v>
      </c>
      <c r="G276" s="7" t="str">
        <f aca="false">HYPERLINK("https://mncourtfraud.com/file/MCRO_27-CR-21-22737_Returned Mail_2022-10-03_20251126165429.pdf","MCRO_27-CR-21-22737_Returned Mail_2022-10-03_20251126165429.pdf")</f>
        <v>MCRO_27-CR-21-22737_Returned Mail_2022-10-03_20251126165429.pdf</v>
      </c>
      <c r="H276" s="1" t="n">
        <v>4</v>
      </c>
      <c r="I276" s="1" t="s">
        <v>1360</v>
      </c>
      <c r="J276" s="1" t="n">
        <v>1</v>
      </c>
      <c r="K276" s="2" t="s">
        <v>1362</v>
      </c>
      <c r="L276" s="2" t="s">
        <v>1364</v>
      </c>
      <c r="M276" s="1" t="s">
        <v>1360</v>
      </c>
      <c r="N276" s="1" t="n">
        <v>0</v>
      </c>
      <c r="O276" s="2" t="n">
        <v>95.7</v>
      </c>
      <c r="P276" s="2" t="n">
        <v>95.7</v>
      </c>
      <c r="Q276" s="2" t="n">
        <v>95.7</v>
      </c>
      <c r="R276" s="1" t="n">
        <v>1</v>
      </c>
      <c r="S276" s="1" t="n">
        <v>0</v>
      </c>
      <c r="T276" s="1" t="s">
        <v>1360</v>
      </c>
      <c r="U276" s="1" t="n">
        <v>4</v>
      </c>
      <c r="V276" s="1" t="n">
        <v>0</v>
      </c>
    </row>
    <row r="277" customFormat="false" ht="18.7" hidden="false" customHeight="true" outlineLevel="0" collapsed="false">
      <c r="A277" s="1" t="n">
        <v>276</v>
      </c>
      <c r="B277" s="7" t="str">
        <f aca="false">HYPERLINK("https://mncourtfraud.com/file/27-CR-21-23724.pdf","27-CR-21-23724")</f>
        <v>27-CR-21-23724</v>
      </c>
      <c r="C277" s="1" t="n">
        <v>1</v>
      </c>
      <c r="D277" s="2" t="s">
        <v>12</v>
      </c>
      <c r="E277" s="8" t="n">
        <v>45048</v>
      </c>
      <c r="F277" s="2" t="s">
        <v>80</v>
      </c>
      <c r="G277" s="7" t="str">
        <f aca="false">HYPERLINK("https://mncourtfraud.com/file/MCRO_27-CR-21-23724_Finding of Incompetency and Order_2023-05-02_20251126184009.pdf","MCRO_27-CR-21-23724_Finding of Incompetency and Order_2023-05-02_20251126184009.pdf")</f>
        <v>MCRO_27-CR-21-23724_Finding of Incompetency and Order_2023-05-02_20251126184009.pdf</v>
      </c>
      <c r="H277" s="1" t="n">
        <v>9</v>
      </c>
      <c r="I277" s="1" t="s">
        <v>1366</v>
      </c>
      <c r="J277" s="1" t="n">
        <v>3</v>
      </c>
      <c r="K277" s="2" t="s">
        <v>2268</v>
      </c>
      <c r="L277" s="2" t="s">
        <v>2269</v>
      </c>
      <c r="M277" s="1" t="s">
        <v>1366</v>
      </c>
      <c r="N277" s="1" t="n">
        <v>2</v>
      </c>
      <c r="O277" s="2" t="n">
        <v>15.21</v>
      </c>
      <c r="P277" s="2" t="n">
        <v>98.32</v>
      </c>
      <c r="Q277" s="2" t="n">
        <v>45.35</v>
      </c>
      <c r="R277" s="1" t="n">
        <v>3</v>
      </c>
      <c r="S277" s="1" t="n">
        <v>0</v>
      </c>
      <c r="T277" s="1" t="s">
        <v>1360</v>
      </c>
      <c r="U277" s="1" t="n">
        <v>5</v>
      </c>
      <c r="V277" s="1" t="n">
        <v>3</v>
      </c>
    </row>
    <row r="278" customFormat="false" ht="18.7" hidden="false" customHeight="true" outlineLevel="0" collapsed="false">
      <c r="A278" s="1" t="n">
        <v>277</v>
      </c>
      <c r="B278" s="7" t="str">
        <f aca="false">HYPERLINK("https://mncourtfraud.com/file/27-CR-21-23724.pdf","27-CR-21-23724")</f>
        <v>27-CR-21-23724</v>
      </c>
      <c r="C278" s="1" t="n">
        <v>1</v>
      </c>
      <c r="D278" s="2" t="s">
        <v>12</v>
      </c>
      <c r="E278" s="8" t="n">
        <v>44593</v>
      </c>
      <c r="F278" s="2" t="s">
        <v>19</v>
      </c>
      <c r="G278" s="7" t="str">
        <f aca="false">HYPERLINK("https://mncourtfraud.com/file/MCRO_27-CR-21-23724_Findings and Order_2022-02-01_20251126184020.pdf","MCRO_27-CR-21-23724_Findings and Order_2022-02-01_20251126184020.pdf")</f>
        <v>MCRO_27-CR-21-23724_Findings and Order_2022-02-01_20251126184020.pdf</v>
      </c>
      <c r="H278" s="1" t="n">
        <v>4</v>
      </c>
      <c r="I278" s="1" t="s">
        <v>1360</v>
      </c>
      <c r="J278" s="1" t="n">
        <v>2</v>
      </c>
      <c r="K278" s="2" t="s">
        <v>2267</v>
      </c>
      <c r="L278" s="2" t="s">
        <v>1364</v>
      </c>
      <c r="M278" s="1" t="s">
        <v>1366</v>
      </c>
      <c r="N278" s="1" t="n">
        <v>1</v>
      </c>
      <c r="O278" s="2" t="n">
        <v>47.77</v>
      </c>
      <c r="P278" s="2" t="n">
        <v>95.47</v>
      </c>
      <c r="Q278" s="2" t="n">
        <v>71.62</v>
      </c>
      <c r="R278" s="1" t="n">
        <v>2</v>
      </c>
      <c r="S278" s="1" t="n">
        <v>0</v>
      </c>
      <c r="T278" s="1" t="s">
        <v>1360</v>
      </c>
      <c r="U278" s="1" t="n">
        <v>2</v>
      </c>
      <c r="V278" s="1" t="n">
        <v>0</v>
      </c>
    </row>
    <row r="279" customFormat="false" ht="18.7" hidden="false" customHeight="true" outlineLevel="0" collapsed="false">
      <c r="A279" s="1" t="n">
        <v>278</v>
      </c>
      <c r="B279" s="7" t="str">
        <f aca="false">HYPERLINK("https://mncourtfraud.com/file/27-CR-21-23724.pdf","27-CR-21-23724")</f>
        <v>27-CR-21-23724</v>
      </c>
      <c r="C279" s="1" t="n">
        <v>1</v>
      </c>
      <c r="D279" s="2" t="s">
        <v>12</v>
      </c>
      <c r="E279" s="8" t="n">
        <v>45093</v>
      </c>
      <c r="F279" s="2" t="s">
        <v>82</v>
      </c>
      <c r="G279" s="7" t="str">
        <f aca="false">HYPERLINK("https://mncourtfraud.com/file/MCRO_27-CR-21-23724_Notice of Case Reassignment_2023-06-16_20251126184032.pdf","MCRO_27-CR-21-23724_Notice of Case Reassignment_2023-06-16_20251126184032.pdf")</f>
        <v>MCRO_27-CR-21-23724_Notice of Case Reassignment_2023-06-16_20251126184032.pdf</v>
      </c>
      <c r="H279" s="1" t="n">
        <v>3</v>
      </c>
      <c r="I279" s="1" t="s">
        <v>1360</v>
      </c>
      <c r="J279" s="1" t="n">
        <v>1</v>
      </c>
      <c r="K279" s="2" t="s">
        <v>1362</v>
      </c>
      <c r="L279" s="2" t="s">
        <v>1364</v>
      </c>
      <c r="M279" s="1" t="s">
        <v>1360</v>
      </c>
      <c r="N279" s="1" t="n">
        <v>0</v>
      </c>
      <c r="O279" s="2" t="n">
        <v>85.58</v>
      </c>
      <c r="P279" s="2" t="n">
        <v>85.58</v>
      </c>
      <c r="Q279" s="2" t="n">
        <v>85.58</v>
      </c>
      <c r="R279" s="1" t="n">
        <v>1</v>
      </c>
      <c r="S279" s="1" t="n">
        <v>0</v>
      </c>
      <c r="T279" s="1" t="s">
        <v>1360</v>
      </c>
      <c r="U279" s="1" t="n">
        <v>3</v>
      </c>
      <c r="V279" s="1" t="n">
        <v>0</v>
      </c>
    </row>
    <row r="280" customFormat="false" ht="18.7" hidden="false" customHeight="true" outlineLevel="0" collapsed="false">
      <c r="A280" s="1" t="n">
        <v>279</v>
      </c>
      <c r="B280" s="7" t="str">
        <f aca="false">HYPERLINK("https://mncourtfraud.com/file/27-CR-21-23724.pdf","27-CR-21-23724")</f>
        <v>27-CR-21-23724</v>
      </c>
      <c r="C280" s="1" t="n">
        <v>1</v>
      </c>
      <c r="D280" s="2" t="s">
        <v>12</v>
      </c>
      <c r="E280" s="8" t="n">
        <v>44558</v>
      </c>
      <c r="F280" s="2" t="s">
        <v>15</v>
      </c>
      <c r="G280" s="7" t="str">
        <f aca="false">HYPERLINK("https://mncourtfraud.com/file/MCRO_27-CR-21-23724_Order-Evaluation for Competency to Proceed (Rule 20.01)_2021-12-28_20251126184113.pdf","MCRO_27-CR-21-23724_Order-Evaluation for Competency to Proceed (Rule 20.01)_2021-12-28_20251126184113.pdf")</f>
        <v>MCRO_27-CR-21-23724_Order-Evaluation for Competency to Proceed (Rule 20.01)_2021-12-28_20251126184113.pdf</v>
      </c>
      <c r="H280" s="1" t="n">
        <v>4</v>
      </c>
      <c r="I280" s="1" t="s">
        <v>1360</v>
      </c>
      <c r="J280" s="1" t="n">
        <v>1</v>
      </c>
      <c r="K280" s="2" t="s">
        <v>1362</v>
      </c>
      <c r="L280" s="2" t="s">
        <v>1364</v>
      </c>
      <c r="M280" s="1" t="s">
        <v>1360</v>
      </c>
      <c r="N280" s="1" t="n">
        <v>0</v>
      </c>
      <c r="O280" s="2" t="n">
        <v>93.21</v>
      </c>
      <c r="P280" s="2" t="n">
        <v>93.21</v>
      </c>
      <c r="Q280" s="2" t="n">
        <v>93.21</v>
      </c>
      <c r="R280" s="1" t="n">
        <v>1</v>
      </c>
      <c r="S280" s="1" t="n">
        <v>0</v>
      </c>
      <c r="T280" s="1" t="s">
        <v>1360</v>
      </c>
      <c r="U280" s="1" t="n">
        <v>4</v>
      </c>
      <c r="V280" s="1" t="n">
        <v>0</v>
      </c>
    </row>
    <row r="281" customFormat="false" ht="18.7" hidden="false" customHeight="true" outlineLevel="0" collapsed="false">
      <c r="A281" s="1" t="n">
        <v>280</v>
      </c>
      <c r="B281" s="7" t="str">
        <f aca="false">HYPERLINK("https://mncourtfraud.com/file/27-CR-21-23724.pdf","27-CR-21-23724")</f>
        <v>27-CR-21-23724</v>
      </c>
      <c r="C281" s="1" t="n">
        <v>1</v>
      </c>
      <c r="D281" s="2" t="s">
        <v>12</v>
      </c>
      <c r="E281" s="8" t="n">
        <v>44692</v>
      </c>
      <c r="F281" s="2" t="s">
        <v>15</v>
      </c>
      <c r="G281" s="7" t="str">
        <f aca="false">HYPERLINK("https://mncourtfraud.com/file/MCRO_27-CR-21-23724_Order-Evaluation for Competency to Proceed (Rule 20.01)_2022-05-11_20251126184121.pdf","MCRO_27-CR-21-23724_Order-Evaluation for Competency to Proceed (Rule 20.01)_2022-05-11_20251126184121.pdf")</f>
        <v>MCRO_27-CR-21-23724_Order-Evaluation for Competency to Proceed (Rule 20.01)_2022-05-11_20251126184121.pdf</v>
      </c>
      <c r="H281" s="1" t="n">
        <v>3</v>
      </c>
      <c r="I281" s="1" t="s">
        <v>1360</v>
      </c>
      <c r="J281" s="1" t="n">
        <v>1</v>
      </c>
      <c r="K281" s="2" t="s">
        <v>1362</v>
      </c>
      <c r="L281" s="2" t="s">
        <v>1364</v>
      </c>
      <c r="M281" s="1" t="s">
        <v>1360</v>
      </c>
      <c r="N281" s="1" t="n">
        <v>0</v>
      </c>
      <c r="O281" s="2" t="n">
        <v>93.17</v>
      </c>
      <c r="P281" s="2" t="n">
        <v>93.17</v>
      </c>
      <c r="Q281" s="2" t="n">
        <v>93.17</v>
      </c>
      <c r="R281" s="1" t="n">
        <v>1</v>
      </c>
      <c r="S281" s="1" t="n">
        <v>0</v>
      </c>
      <c r="T281" s="1" t="s">
        <v>1360</v>
      </c>
      <c r="U281" s="1" t="n">
        <v>3</v>
      </c>
      <c r="V281" s="1" t="n">
        <v>0</v>
      </c>
    </row>
    <row r="282" customFormat="false" ht="18.7" hidden="false" customHeight="true" outlineLevel="0" collapsed="false">
      <c r="A282" s="1" t="n">
        <v>281</v>
      </c>
      <c r="B282" s="7" t="str">
        <f aca="false">HYPERLINK("https://mncourtfraud.com/file/27-CR-21-23724.pdf","27-CR-21-23724")</f>
        <v>27-CR-21-23724</v>
      </c>
      <c r="C282" s="1" t="n">
        <v>1</v>
      </c>
      <c r="D282" s="2" t="s">
        <v>12</v>
      </c>
      <c r="E282" s="8" t="n">
        <v>44895</v>
      </c>
      <c r="F282" s="2" t="s">
        <v>15</v>
      </c>
      <c r="G282" s="7" t="str">
        <f aca="false">HYPERLINK("https://mncourtfraud.com/file/MCRO_27-CR-21-23724_Order-Evaluation for Competency to Proceed (Rule 20.01)_2022-11-30_20251126184131.pdf","MCRO_27-CR-21-23724_Order-Evaluation for Competency to Proceed (Rule 20.01)_2022-11-30_20251126184131.pdf")</f>
        <v>MCRO_27-CR-21-23724_Order-Evaluation for Competency to Proceed (Rule 20.01)_2022-11-30_20251126184131.pdf</v>
      </c>
      <c r="H282" s="1" t="n">
        <v>4</v>
      </c>
      <c r="I282" s="1" t="s">
        <v>1360</v>
      </c>
      <c r="J282" s="1" t="n">
        <v>1</v>
      </c>
      <c r="K282" s="2" t="s">
        <v>1362</v>
      </c>
      <c r="L282" s="2" t="s">
        <v>1364</v>
      </c>
      <c r="M282" s="1" t="s">
        <v>1360</v>
      </c>
      <c r="N282" s="1" t="n">
        <v>0</v>
      </c>
      <c r="O282" s="2" t="n">
        <v>97.99</v>
      </c>
      <c r="P282" s="2" t="n">
        <v>97.99</v>
      </c>
      <c r="Q282" s="2" t="n">
        <v>97.99</v>
      </c>
      <c r="R282" s="1" t="n">
        <v>1</v>
      </c>
      <c r="S282" s="1" t="n">
        <v>0</v>
      </c>
      <c r="T282" s="1" t="s">
        <v>1360</v>
      </c>
      <c r="U282" s="1" t="n">
        <v>4</v>
      </c>
      <c r="V282" s="1" t="n">
        <v>0</v>
      </c>
    </row>
    <row r="283" customFormat="false" ht="18.7" hidden="false" customHeight="true" outlineLevel="0" collapsed="false">
      <c r="A283" s="1" t="n">
        <v>282</v>
      </c>
      <c r="B283" s="7" t="str">
        <f aca="false">HYPERLINK("https://mncourtfraud.com/file/27-CR-21-23724.pdf","27-CR-21-23724")</f>
        <v>27-CR-21-23724</v>
      </c>
      <c r="C283" s="1" t="n">
        <v>1</v>
      </c>
      <c r="D283" s="2" t="s">
        <v>12</v>
      </c>
      <c r="E283" s="8" t="n">
        <v>45160</v>
      </c>
      <c r="F283" s="2" t="s">
        <v>15</v>
      </c>
      <c r="G283" s="7" t="str">
        <f aca="false">HYPERLINK("https://mncourtfraud.com/file/MCRO_27-CR-21-23724_Order-Evaluation for Competency to Proceed (Rule 20.01)_2023-08-22_20251126184139.pdf","MCRO_27-CR-21-23724_Order-Evaluation for Competency to Proceed (Rule 20.01)_2023-08-22_20251126184139.pdf")</f>
        <v>MCRO_27-CR-21-23724_Order-Evaluation for Competency to Proceed (Rule 20.01)_2023-08-22_20251126184139.pdf</v>
      </c>
      <c r="H283" s="1" t="n">
        <v>6</v>
      </c>
      <c r="I283" s="1" t="s">
        <v>1366</v>
      </c>
      <c r="J283" s="1" t="n">
        <v>2</v>
      </c>
      <c r="K283" s="2" t="s">
        <v>2270</v>
      </c>
      <c r="L283" s="2" t="s">
        <v>2269</v>
      </c>
      <c r="M283" s="1" t="s">
        <v>1366</v>
      </c>
      <c r="N283" s="1" t="n">
        <v>1</v>
      </c>
      <c r="O283" s="2" t="n">
        <v>23.95</v>
      </c>
      <c r="P283" s="2" t="n">
        <v>98.13</v>
      </c>
      <c r="Q283" s="2" t="n">
        <v>61.04</v>
      </c>
      <c r="R283" s="1" t="n">
        <v>2</v>
      </c>
      <c r="S283" s="1" t="n">
        <v>0</v>
      </c>
      <c r="T283" s="1" t="s">
        <v>1360</v>
      </c>
      <c r="U283" s="1" t="n">
        <v>3</v>
      </c>
      <c r="V283" s="1" t="n">
        <v>3</v>
      </c>
    </row>
    <row r="284" customFormat="false" ht="18.7" hidden="false" customHeight="true" outlineLevel="0" collapsed="false">
      <c r="A284" s="1" t="n">
        <v>283</v>
      </c>
      <c r="B284" s="7" t="str">
        <f aca="false">HYPERLINK("https://mncourtfraud.com/file/27-CR-21-23724.pdf","27-CR-21-23724")</f>
        <v>27-CR-21-23724</v>
      </c>
      <c r="C284" s="1" t="n">
        <v>1</v>
      </c>
      <c r="D284" s="2" t="s">
        <v>12</v>
      </c>
      <c r="E284" s="8" t="n">
        <v>45412</v>
      </c>
      <c r="F284" s="2" t="s">
        <v>15</v>
      </c>
      <c r="G284" s="7" t="str">
        <f aca="false">HYPERLINK("https://mncourtfraud.com/file/MCRO_27-CR-21-23724_Order-Evaluation for Competency to Proceed (Rule 20.01)_2024-04-30_20251126184103.pdf","MCRO_27-CR-21-23724_Order-Evaluation for Competency to Proceed (Rule 20.01)_2024-04-30_20251126184103.pdf")</f>
        <v>MCRO_27-CR-21-23724_Order-Evaluation for Competency to Proceed (Rule 20.01)_2024-04-30_20251126184103.pdf</v>
      </c>
      <c r="H284" s="1" t="n">
        <v>4</v>
      </c>
      <c r="I284" s="1" t="s">
        <v>1360</v>
      </c>
      <c r="J284" s="1" t="n">
        <v>1</v>
      </c>
      <c r="K284" s="2" t="s">
        <v>1362</v>
      </c>
      <c r="L284" s="2" t="s">
        <v>1364</v>
      </c>
      <c r="M284" s="1" t="s">
        <v>1360</v>
      </c>
      <c r="N284" s="1" t="n">
        <v>0</v>
      </c>
      <c r="O284" s="2" t="n">
        <v>92.54</v>
      </c>
      <c r="P284" s="2" t="n">
        <v>92.54</v>
      </c>
      <c r="Q284" s="2" t="n">
        <v>92.54</v>
      </c>
      <c r="R284" s="1" t="n">
        <v>1</v>
      </c>
      <c r="S284" s="1" t="n">
        <v>0</v>
      </c>
      <c r="T284" s="1" t="s">
        <v>1360</v>
      </c>
      <c r="U284" s="1" t="n">
        <v>4</v>
      </c>
      <c r="V284" s="1" t="n">
        <v>0</v>
      </c>
    </row>
    <row r="285" customFormat="false" ht="18.7" hidden="false" customHeight="true" outlineLevel="0" collapsed="false">
      <c r="A285" s="1" t="n">
        <v>284</v>
      </c>
      <c r="B285" s="7" t="str">
        <f aca="false">HYPERLINK("https://mncourtfraud.com/file/27-CR-21-23724.pdf","27-CR-21-23724")</f>
        <v>27-CR-21-23724</v>
      </c>
      <c r="C285" s="1" t="n">
        <v>1</v>
      </c>
      <c r="D285" s="2" t="s">
        <v>12</v>
      </c>
      <c r="E285" s="8" t="n">
        <v>45412</v>
      </c>
      <c r="F285" s="2" t="s">
        <v>24</v>
      </c>
      <c r="G285" s="7" t="str">
        <f aca="false">HYPERLINK("https://mncourtfraud.com/file/MCRO_27-CR-21-23724_Order for Conditional Release_2024-04-30_20251126184050.pdf","MCRO_27-CR-21-23724_Order for Conditional Release_2024-04-30_20251126184050.pdf")</f>
        <v>MCRO_27-CR-21-23724_Order for Conditional Release_2024-04-30_20251126184050.pdf</v>
      </c>
      <c r="H285" s="1" t="n">
        <v>4</v>
      </c>
      <c r="I285" s="1" t="s">
        <v>1360</v>
      </c>
      <c r="J285" s="1" t="n">
        <v>1</v>
      </c>
      <c r="K285" s="2" t="s">
        <v>1362</v>
      </c>
      <c r="L285" s="2" t="s">
        <v>1364</v>
      </c>
      <c r="M285" s="1" t="s">
        <v>1360</v>
      </c>
      <c r="N285" s="1" t="n">
        <v>0</v>
      </c>
      <c r="O285" s="2" t="n">
        <v>89.11</v>
      </c>
      <c r="P285" s="2" t="n">
        <v>89.11</v>
      </c>
      <c r="Q285" s="2" t="n">
        <v>89.11</v>
      </c>
      <c r="R285" s="1" t="n">
        <v>1</v>
      </c>
      <c r="S285" s="1" t="n">
        <v>0</v>
      </c>
      <c r="T285" s="1" t="s">
        <v>1360</v>
      </c>
      <c r="U285" s="1" t="n">
        <v>4</v>
      </c>
      <c r="V285" s="1" t="n">
        <v>0</v>
      </c>
    </row>
    <row r="286" customFormat="false" ht="18.7" hidden="false" customHeight="true" outlineLevel="0" collapsed="false">
      <c r="A286" s="1" t="n">
        <v>285</v>
      </c>
      <c r="B286" s="7" t="str">
        <f aca="false">HYPERLINK("https://mncourtfraud.com/file/27-CR-21-23724.pdf","27-CR-21-23724")</f>
        <v>27-CR-21-23724</v>
      </c>
      <c r="C286" s="1" t="n">
        <v>1</v>
      </c>
      <c r="D286" s="2" t="s">
        <v>12</v>
      </c>
      <c r="E286" s="8" t="n">
        <v>44999</v>
      </c>
      <c r="F286" s="2" t="s">
        <v>17</v>
      </c>
      <c r="G286" s="7" t="str">
        <f aca="false">HYPERLINK("https://mncourtfraud.com/file/MCRO_27-CR-21-23724_Returned Mail_2023-03-14_20251126184153.pdf","MCRO_27-CR-21-23724_Returned Mail_2023-03-14_20251126184153.pdf")</f>
        <v>MCRO_27-CR-21-23724_Returned Mail_2023-03-14_20251126184153.pdf</v>
      </c>
      <c r="H286" s="1" t="n">
        <v>4</v>
      </c>
      <c r="I286" s="1" t="s">
        <v>1360</v>
      </c>
      <c r="J286" s="1" t="n">
        <v>1</v>
      </c>
      <c r="K286" s="2" t="s">
        <v>1362</v>
      </c>
      <c r="L286" s="2" t="s">
        <v>1364</v>
      </c>
      <c r="M286" s="1" t="s">
        <v>1360</v>
      </c>
      <c r="N286" s="1" t="n">
        <v>0</v>
      </c>
      <c r="O286" s="2" t="n">
        <v>93.81</v>
      </c>
      <c r="P286" s="2" t="n">
        <v>93.81</v>
      </c>
      <c r="Q286" s="2" t="n">
        <v>93.81</v>
      </c>
      <c r="R286" s="1" t="n">
        <v>1</v>
      </c>
      <c r="S286" s="1" t="n">
        <v>0</v>
      </c>
      <c r="T286" s="1" t="s">
        <v>1360</v>
      </c>
      <c r="U286" s="1" t="n">
        <v>4</v>
      </c>
      <c r="V286" s="1" t="n">
        <v>0</v>
      </c>
    </row>
    <row r="287" customFormat="false" ht="18.7" hidden="false" customHeight="true" outlineLevel="0" collapsed="false">
      <c r="A287" s="1" t="n">
        <v>286</v>
      </c>
      <c r="B287" s="7" t="str">
        <f aca="false">HYPERLINK("https://mncourtfraud.com/file/27-CR-21-2803.pdf","27-CR-21-2803")</f>
        <v>27-CR-21-2803</v>
      </c>
      <c r="C287" s="1" t="n">
        <v>1</v>
      </c>
      <c r="D287" s="2" t="s">
        <v>12</v>
      </c>
      <c r="E287" s="8" t="n">
        <v>44439</v>
      </c>
      <c r="F287" s="2" t="s">
        <v>19</v>
      </c>
      <c r="G287" s="7" t="str">
        <f aca="false">HYPERLINK("https://mncourtfraud.com/file/MCRO_27-CR-21-2803_Findings and Order_2021-08-31_20251126184229.pdf","MCRO_27-CR-21-2803_Findings and Order_2021-08-31_20251126184229.pdf")</f>
        <v>MCRO_27-CR-21-2803_Findings and Order_2021-08-31_20251126184229.pdf</v>
      </c>
      <c r="H287" s="1" t="n">
        <v>5</v>
      </c>
      <c r="I287" s="1" t="s">
        <v>1366</v>
      </c>
      <c r="J287" s="1" t="n">
        <v>2</v>
      </c>
      <c r="K287" s="2" t="s">
        <v>2267</v>
      </c>
      <c r="L287" s="2" t="s">
        <v>1364</v>
      </c>
      <c r="M287" s="1" t="s">
        <v>1366</v>
      </c>
      <c r="N287" s="1" t="n">
        <v>1</v>
      </c>
      <c r="O287" s="2" t="n">
        <v>39.94</v>
      </c>
      <c r="P287" s="2" t="n">
        <v>95.64</v>
      </c>
      <c r="Q287" s="2" t="n">
        <v>67.79</v>
      </c>
      <c r="R287" s="1" t="n">
        <v>2</v>
      </c>
      <c r="S287" s="1" t="n">
        <v>0</v>
      </c>
      <c r="T287" s="1" t="s">
        <v>1360</v>
      </c>
      <c r="U287" s="1" t="n">
        <v>2</v>
      </c>
      <c r="V287" s="1" t="n">
        <v>0</v>
      </c>
    </row>
    <row r="288" customFormat="false" ht="18.7" hidden="false" customHeight="true" outlineLevel="0" collapsed="false">
      <c r="A288" s="1" t="n">
        <v>287</v>
      </c>
      <c r="B288" s="7" t="str">
        <f aca="false">HYPERLINK("https://mncourtfraud.com/file/27-CR-21-2803.pdf","27-CR-21-2803")</f>
        <v>27-CR-21-2803</v>
      </c>
      <c r="C288" s="1" t="n">
        <v>1</v>
      </c>
      <c r="D288" s="2" t="s">
        <v>12</v>
      </c>
      <c r="E288" s="8" t="n">
        <v>44593</v>
      </c>
      <c r="F288" s="2" t="s">
        <v>19</v>
      </c>
      <c r="G288" s="7" t="str">
        <f aca="false">HYPERLINK("https://mncourtfraud.com/file/MCRO_27-CR-21-2803_Findings and Order_2022-02-01_20251126184218.pdf","MCRO_27-CR-21-2803_Findings and Order_2022-02-01_20251126184218.pdf")</f>
        <v>MCRO_27-CR-21-2803_Findings and Order_2022-02-01_20251126184218.pdf</v>
      </c>
      <c r="H288" s="1" t="n">
        <v>4</v>
      </c>
      <c r="I288" s="1" t="s">
        <v>1360</v>
      </c>
      <c r="J288" s="1" t="n">
        <v>2</v>
      </c>
      <c r="K288" s="2" t="s">
        <v>2267</v>
      </c>
      <c r="L288" s="2" t="s">
        <v>1364</v>
      </c>
      <c r="M288" s="1" t="s">
        <v>1366</v>
      </c>
      <c r="N288" s="1" t="n">
        <v>1</v>
      </c>
      <c r="O288" s="2" t="n">
        <v>47.77</v>
      </c>
      <c r="P288" s="2" t="n">
        <v>95.47</v>
      </c>
      <c r="Q288" s="2" t="n">
        <v>71.62</v>
      </c>
      <c r="R288" s="1" t="n">
        <v>2</v>
      </c>
      <c r="S288" s="1" t="n">
        <v>0</v>
      </c>
      <c r="T288" s="1" t="s">
        <v>1360</v>
      </c>
      <c r="U288" s="1" t="n">
        <v>2</v>
      </c>
      <c r="V288" s="1" t="n">
        <v>0</v>
      </c>
    </row>
    <row r="289" customFormat="false" ht="18.7" hidden="false" customHeight="true" outlineLevel="0" collapsed="false">
      <c r="A289" s="1" t="n">
        <v>288</v>
      </c>
      <c r="B289" s="7" t="str">
        <f aca="false">HYPERLINK("https://mncourtfraud.com/file/27-CR-21-2803.pdf","27-CR-21-2803")</f>
        <v>27-CR-21-2803</v>
      </c>
      <c r="C289" s="1" t="n">
        <v>1</v>
      </c>
      <c r="D289" s="2" t="s">
        <v>12</v>
      </c>
      <c r="E289" s="8" t="n">
        <v>44439</v>
      </c>
      <c r="F289" s="2" t="s">
        <v>134</v>
      </c>
      <c r="G289" s="7" t="str">
        <f aca="false">HYPERLINK("https://mncourtfraud.com/file/MCRO_27-CR-21-2803_Notice of Intent to Prosecute_2021-08-31_20251126184242.pdf","MCRO_27-CR-21-2803_Notice of Intent to Prosecute_2021-08-31_20251126184242.pdf")</f>
        <v>MCRO_27-CR-21-2803_Notice of Intent to Prosecute_2021-08-31_20251126184242.pdf</v>
      </c>
      <c r="H289" s="1" t="n">
        <v>3</v>
      </c>
      <c r="I289" s="1" t="s">
        <v>1360</v>
      </c>
      <c r="J289" s="1" t="n">
        <v>1</v>
      </c>
      <c r="K289" s="2" t="s">
        <v>1362</v>
      </c>
      <c r="L289" s="2" t="s">
        <v>1364</v>
      </c>
      <c r="M289" s="1" t="s">
        <v>1360</v>
      </c>
      <c r="N289" s="1" t="n">
        <v>0</v>
      </c>
      <c r="O289" s="2" t="n">
        <v>88.07</v>
      </c>
      <c r="P289" s="2" t="n">
        <v>88.07</v>
      </c>
      <c r="Q289" s="2" t="n">
        <v>88.07</v>
      </c>
      <c r="R289" s="1" t="n">
        <v>1</v>
      </c>
      <c r="S289" s="1" t="n">
        <v>0</v>
      </c>
      <c r="T289" s="1" t="s">
        <v>1360</v>
      </c>
      <c r="U289" s="1" t="n">
        <v>3</v>
      </c>
      <c r="V289" s="1" t="n">
        <v>0</v>
      </c>
    </row>
    <row r="290" customFormat="false" ht="18.7" hidden="false" customHeight="true" outlineLevel="0" collapsed="false">
      <c r="A290" s="1" t="n">
        <v>289</v>
      </c>
      <c r="B290" s="7" t="str">
        <f aca="false">HYPERLINK("https://mncourtfraud.com/file/27-CR-21-2803.pdf","27-CR-21-2803")</f>
        <v>27-CR-21-2803</v>
      </c>
      <c r="C290" s="1" t="n">
        <v>1</v>
      </c>
      <c r="D290" s="2" t="s">
        <v>12</v>
      </c>
      <c r="E290" s="8" t="n">
        <v>44396</v>
      </c>
      <c r="F290" s="2" t="s">
        <v>15</v>
      </c>
      <c r="G290" s="7" t="str">
        <f aca="false">HYPERLINK("https://mncourtfraud.com/file/MCRO_27-CR-21-2803_Order-Evaluation for Competency to Proceed (Rule 20.01)_2021-07-19_20251126184309.pdf","MCRO_27-CR-21-2803_Order-Evaluation for Competency to Proceed (Rule 20.01)_2021-07-19_20251126184309.pdf")</f>
        <v>MCRO_27-CR-21-2803_Order-Evaluation for Competency to Proceed (Rule 20.01)_2021-07-19_20251126184309.pdf</v>
      </c>
      <c r="H290" s="1" t="n">
        <v>4</v>
      </c>
      <c r="I290" s="1" t="s">
        <v>1360</v>
      </c>
      <c r="J290" s="1" t="n">
        <v>1</v>
      </c>
      <c r="K290" s="2" t="s">
        <v>1362</v>
      </c>
      <c r="L290" s="2" t="s">
        <v>1364</v>
      </c>
      <c r="M290" s="1" t="s">
        <v>1360</v>
      </c>
      <c r="N290" s="1" t="n">
        <v>0</v>
      </c>
      <c r="O290" s="2" t="n">
        <v>91.52</v>
      </c>
      <c r="P290" s="2" t="n">
        <v>91.52</v>
      </c>
      <c r="Q290" s="2" t="n">
        <v>91.52</v>
      </c>
      <c r="R290" s="1" t="n">
        <v>1</v>
      </c>
      <c r="S290" s="1" t="n">
        <v>0</v>
      </c>
      <c r="T290" s="1" t="s">
        <v>1360</v>
      </c>
      <c r="U290" s="1" t="n">
        <v>4</v>
      </c>
      <c r="V290" s="1" t="n">
        <v>0</v>
      </c>
    </row>
    <row r="291" customFormat="false" ht="18.7" hidden="false" customHeight="true" outlineLevel="0" collapsed="false">
      <c r="A291" s="1" t="n">
        <v>290</v>
      </c>
      <c r="B291" s="7" t="str">
        <f aca="false">HYPERLINK("https://mncourtfraud.com/file/27-CR-21-2803.pdf","27-CR-21-2803")</f>
        <v>27-CR-21-2803</v>
      </c>
      <c r="C291" s="1" t="n">
        <v>1</v>
      </c>
      <c r="D291" s="2" t="s">
        <v>12</v>
      </c>
      <c r="E291" s="8" t="n">
        <v>44543</v>
      </c>
      <c r="F291" s="2" t="s">
        <v>15</v>
      </c>
      <c r="G291" s="7" t="str">
        <f aca="false">HYPERLINK("https://mncourtfraud.com/file/MCRO_27-CR-21-2803_Order-Evaluation for Competency to Proceed (Rule 20.01)_2021-12-13_20251126184318.pdf","MCRO_27-CR-21-2803_Order-Evaluation for Competency to Proceed (Rule 20.01)_2021-12-13_20251126184318.pdf")</f>
        <v>MCRO_27-CR-21-2803_Order-Evaluation for Competency to Proceed (Rule 20.01)_2021-12-13_20251126184318.pdf</v>
      </c>
      <c r="H291" s="1" t="n">
        <v>3</v>
      </c>
      <c r="I291" s="1" t="s">
        <v>1360</v>
      </c>
      <c r="J291" s="1" t="n">
        <v>1</v>
      </c>
      <c r="K291" s="2" t="s">
        <v>1362</v>
      </c>
      <c r="L291" s="2" t="s">
        <v>1364</v>
      </c>
      <c r="M291" s="1" t="s">
        <v>1360</v>
      </c>
      <c r="N291" s="1" t="n">
        <v>0</v>
      </c>
      <c r="O291" s="2" t="n">
        <v>92.99</v>
      </c>
      <c r="P291" s="2" t="n">
        <v>92.99</v>
      </c>
      <c r="Q291" s="2" t="n">
        <v>92.99</v>
      </c>
      <c r="R291" s="1" t="n">
        <v>1</v>
      </c>
      <c r="S291" s="1" t="n">
        <v>0</v>
      </c>
      <c r="T291" s="1" t="s">
        <v>1360</v>
      </c>
      <c r="U291" s="1" t="n">
        <v>3</v>
      </c>
      <c r="V291" s="1" t="n">
        <v>0</v>
      </c>
    </row>
    <row r="292" customFormat="false" ht="18.7" hidden="false" customHeight="true" outlineLevel="0" collapsed="false">
      <c r="A292" s="1" t="n">
        <v>291</v>
      </c>
      <c r="B292" s="7" t="str">
        <f aca="false">HYPERLINK("https://mncourtfraud.com/file/27-CR-21-2803.pdf","27-CR-21-2803")</f>
        <v>27-CR-21-2803</v>
      </c>
      <c r="C292" s="1" t="n">
        <v>1</v>
      </c>
      <c r="D292" s="2" t="s">
        <v>12</v>
      </c>
      <c r="E292" s="8" t="n">
        <v>44558</v>
      </c>
      <c r="F292" s="2" t="s">
        <v>15</v>
      </c>
      <c r="G292" s="7" t="str">
        <f aca="false">HYPERLINK("https://mncourtfraud.com/file/MCRO_27-CR-21-2803_Order-Evaluation for Competency to Proceed (Rule 20.01)_2021-12-28_20251126184326.pdf","MCRO_27-CR-21-2803_Order-Evaluation for Competency to Proceed (Rule 20.01)_2021-12-28_20251126184326.pdf")</f>
        <v>MCRO_27-CR-21-2803_Order-Evaluation for Competency to Proceed (Rule 20.01)_2021-12-28_20251126184326.pdf</v>
      </c>
      <c r="H292" s="1" t="n">
        <v>4</v>
      </c>
      <c r="I292" s="1" t="s">
        <v>1360</v>
      </c>
      <c r="J292" s="1" t="n">
        <v>1</v>
      </c>
      <c r="K292" s="2" t="s">
        <v>1362</v>
      </c>
      <c r="L292" s="2" t="s">
        <v>1364</v>
      </c>
      <c r="M292" s="1" t="s">
        <v>1360</v>
      </c>
      <c r="N292" s="1" t="n">
        <v>0</v>
      </c>
      <c r="O292" s="2" t="n">
        <v>93.2</v>
      </c>
      <c r="P292" s="2" t="n">
        <v>93.2</v>
      </c>
      <c r="Q292" s="2" t="n">
        <v>93.2</v>
      </c>
      <c r="R292" s="1" t="n">
        <v>1</v>
      </c>
      <c r="S292" s="1" t="n">
        <v>0</v>
      </c>
      <c r="T292" s="1" t="s">
        <v>1360</v>
      </c>
      <c r="U292" s="1" t="n">
        <v>4</v>
      </c>
      <c r="V292" s="1" t="n">
        <v>0</v>
      </c>
    </row>
    <row r="293" customFormat="false" ht="18.7" hidden="false" customHeight="true" outlineLevel="0" collapsed="false">
      <c r="A293" s="1" t="n">
        <v>292</v>
      </c>
      <c r="B293" s="7" t="str">
        <f aca="false">HYPERLINK("https://mncourtfraud.com/file/27-CR-21-2803.pdf","27-CR-21-2803")</f>
        <v>27-CR-21-2803</v>
      </c>
      <c r="C293" s="1" t="n">
        <v>1</v>
      </c>
      <c r="D293" s="2" t="s">
        <v>12</v>
      </c>
      <c r="E293" s="8" t="n">
        <v>44692</v>
      </c>
      <c r="F293" s="2" t="s">
        <v>15</v>
      </c>
      <c r="G293" s="7" t="str">
        <f aca="false">HYPERLINK("https://mncourtfraud.com/file/MCRO_27-CR-21-2803_Order-Evaluation for Competency to Proceed (Rule 20.01)_2022-05-11_20251126184334.pdf","MCRO_27-CR-21-2803_Order-Evaluation for Competency to Proceed (Rule 20.01)_2022-05-11_20251126184334.pdf")</f>
        <v>MCRO_27-CR-21-2803_Order-Evaluation for Competency to Proceed (Rule 20.01)_2022-05-11_20251126184334.pdf</v>
      </c>
      <c r="H293" s="1" t="n">
        <v>3</v>
      </c>
      <c r="I293" s="1" t="s">
        <v>1360</v>
      </c>
      <c r="J293" s="1" t="n">
        <v>1</v>
      </c>
      <c r="K293" s="2" t="s">
        <v>1362</v>
      </c>
      <c r="L293" s="2" t="s">
        <v>1364</v>
      </c>
      <c r="M293" s="1" t="s">
        <v>1360</v>
      </c>
      <c r="N293" s="1" t="n">
        <v>0</v>
      </c>
      <c r="O293" s="2" t="n">
        <v>93.17</v>
      </c>
      <c r="P293" s="2" t="n">
        <v>93.17</v>
      </c>
      <c r="Q293" s="2" t="n">
        <v>93.17</v>
      </c>
      <c r="R293" s="1" t="n">
        <v>1</v>
      </c>
      <c r="S293" s="1" t="n">
        <v>0</v>
      </c>
      <c r="T293" s="1" t="s">
        <v>1360</v>
      </c>
      <c r="U293" s="1" t="n">
        <v>3</v>
      </c>
      <c r="V293" s="1" t="n">
        <v>0</v>
      </c>
    </row>
    <row r="294" customFormat="false" ht="18.7" hidden="false" customHeight="true" outlineLevel="0" collapsed="false">
      <c r="A294" s="1" t="n">
        <v>293</v>
      </c>
      <c r="B294" s="7" t="str">
        <f aca="false">HYPERLINK("https://mncourtfraud.com/file/27-CR-21-2803.pdf","27-CR-21-2803")</f>
        <v>27-CR-21-2803</v>
      </c>
      <c r="C294" s="1" t="n">
        <v>1</v>
      </c>
      <c r="D294" s="2" t="s">
        <v>12</v>
      </c>
      <c r="E294" s="8" t="n">
        <v>44895</v>
      </c>
      <c r="F294" s="2" t="s">
        <v>15</v>
      </c>
      <c r="G294" s="7" t="str">
        <f aca="false">HYPERLINK("https://mncourtfraud.com/file/MCRO_27-CR-21-2803_Order-Evaluation for Competency to Proceed (Rule 20.01)_2022-11-30_20251126184340.pdf","MCRO_27-CR-21-2803_Order-Evaluation for Competency to Proceed (Rule 20.01)_2022-11-30_20251126184340.pdf")</f>
        <v>MCRO_27-CR-21-2803_Order-Evaluation for Competency to Proceed (Rule 20.01)_2022-11-30_20251126184340.pdf</v>
      </c>
      <c r="H294" s="1" t="n">
        <v>4</v>
      </c>
      <c r="I294" s="1" t="s">
        <v>1360</v>
      </c>
      <c r="J294" s="1" t="n">
        <v>1</v>
      </c>
      <c r="K294" s="2" t="s">
        <v>1362</v>
      </c>
      <c r="L294" s="2" t="s">
        <v>1364</v>
      </c>
      <c r="M294" s="1" t="s">
        <v>1360</v>
      </c>
      <c r="N294" s="1" t="n">
        <v>0</v>
      </c>
      <c r="O294" s="2" t="n">
        <v>97.99</v>
      </c>
      <c r="P294" s="2" t="n">
        <v>97.99</v>
      </c>
      <c r="Q294" s="2" t="n">
        <v>97.99</v>
      </c>
      <c r="R294" s="1" t="n">
        <v>1</v>
      </c>
      <c r="S294" s="1" t="n">
        <v>0</v>
      </c>
      <c r="T294" s="1" t="s">
        <v>1360</v>
      </c>
      <c r="U294" s="1" t="n">
        <v>4</v>
      </c>
      <c r="V294" s="1" t="n">
        <v>0</v>
      </c>
    </row>
    <row r="295" customFormat="false" ht="18.7" hidden="false" customHeight="true" outlineLevel="0" collapsed="false">
      <c r="A295" s="1" t="n">
        <v>294</v>
      </c>
      <c r="B295" s="7" t="str">
        <f aca="false">HYPERLINK("https://mncourtfraud.com/file/27-CR-21-2803.pdf","27-CR-21-2803")</f>
        <v>27-CR-21-2803</v>
      </c>
      <c r="C295" s="1" t="n">
        <v>1</v>
      </c>
      <c r="D295" s="2" t="s">
        <v>12</v>
      </c>
      <c r="E295" s="8" t="n">
        <v>44460</v>
      </c>
      <c r="F295" s="2" t="s">
        <v>24</v>
      </c>
      <c r="G295" s="7" t="str">
        <f aca="false">HYPERLINK("https://mncourtfraud.com/file/MCRO_27-CR-21-2803_Order for Conditional Release_2021-09-21_20251126184257.pdf","MCRO_27-CR-21-2803_Order for Conditional Release_2021-09-21_20251126184257.pdf")</f>
        <v>MCRO_27-CR-21-2803_Order for Conditional Release_2021-09-21_20251126184257.pdf</v>
      </c>
      <c r="H295" s="1" t="n">
        <v>4</v>
      </c>
      <c r="I295" s="1" t="s">
        <v>1360</v>
      </c>
      <c r="J295" s="1" t="n">
        <v>1</v>
      </c>
      <c r="K295" s="2" t="s">
        <v>1362</v>
      </c>
      <c r="L295" s="2" t="s">
        <v>1364</v>
      </c>
      <c r="M295" s="1" t="s">
        <v>1360</v>
      </c>
      <c r="N295" s="1" t="n">
        <v>0</v>
      </c>
      <c r="O295" s="2" t="n">
        <v>84.52</v>
      </c>
      <c r="P295" s="2" t="n">
        <v>84.52</v>
      </c>
      <c r="Q295" s="2" t="n">
        <v>84.52</v>
      </c>
      <c r="R295" s="1" t="n">
        <v>1</v>
      </c>
      <c r="S295" s="1" t="n">
        <v>0</v>
      </c>
      <c r="T295" s="1" t="s">
        <v>1360</v>
      </c>
      <c r="U295" s="1" t="n">
        <v>4</v>
      </c>
      <c r="V295" s="1" t="n">
        <v>0</v>
      </c>
    </row>
    <row r="296" customFormat="false" ht="18.7" hidden="false" customHeight="true" outlineLevel="0" collapsed="false">
      <c r="A296" s="1" t="n">
        <v>295</v>
      </c>
      <c r="B296" s="7" t="str">
        <f aca="false">HYPERLINK("https://mncourtfraud.com/file/27-CR-21-2803.pdf","27-CR-21-2803")</f>
        <v>27-CR-21-2803</v>
      </c>
      <c r="C296" s="1" t="n">
        <v>1</v>
      </c>
      <c r="D296" s="2" t="s">
        <v>12</v>
      </c>
      <c r="E296" s="8" t="n">
        <v>44468</v>
      </c>
      <c r="F296" s="2" t="s">
        <v>24</v>
      </c>
      <c r="G296" s="7" t="str">
        <f aca="false">HYPERLINK("https://mncourtfraud.com/file/MCRO_27-CR-21-2803_Order for Conditional Release_2021-09-29_20251126184253.pdf","MCRO_27-CR-21-2803_Order for Conditional Release_2021-09-29_20251126184253.pdf")</f>
        <v>MCRO_27-CR-21-2803_Order for Conditional Release_2021-09-29_20251126184253.pdf</v>
      </c>
      <c r="H296" s="1" t="n">
        <v>4</v>
      </c>
      <c r="I296" s="1" t="s">
        <v>1360</v>
      </c>
      <c r="J296" s="1" t="n">
        <v>1</v>
      </c>
      <c r="K296" s="2" t="s">
        <v>1362</v>
      </c>
      <c r="L296" s="2" t="s">
        <v>1364</v>
      </c>
      <c r="M296" s="1" t="s">
        <v>1360</v>
      </c>
      <c r="N296" s="1" t="n">
        <v>0</v>
      </c>
      <c r="O296" s="2" t="n">
        <v>89.21</v>
      </c>
      <c r="P296" s="2" t="n">
        <v>89.21</v>
      </c>
      <c r="Q296" s="2" t="n">
        <v>89.21</v>
      </c>
      <c r="R296" s="1" t="n">
        <v>1</v>
      </c>
      <c r="S296" s="1" t="n">
        <v>0</v>
      </c>
      <c r="T296" s="1" t="s">
        <v>1360</v>
      </c>
      <c r="U296" s="1" t="n">
        <v>4</v>
      </c>
      <c r="V296" s="1" t="n">
        <v>0</v>
      </c>
    </row>
    <row r="297" customFormat="false" ht="18.7" hidden="false" customHeight="true" outlineLevel="0" collapsed="false">
      <c r="A297" s="1" t="n">
        <v>296</v>
      </c>
      <c r="B297" s="7" t="str">
        <f aca="false">HYPERLINK("https://mncourtfraud.com/file/27-CR-21-4099.pdf","27-CR-21-4099")</f>
        <v>27-CR-21-4099</v>
      </c>
      <c r="C297" s="1" t="n">
        <v>1</v>
      </c>
      <c r="D297" s="2" t="s">
        <v>12</v>
      </c>
      <c r="E297" s="8" t="n">
        <v>44439</v>
      </c>
      <c r="F297" s="2" t="s">
        <v>19</v>
      </c>
      <c r="G297" s="7" t="str">
        <f aca="false">HYPERLINK("https://mncourtfraud.com/file/MCRO_27-CR-21-4099_Findings and Order_2021-08-31_20251126184414.pdf","MCRO_27-CR-21-4099_Findings and Order_2021-08-31_20251126184414.pdf")</f>
        <v>MCRO_27-CR-21-4099_Findings and Order_2021-08-31_20251126184414.pdf</v>
      </c>
      <c r="H297" s="1" t="n">
        <v>5</v>
      </c>
      <c r="I297" s="1" t="s">
        <v>1366</v>
      </c>
      <c r="J297" s="1" t="n">
        <v>2</v>
      </c>
      <c r="K297" s="2" t="s">
        <v>2267</v>
      </c>
      <c r="L297" s="2" t="s">
        <v>1364</v>
      </c>
      <c r="M297" s="1" t="s">
        <v>1366</v>
      </c>
      <c r="N297" s="1" t="n">
        <v>1</v>
      </c>
      <c r="O297" s="2" t="n">
        <v>39.94</v>
      </c>
      <c r="P297" s="2" t="n">
        <v>95.64</v>
      </c>
      <c r="Q297" s="2" t="n">
        <v>67.79</v>
      </c>
      <c r="R297" s="1" t="n">
        <v>2</v>
      </c>
      <c r="S297" s="1" t="n">
        <v>0</v>
      </c>
      <c r="T297" s="1" t="s">
        <v>1360</v>
      </c>
      <c r="U297" s="1" t="n">
        <v>2</v>
      </c>
      <c r="V297" s="1" t="n">
        <v>0</v>
      </c>
    </row>
    <row r="298" customFormat="false" ht="18.7" hidden="false" customHeight="true" outlineLevel="0" collapsed="false">
      <c r="A298" s="1" t="n">
        <v>297</v>
      </c>
      <c r="B298" s="7" t="str">
        <f aca="false">HYPERLINK("https://mncourtfraud.com/file/27-CR-21-4099.pdf","27-CR-21-4099")</f>
        <v>27-CR-21-4099</v>
      </c>
      <c r="C298" s="1" t="n">
        <v>1</v>
      </c>
      <c r="D298" s="2" t="s">
        <v>12</v>
      </c>
      <c r="E298" s="8" t="n">
        <v>44593</v>
      </c>
      <c r="F298" s="2" t="s">
        <v>19</v>
      </c>
      <c r="G298" s="7" t="str">
        <f aca="false">HYPERLINK("https://mncourtfraud.com/file/MCRO_27-CR-21-4099_Findings and Order_2022-02-01_20251126184406.pdf","MCRO_27-CR-21-4099_Findings and Order_2022-02-01_20251126184406.pdf")</f>
        <v>MCRO_27-CR-21-4099_Findings and Order_2022-02-01_20251126184406.pdf</v>
      </c>
      <c r="H298" s="1" t="n">
        <v>4</v>
      </c>
      <c r="I298" s="1" t="s">
        <v>1360</v>
      </c>
      <c r="J298" s="1" t="n">
        <v>2</v>
      </c>
      <c r="K298" s="2" t="s">
        <v>2267</v>
      </c>
      <c r="L298" s="2" t="s">
        <v>1364</v>
      </c>
      <c r="M298" s="1" t="s">
        <v>1366</v>
      </c>
      <c r="N298" s="1" t="n">
        <v>1</v>
      </c>
      <c r="O298" s="2" t="n">
        <v>47.77</v>
      </c>
      <c r="P298" s="2" t="n">
        <v>95.47</v>
      </c>
      <c r="Q298" s="2" t="n">
        <v>71.62</v>
      </c>
      <c r="R298" s="1" t="n">
        <v>2</v>
      </c>
      <c r="S298" s="1" t="n">
        <v>0</v>
      </c>
      <c r="T298" s="1" t="s">
        <v>1360</v>
      </c>
      <c r="U298" s="1" t="n">
        <v>2</v>
      </c>
      <c r="V298" s="1" t="n">
        <v>0</v>
      </c>
    </row>
    <row r="299" customFormat="false" ht="18.7" hidden="false" customHeight="true" outlineLevel="0" collapsed="false">
      <c r="A299" s="1" t="n">
        <v>298</v>
      </c>
      <c r="B299" s="7" t="str">
        <f aca="false">HYPERLINK("https://mncourtfraud.com/file/27-CR-21-4099.pdf","27-CR-21-4099")</f>
        <v>27-CR-21-4099</v>
      </c>
      <c r="C299" s="1" t="n">
        <v>1</v>
      </c>
      <c r="D299" s="2" t="s">
        <v>12</v>
      </c>
      <c r="E299" s="8" t="n">
        <v>44439</v>
      </c>
      <c r="F299" s="2" t="s">
        <v>134</v>
      </c>
      <c r="G299" s="7" t="str">
        <f aca="false">HYPERLINK("https://mncourtfraud.com/file/MCRO_27-CR-21-4099_Notice of Intent to Prosecute_2021-08-31_20251126184425.pdf","MCRO_27-CR-21-4099_Notice of Intent to Prosecute_2021-08-31_20251126184425.pdf")</f>
        <v>MCRO_27-CR-21-4099_Notice of Intent to Prosecute_2021-08-31_20251126184425.pdf</v>
      </c>
      <c r="H299" s="1" t="n">
        <v>3</v>
      </c>
      <c r="I299" s="1" t="s">
        <v>1360</v>
      </c>
      <c r="J299" s="1" t="n">
        <v>1</v>
      </c>
      <c r="K299" s="2" t="s">
        <v>1362</v>
      </c>
      <c r="L299" s="2" t="s">
        <v>1364</v>
      </c>
      <c r="M299" s="1" t="s">
        <v>1360</v>
      </c>
      <c r="N299" s="1" t="n">
        <v>0</v>
      </c>
      <c r="O299" s="2" t="n">
        <v>88.01</v>
      </c>
      <c r="P299" s="2" t="n">
        <v>88.01</v>
      </c>
      <c r="Q299" s="2" t="n">
        <v>88.01</v>
      </c>
      <c r="R299" s="1" t="n">
        <v>1</v>
      </c>
      <c r="S299" s="1" t="n">
        <v>0</v>
      </c>
      <c r="T299" s="1" t="s">
        <v>1360</v>
      </c>
      <c r="U299" s="1" t="n">
        <v>3</v>
      </c>
      <c r="V299" s="1" t="n">
        <v>0</v>
      </c>
    </row>
    <row r="300" customFormat="false" ht="18.7" hidden="false" customHeight="true" outlineLevel="0" collapsed="false">
      <c r="A300" s="1" t="n">
        <v>299</v>
      </c>
      <c r="B300" s="7" t="str">
        <f aca="false">HYPERLINK("https://mncourtfraud.com/file/27-CR-21-4099.pdf","27-CR-21-4099")</f>
        <v>27-CR-21-4099</v>
      </c>
      <c r="C300" s="1" t="n">
        <v>1</v>
      </c>
      <c r="D300" s="2" t="s">
        <v>12</v>
      </c>
      <c r="E300" s="8" t="n">
        <v>44396</v>
      </c>
      <c r="F300" s="2" t="s">
        <v>15</v>
      </c>
      <c r="G300" s="7" t="str">
        <f aca="false">HYPERLINK("https://mncourtfraud.com/file/MCRO_27-CR-21-4099_Order-Evaluation for Competency to Proceed (Rule 20.01)_2021-07-19_20251126184452.pdf","MCRO_27-CR-21-4099_Order-Evaluation for Competency to Proceed (Rule 20.01)_2021-07-19_20251126184452.pdf")</f>
        <v>MCRO_27-CR-21-4099_Order-Evaluation for Competency to Proceed (Rule 20.01)_2021-07-19_20251126184452.pdf</v>
      </c>
      <c r="H300" s="1" t="n">
        <v>4</v>
      </c>
      <c r="I300" s="1" t="s">
        <v>1360</v>
      </c>
      <c r="J300" s="1" t="n">
        <v>1</v>
      </c>
      <c r="K300" s="2" t="s">
        <v>1362</v>
      </c>
      <c r="L300" s="2" t="s">
        <v>1364</v>
      </c>
      <c r="M300" s="1" t="s">
        <v>1360</v>
      </c>
      <c r="N300" s="1" t="n">
        <v>0</v>
      </c>
      <c r="O300" s="2" t="n">
        <v>91.65</v>
      </c>
      <c r="P300" s="2" t="n">
        <v>91.65</v>
      </c>
      <c r="Q300" s="2" t="n">
        <v>91.65</v>
      </c>
      <c r="R300" s="1" t="n">
        <v>1</v>
      </c>
      <c r="S300" s="1" t="n">
        <v>0</v>
      </c>
      <c r="T300" s="1" t="s">
        <v>1360</v>
      </c>
      <c r="U300" s="1" t="n">
        <v>4</v>
      </c>
      <c r="V300" s="1" t="n">
        <v>0</v>
      </c>
    </row>
    <row r="301" customFormat="false" ht="18.7" hidden="false" customHeight="true" outlineLevel="0" collapsed="false">
      <c r="A301" s="1" t="n">
        <v>300</v>
      </c>
      <c r="B301" s="7" t="str">
        <f aca="false">HYPERLINK("https://mncourtfraud.com/file/27-CR-21-4099.pdf","27-CR-21-4099")</f>
        <v>27-CR-21-4099</v>
      </c>
      <c r="C301" s="1" t="n">
        <v>1</v>
      </c>
      <c r="D301" s="2" t="s">
        <v>12</v>
      </c>
      <c r="E301" s="8" t="n">
        <v>44543</v>
      </c>
      <c r="F301" s="2" t="s">
        <v>15</v>
      </c>
      <c r="G301" s="7" t="str">
        <f aca="false">HYPERLINK("https://mncourtfraud.com/file/MCRO_27-CR-21-4099_Order-Evaluation for Competency to Proceed (Rule 20.01)_2021-12-13_20251126184501.pdf","MCRO_27-CR-21-4099_Order-Evaluation for Competency to Proceed (Rule 20.01)_2021-12-13_20251126184501.pdf")</f>
        <v>MCRO_27-CR-21-4099_Order-Evaluation for Competency to Proceed (Rule 20.01)_2021-12-13_20251126184501.pdf</v>
      </c>
      <c r="H301" s="1" t="n">
        <v>3</v>
      </c>
      <c r="I301" s="1" t="s">
        <v>1360</v>
      </c>
      <c r="J301" s="1" t="n">
        <v>1</v>
      </c>
      <c r="K301" s="2" t="s">
        <v>1362</v>
      </c>
      <c r="L301" s="2" t="s">
        <v>1364</v>
      </c>
      <c r="M301" s="1" t="s">
        <v>1360</v>
      </c>
      <c r="N301" s="1" t="n">
        <v>0</v>
      </c>
      <c r="O301" s="2" t="n">
        <v>92.99</v>
      </c>
      <c r="P301" s="2" t="n">
        <v>92.99</v>
      </c>
      <c r="Q301" s="2" t="n">
        <v>92.99</v>
      </c>
      <c r="R301" s="1" t="n">
        <v>1</v>
      </c>
      <c r="S301" s="1" t="n">
        <v>0</v>
      </c>
      <c r="T301" s="1" t="s">
        <v>1360</v>
      </c>
      <c r="U301" s="1" t="n">
        <v>3</v>
      </c>
      <c r="V301" s="1" t="n">
        <v>0</v>
      </c>
    </row>
    <row r="302" customFormat="false" ht="18.7" hidden="false" customHeight="true" outlineLevel="0" collapsed="false">
      <c r="A302" s="1" t="n">
        <v>301</v>
      </c>
      <c r="B302" s="7" t="str">
        <f aca="false">HYPERLINK("https://mncourtfraud.com/file/27-CR-21-4099.pdf","27-CR-21-4099")</f>
        <v>27-CR-21-4099</v>
      </c>
      <c r="C302" s="1" t="n">
        <v>1</v>
      </c>
      <c r="D302" s="2" t="s">
        <v>12</v>
      </c>
      <c r="E302" s="8" t="n">
        <v>44558</v>
      </c>
      <c r="F302" s="2" t="s">
        <v>15</v>
      </c>
      <c r="G302" s="7" t="str">
        <f aca="false">HYPERLINK("https://mncourtfraud.com/file/MCRO_27-CR-21-4099_Order-Evaluation for Competency to Proceed (Rule 20.01)_2021-12-28_20251126184509.pdf","MCRO_27-CR-21-4099_Order-Evaluation for Competency to Proceed (Rule 20.01)_2021-12-28_20251126184509.pdf")</f>
        <v>MCRO_27-CR-21-4099_Order-Evaluation for Competency to Proceed (Rule 20.01)_2021-12-28_20251126184509.pdf</v>
      </c>
      <c r="H302" s="1" t="n">
        <v>4</v>
      </c>
      <c r="I302" s="1" t="s">
        <v>1360</v>
      </c>
      <c r="J302" s="1" t="n">
        <v>1</v>
      </c>
      <c r="K302" s="2" t="s">
        <v>1362</v>
      </c>
      <c r="L302" s="2" t="s">
        <v>1364</v>
      </c>
      <c r="M302" s="1" t="s">
        <v>1360</v>
      </c>
      <c r="N302" s="1" t="n">
        <v>0</v>
      </c>
      <c r="O302" s="2" t="n">
        <v>93.18</v>
      </c>
      <c r="P302" s="2" t="n">
        <v>93.18</v>
      </c>
      <c r="Q302" s="2" t="n">
        <v>93.18</v>
      </c>
      <c r="R302" s="1" t="n">
        <v>1</v>
      </c>
      <c r="S302" s="1" t="n">
        <v>0</v>
      </c>
      <c r="T302" s="1" t="s">
        <v>1360</v>
      </c>
      <c r="U302" s="1" t="n">
        <v>4</v>
      </c>
      <c r="V302" s="1" t="n">
        <v>0</v>
      </c>
    </row>
    <row r="303" customFormat="false" ht="18.7" hidden="false" customHeight="true" outlineLevel="0" collapsed="false">
      <c r="A303" s="1" t="n">
        <v>302</v>
      </c>
      <c r="B303" s="7" t="str">
        <f aca="false">HYPERLINK("https://mncourtfraud.com/file/27-CR-21-4099.pdf","27-CR-21-4099")</f>
        <v>27-CR-21-4099</v>
      </c>
      <c r="C303" s="1" t="n">
        <v>1</v>
      </c>
      <c r="D303" s="2" t="s">
        <v>12</v>
      </c>
      <c r="E303" s="8" t="n">
        <v>44692</v>
      </c>
      <c r="F303" s="2" t="s">
        <v>15</v>
      </c>
      <c r="G303" s="7" t="str">
        <f aca="false">HYPERLINK("https://mncourtfraud.com/file/MCRO_27-CR-21-4099_Order-Evaluation for Competency to Proceed (Rule 20.01)_2022-05-11_20251126184519.pdf","MCRO_27-CR-21-4099_Order-Evaluation for Competency to Proceed (Rule 20.01)_2022-05-11_20251126184519.pdf")</f>
        <v>MCRO_27-CR-21-4099_Order-Evaluation for Competency to Proceed (Rule 20.01)_2022-05-11_20251126184519.pdf</v>
      </c>
      <c r="H303" s="1" t="n">
        <v>3</v>
      </c>
      <c r="I303" s="1" t="s">
        <v>1360</v>
      </c>
      <c r="J303" s="1" t="n">
        <v>1</v>
      </c>
      <c r="K303" s="2" t="s">
        <v>1362</v>
      </c>
      <c r="L303" s="2" t="s">
        <v>1364</v>
      </c>
      <c r="M303" s="1" t="s">
        <v>1360</v>
      </c>
      <c r="N303" s="1" t="n">
        <v>0</v>
      </c>
      <c r="O303" s="2" t="n">
        <v>93.17</v>
      </c>
      <c r="P303" s="2" t="n">
        <v>93.17</v>
      </c>
      <c r="Q303" s="2" t="n">
        <v>93.17</v>
      </c>
      <c r="R303" s="1" t="n">
        <v>1</v>
      </c>
      <c r="S303" s="1" t="n">
        <v>0</v>
      </c>
      <c r="T303" s="1" t="s">
        <v>1360</v>
      </c>
      <c r="U303" s="1" t="n">
        <v>3</v>
      </c>
      <c r="V303" s="1" t="n">
        <v>0</v>
      </c>
    </row>
    <row r="304" customFormat="false" ht="18.7" hidden="false" customHeight="true" outlineLevel="0" collapsed="false">
      <c r="A304" s="1" t="n">
        <v>303</v>
      </c>
      <c r="B304" s="7" t="str">
        <f aca="false">HYPERLINK("https://mncourtfraud.com/file/27-CR-21-4099.pdf","27-CR-21-4099")</f>
        <v>27-CR-21-4099</v>
      </c>
      <c r="C304" s="1" t="n">
        <v>1</v>
      </c>
      <c r="D304" s="2" t="s">
        <v>12</v>
      </c>
      <c r="E304" s="8" t="n">
        <v>44895</v>
      </c>
      <c r="F304" s="2" t="s">
        <v>15</v>
      </c>
      <c r="G304" s="7" t="str">
        <f aca="false">HYPERLINK("https://mncourtfraud.com/file/MCRO_27-CR-21-4099_Order-Evaluation for Competency to Proceed (Rule 20.01)_2022-11-30_20251126184526.pdf","MCRO_27-CR-21-4099_Order-Evaluation for Competency to Proceed (Rule 20.01)_2022-11-30_20251126184526.pdf")</f>
        <v>MCRO_27-CR-21-4099_Order-Evaluation for Competency to Proceed (Rule 20.01)_2022-11-30_20251126184526.pdf</v>
      </c>
      <c r="H304" s="1" t="n">
        <v>4</v>
      </c>
      <c r="I304" s="1" t="s">
        <v>1360</v>
      </c>
      <c r="J304" s="1" t="n">
        <v>1</v>
      </c>
      <c r="K304" s="2" t="s">
        <v>1362</v>
      </c>
      <c r="L304" s="2" t="s">
        <v>1364</v>
      </c>
      <c r="M304" s="1" t="s">
        <v>1360</v>
      </c>
      <c r="N304" s="1" t="n">
        <v>0</v>
      </c>
      <c r="O304" s="2" t="n">
        <v>97.99</v>
      </c>
      <c r="P304" s="2" t="n">
        <v>97.99</v>
      </c>
      <c r="Q304" s="2" t="n">
        <v>97.99</v>
      </c>
      <c r="R304" s="1" t="n">
        <v>1</v>
      </c>
      <c r="S304" s="1" t="n">
        <v>0</v>
      </c>
      <c r="T304" s="1" t="s">
        <v>1360</v>
      </c>
      <c r="U304" s="1" t="n">
        <v>4</v>
      </c>
      <c r="V304" s="1" t="n">
        <v>0</v>
      </c>
    </row>
    <row r="305" customFormat="false" ht="18.7" hidden="false" customHeight="true" outlineLevel="0" collapsed="false">
      <c r="A305" s="1" t="n">
        <v>304</v>
      </c>
      <c r="B305" s="7" t="str">
        <f aca="false">HYPERLINK("https://mncourtfraud.com/file/27-CR-21-4099.pdf","27-CR-21-4099")</f>
        <v>27-CR-21-4099</v>
      </c>
      <c r="C305" s="1" t="n">
        <v>1</v>
      </c>
      <c r="D305" s="2" t="s">
        <v>12</v>
      </c>
      <c r="E305" s="8" t="n">
        <v>44460</v>
      </c>
      <c r="F305" s="2" t="s">
        <v>24</v>
      </c>
      <c r="G305" s="7" t="str">
        <f aca="false">HYPERLINK("https://mncourtfraud.com/file/MCRO_27-CR-21-4099_Order for Conditional Release_2021-09-21_20251126184441.pdf","MCRO_27-CR-21-4099_Order for Conditional Release_2021-09-21_20251126184441.pdf")</f>
        <v>MCRO_27-CR-21-4099_Order for Conditional Release_2021-09-21_20251126184441.pdf</v>
      </c>
      <c r="H305" s="1" t="n">
        <v>4</v>
      </c>
      <c r="I305" s="1" t="s">
        <v>1360</v>
      </c>
      <c r="J305" s="1" t="n">
        <v>1</v>
      </c>
      <c r="K305" s="2" t="s">
        <v>1362</v>
      </c>
      <c r="L305" s="2" t="s">
        <v>1364</v>
      </c>
      <c r="M305" s="1" t="s">
        <v>1360</v>
      </c>
      <c r="N305" s="1" t="n">
        <v>0</v>
      </c>
      <c r="O305" s="2" t="n">
        <v>84.52</v>
      </c>
      <c r="P305" s="2" t="n">
        <v>84.52</v>
      </c>
      <c r="Q305" s="2" t="n">
        <v>84.52</v>
      </c>
      <c r="R305" s="1" t="n">
        <v>1</v>
      </c>
      <c r="S305" s="1" t="n">
        <v>0</v>
      </c>
      <c r="T305" s="1" t="s">
        <v>1360</v>
      </c>
      <c r="U305" s="1" t="n">
        <v>4</v>
      </c>
      <c r="V305" s="1" t="n">
        <v>0</v>
      </c>
    </row>
    <row r="306" customFormat="false" ht="18.7" hidden="false" customHeight="true" outlineLevel="0" collapsed="false">
      <c r="A306" s="1" t="n">
        <v>305</v>
      </c>
      <c r="B306" s="7" t="str">
        <f aca="false">HYPERLINK("https://mncourtfraud.com/file/27-CR-21-4099.pdf","27-CR-21-4099")</f>
        <v>27-CR-21-4099</v>
      </c>
      <c r="C306" s="1" t="n">
        <v>1</v>
      </c>
      <c r="D306" s="2" t="s">
        <v>12</v>
      </c>
      <c r="E306" s="8" t="n">
        <v>44468</v>
      </c>
      <c r="F306" s="2" t="s">
        <v>24</v>
      </c>
      <c r="G306" s="7" t="str">
        <f aca="false">HYPERLINK("https://mncourtfraud.com/file/MCRO_27-CR-21-4099_Order for Conditional Release_2021-09-29_20251126184435.pdf","MCRO_27-CR-21-4099_Order for Conditional Release_2021-09-29_20251126184435.pdf")</f>
        <v>MCRO_27-CR-21-4099_Order for Conditional Release_2021-09-29_20251126184435.pdf</v>
      </c>
      <c r="H306" s="1" t="n">
        <v>4</v>
      </c>
      <c r="I306" s="1" t="s">
        <v>1360</v>
      </c>
      <c r="J306" s="1" t="n">
        <v>1</v>
      </c>
      <c r="K306" s="2" t="s">
        <v>1362</v>
      </c>
      <c r="L306" s="2" t="s">
        <v>1364</v>
      </c>
      <c r="M306" s="1" t="s">
        <v>1360</v>
      </c>
      <c r="N306" s="1" t="n">
        <v>0</v>
      </c>
      <c r="O306" s="2" t="n">
        <v>89.21</v>
      </c>
      <c r="P306" s="2" t="n">
        <v>89.21</v>
      </c>
      <c r="Q306" s="2" t="n">
        <v>89.21</v>
      </c>
      <c r="R306" s="1" t="n">
        <v>1</v>
      </c>
      <c r="S306" s="1" t="n">
        <v>0</v>
      </c>
      <c r="T306" s="1" t="s">
        <v>1360</v>
      </c>
      <c r="U306" s="1" t="n">
        <v>4</v>
      </c>
      <c r="V306" s="1" t="n">
        <v>0</v>
      </c>
    </row>
    <row r="307" customFormat="false" ht="18.7" hidden="false" customHeight="true" outlineLevel="0" collapsed="false">
      <c r="A307" s="1" t="n">
        <v>306</v>
      </c>
      <c r="B307" s="7" t="str">
        <f aca="false">HYPERLINK("https://mncourtfraud.com/file/27-CR-21-5179.pdf","27-CR-21-5179")</f>
        <v>27-CR-21-5179</v>
      </c>
      <c r="C307" s="1" t="n">
        <v>5</v>
      </c>
      <c r="D307" s="2" t="s">
        <v>267</v>
      </c>
      <c r="E307" s="8" t="n">
        <v>44873</v>
      </c>
      <c r="F307" s="2" t="s">
        <v>15</v>
      </c>
      <c r="G307" s="7" t="str">
        <f aca="false">HYPERLINK("https://mncourtfraud.com/file/MCRO_27-CR-21-5179_Order-Evaluation for Competency to Proceed (Rule 20.01)_2022-11-08_20251126165604.pdf","MCRO_27-CR-21-5179_Order-Evaluation for Competency to Proceed (Rule 20.01)_2022-11-08_20251126165604.pdf")</f>
        <v>MCRO_27-CR-21-5179_Order-Evaluation for Competency to Proceed (Rule 20.01)_2022-11-08_20251126165604.pdf</v>
      </c>
      <c r="H307" s="1" t="n">
        <v>4</v>
      </c>
      <c r="I307" s="1" t="s">
        <v>1360</v>
      </c>
      <c r="J307" s="1" t="n">
        <v>1</v>
      </c>
      <c r="K307" s="2" t="s">
        <v>1362</v>
      </c>
      <c r="L307" s="2" t="s">
        <v>1364</v>
      </c>
      <c r="M307" s="1" t="s">
        <v>1360</v>
      </c>
      <c r="N307" s="1" t="n">
        <v>0</v>
      </c>
      <c r="O307" s="2" t="n">
        <v>98.06</v>
      </c>
      <c r="P307" s="2" t="n">
        <v>98.06</v>
      </c>
      <c r="Q307" s="2" t="n">
        <v>98.06</v>
      </c>
      <c r="R307" s="1" t="n">
        <v>1</v>
      </c>
      <c r="S307" s="1" t="n">
        <v>0</v>
      </c>
      <c r="T307" s="1" t="s">
        <v>1360</v>
      </c>
      <c r="U307" s="1" t="n">
        <v>4</v>
      </c>
      <c r="V307" s="1" t="n">
        <v>0</v>
      </c>
    </row>
    <row r="308" customFormat="false" ht="18.7" hidden="false" customHeight="true" outlineLevel="0" collapsed="false">
      <c r="A308" s="1" t="n">
        <v>307</v>
      </c>
      <c r="B308" s="7" t="str">
        <f aca="false">HYPERLINK("https://mncourtfraud.com/file/27-CR-21-5179.pdf","27-CR-21-5179")</f>
        <v>27-CR-21-5179</v>
      </c>
      <c r="C308" s="1" t="n">
        <v>5</v>
      </c>
      <c r="D308" s="2" t="s">
        <v>267</v>
      </c>
      <c r="E308" s="8" t="n">
        <v>45023</v>
      </c>
      <c r="F308" s="2" t="s">
        <v>15</v>
      </c>
      <c r="G308" s="7" t="str">
        <f aca="false">HYPERLINK("https://mncourtfraud.com/file/MCRO_27-CR-21-5179_Order-Evaluation for Competency to Proceed (Rule 20.01)_2023-04-07_20251126165613.pdf","MCRO_27-CR-21-5179_Order-Evaluation for Competency to Proceed (Rule 20.01)_2023-04-07_20251126165613.pdf")</f>
        <v>MCRO_27-CR-21-5179_Order-Evaluation for Competency to Proceed (Rule 20.01)_2023-04-07_20251126165613.pdf</v>
      </c>
      <c r="H308" s="1" t="n">
        <v>4</v>
      </c>
      <c r="I308" s="1" t="s">
        <v>1360</v>
      </c>
      <c r="J308" s="1" t="n">
        <v>1</v>
      </c>
      <c r="K308" s="2" t="s">
        <v>1362</v>
      </c>
      <c r="L308" s="2" t="s">
        <v>1364</v>
      </c>
      <c r="M308" s="1" t="s">
        <v>1360</v>
      </c>
      <c r="N308" s="1" t="n">
        <v>0</v>
      </c>
      <c r="O308" s="2" t="n">
        <v>98.56</v>
      </c>
      <c r="P308" s="2" t="n">
        <v>98.56</v>
      </c>
      <c r="Q308" s="2" t="n">
        <v>98.56</v>
      </c>
      <c r="R308" s="1" t="n">
        <v>1</v>
      </c>
      <c r="S308" s="1" t="n">
        <v>0</v>
      </c>
      <c r="T308" s="1" t="s">
        <v>1360</v>
      </c>
      <c r="U308" s="1" t="n">
        <v>4</v>
      </c>
      <c r="V308" s="1" t="n">
        <v>0</v>
      </c>
    </row>
    <row r="309" customFormat="false" ht="18.7" hidden="false" customHeight="true" outlineLevel="0" collapsed="false">
      <c r="A309" s="1" t="n">
        <v>308</v>
      </c>
      <c r="B309" s="7" t="str">
        <f aca="false">HYPERLINK("https://mncourtfraud.com/file/27-CR-21-5179.pdf","27-CR-21-5179")</f>
        <v>27-CR-21-5179</v>
      </c>
      <c r="C309" s="1" t="n">
        <v>5</v>
      </c>
      <c r="D309" s="2" t="s">
        <v>267</v>
      </c>
      <c r="E309" s="8" t="n">
        <v>45194</v>
      </c>
      <c r="F309" s="2" t="s">
        <v>15</v>
      </c>
      <c r="G309" s="7" t="str">
        <f aca="false">HYPERLINK("https://mncourtfraud.com/file/MCRO_27-CR-21-5179_Order-Evaluation for Competency to Proceed (Rule 20.01)_2023-09-25_20251126165545.pdf","MCRO_27-CR-21-5179_Order-Evaluation for Competency to Proceed (Rule 20.01)_2023-09-25_20251126165545.pdf")</f>
        <v>MCRO_27-CR-21-5179_Order-Evaluation for Competency to Proceed (Rule 20.01)_2023-09-25_20251126165545.pdf</v>
      </c>
      <c r="H309" s="1" t="n">
        <v>4</v>
      </c>
      <c r="I309" s="1" t="s">
        <v>1360</v>
      </c>
      <c r="J309" s="1" t="n">
        <v>1</v>
      </c>
      <c r="K309" s="2" t="s">
        <v>1362</v>
      </c>
      <c r="L309" s="2" t="s">
        <v>1364</v>
      </c>
      <c r="M309" s="1" t="s">
        <v>1360</v>
      </c>
      <c r="N309" s="1" t="n">
        <v>0</v>
      </c>
      <c r="O309" s="2" t="n">
        <v>90.17</v>
      </c>
      <c r="P309" s="2" t="n">
        <v>90.17</v>
      </c>
      <c r="Q309" s="2" t="n">
        <v>90.17</v>
      </c>
      <c r="R309" s="1" t="n">
        <v>1</v>
      </c>
      <c r="S309" s="1" t="n">
        <v>0</v>
      </c>
      <c r="T309" s="1" t="s">
        <v>1360</v>
      </c>
      <c r="U309" s="1" t="n">
        <v>4</v>
      </c>
      <c r="V309" s="1" t="n">
        <v>0</v>
      </c>
    </row>
    <row r="310" customFormat="false" ht="18.7" hidden="false" customHeight="true" outlineLevel="0" collapsed="false">
      <c r="A310" s="1" t="n">
        <v>309</v>
      </c>
      <c r="B310" s="7" t="str">
        <f aca="false">HYPERLINK("https://mncourtfraud.com/file/27-CR-21-5179.pdf","27-CR-21-5179")</f>
        <v>27-CR-21-5179</v>
      </c>
      <c r="C310" s="1" t="n">
        <v>5</v>
      </c>
      <c r="D310" s="2" t="s">
        <v>267</v>
      </c>
      <c r="E310" s="8" t="n">
        <v>44733</v>
      </c>
      <c r="F310" s="2" t="s">
        <v>17</v>
      </c>
      <c r="G310" s="7" t="str">
        <f aca="false">HYPERLINK("https://mncourtfraud.com/file/MCRO_27-CR-21-5179_Returned Mail_2022-06-21_20251126165510.pdf","MCRO_27-CR-21-5179_Returned Mail_2022-06-21_20251126165510.pdf")</f>
        <v>MCRO_27-CR-21-5179_Returned Mail_2022-06-21_20251126165510.pdf</v>
      </c>
      <c r="H310" s="1" t="n">
        <v>4</v>
      </c>
      <c r="I310" s="1" t="s">
        <v>1360</v>
      </c>
      <c r="J310" s="1" t="n">
        <v>1</v>
      </c>
      <c r="K310" s="2" t="s">
        <v>1362</v>
      </c>
      <c r="L310" s="2" t="s">
        <v>1364</v>
      </c>
      <c r="M310" s="1" t="s">
        <v>1360</v>
      </c>
      <c r="N310" s="1" t="n">
        <v>0</v>
      </c>
      <c r="O310" s="2" t="n">
        <v>93.56</v>
      </c>
      <c r="P310" s="2" t="n">
        <v>93.56</v>
      </c>
      <c r="Q310" s="2" t="n">
        <v>93.56</v>
      </c>
      <c r="R310" s="1" t="n">
        <v>1</v>
      </c>
      <c r="S310" s="1" t="n">
        <v>0</v>
      </c>
      <c r="T310" s="1" t="s">
        <v>1360</v>
      </c>
      <c r="U310" s="1" t="n">
        <v>4</v>
      </c>
      <c r="V310" s="1" t="n">
        <v>0</v>
      </c>
    </row>
    <row r="311" customFormat="false" ht="18.7" hidden="false" customHeight="true" outlineLevel="0" collapsed="false">
      <c r="A311" s="1" t="n">
        <v>310</v>
      </c>
      <c r="B311" s="7" t="str">
        <f aca="false">HYPERLINK("https://mncourtfraud.com/file/27-CR-21-5179.pdf","27-CR-21-5179")</f>
        <v>27-CR-21-5179</v>
      </c>
      <c r="C311" s="1" t="n">
        <v>5</v>
      </c>
      <c r="D311" s="2" t="s">
        <v>267</v>
      </c>
      <c r="E311" s="8" t="n">
        <v>44837</v>
      </c>
      <c r="F311" s="2" t="s">
        <v>17</v>
      </c>
      <c r="G311" s="7" t="str">
        <f aca="false">HYPERLINK("https://mncourtfraud.com/file/MCRO_27-CR-21-5179_Returned Mail_2022-10-03_20251126165520.pdf","MCRO_27-CR-21-5179_Returned Mail_2022-10-03_20251126165520.pdf")</f>
        <v>MCRO_27-CR-21-5179_Returned Mail_2022-10-03_20251126165520.pdf</v>
      </c>
      <c r="H311" s="1" t="n">
        <v>4</v>
      </c>
      <c r="I311" s="1" t="s">
        <v>1360</v>
      </c>
      <c r="J311" s="1" t="n">
        <v>1</v>
      </c>
      <c r="K311" s="2" t="s">
        <v>1362</v>
      </c>
      <c r="L311" s="2" t="s">
        <v>1364</v>
      </c>
      <c r="M311" s="1" t="s">
        <v>1360</v>
      </c>
      <c r="N311" s="1" t="n">
        <v>0</v>
      </c>
      <c r="O311" s="2" t="n">
        <v>95.7</v>
      </c>
      <c r="P311" s="2" t="n">
        <v>95.7</v>
      </c>
      <c r="Q311" s="2" t="n">
        <v>95.7</v>
      </c>
      <c r="R311" s="1" t="n">
        <v>1</v>
      </c>
      <c r="S311" s="1" t="n">
        <v>0</v>
      </c>
      <c r="T311" s="1" t="s">
        <v>1360</v>
      </c>
      <c r="U311" s="1" t="n">
        <v>4</v>
      </c>
      <c r="V311" s="1" t="n">
        <v>0</v>
      </c>
    </row>
    <row r="312" customFormat="false" ht="18.7" hidden="false" customHeight="true" outlineLevel="0" collapsed="false">
      <c r="A312" s="1" t="n">
        <v>311</v>
      </c>
      <c r="B312" s="7" t="str">
        <f aca="false">HYPERLINK("https://mncourtfraud.com/file/27-CR-22-10565.pdf","27-CR-22-10565")</f>
        <v>27-CR-22-10565</v>
      </c>
      <c r="C312" s="1" t="n">
        <v>5</v>
      </c>
      <c r="D312" s="2" t="s">
        <v>267</v>
      </c>
      <c r="E312" s="8" t="n">
        <v>44873</v>
      </c>
      <c r="F312" s="2" t="s">
        <v>15</v>
      </c>
      <c r="G312" s="7" t="str">
        <f aca="false">HYPERLINK("https://mncourtfraud.com/file/MCRO_27-CR-22-10565_Order-Evaluation for Competency to Proceed (Rule 20.01)_2022-11-08_20251126165641.pdf","MCRO_27-CR-22-10565_Order-Evaluation for Competency to Proceed (Rule 20.01)_2022-11-08_20251126165641.pdf")</f>
        <v>MCRO_27-CR-22-10565_Order-Evaluation for Competency to Proceed (Rule 20.01)_2022-11-08_20251126165641.pdf</v>
      </c>
      <c r="H312" s="1" t="n">
        <v>4</v>
      </c>
      <c r="I312" s="1" t="s">
        <v>1360</v>
      </c>
      <c r="J312" s="1" t="n">
        <v>1</v>
      </c>
      <c r="K312" s="2" t="s">
        <v>1362</v>
      </c>
      <c r="L312" s="2" t="s">
        <v>1364</v>
      </c>
      <c r="M312" s="1" t="s">
        <v>1360</v>
      </c>
      <c r="N312" s="1" t="n">
        <v>0</v>
      </c>
      <c r="O312" s="2" t="n">
        <v>98.06</v>
      </c>
      <c r="P312" s="2" t="n">
        <v>98.06</v>
      </c>
      <c r="Q312" s="2" t="n">
        <v>98.06</v>
      </c>
      <c r="R312" s="1" t="n">
        <v>1</v>
      </c>
      <c r="S312" s="1" t="n">
        <v>0</v>
      </c>
      <c r="T312" s="1" t="s">
        <v>1360</v>
      </c>
      <c r="U312" s="1" t="n">
        <v>4</v>
      </c>
      <c r="V312" s="1" t="n">
        <v>0</v>
      </c>
    </row>
    <row r="313" customFormat="false" ht="18.7" hidden="false" customHeight="true" outlineLevel="0" collapsed="false">
      <c r="A313" s="1" t="n">
        <v>312</v>
      </c>
      <c r="B313" s="7" t="str">
        <f aca="false">HYPERLINK("https://mncourtfraud.com/file/27-CR-22-10565.pdf","27-CR-22-10565")</f>
        <v>27-CR-22-10565</v>
      </c>
      <c r="C313" s="1" t="n">
        <v>5</v>
      </c>
      <c r="D313" s="2" t="s">
        <v>267</v>
      </c>
      <c r="E313" s="8" t="n">
        <v>45023</v>
      </c>
      <c r="F313" s="2" t="s">
        <v>15</v>
      </c>
      <c r="G313" s="7" t="str">
        <f aca="false">HYPERLINK("https://mncourtfraud.com/file/MCRO_27-CR-22-10565_Order-Evaluation for Competency to Proceed (Rule 20.01)_2023-04-07_20251126165651.pdf","MCRO_27-CR-22-10565_Order-Evaluation for Competency to Proceed (Rule 20.01)_2023-04-07_20251126165651.pdf")</f>
        <v>MCRO_27-CR-22-10565_Order-Evaluation for Competency to Proceed (Rule 20.01)_2023-04-07_20251126165651.pdf</v>
      </c>
      <c r="H313" s="1" t="n">
        <v>4</v>
      </c>
      <c r="I313" s="1" t="s">
        <v>1360</v>
      </c>
      <c r="J313" s="1" t="n">
        <v>1</v>
      </c>
      <c r="K313" s="2" t="s">
        <v>1362</v>
      </c>
      <c r="L313" s="2" t="s">
        <v>1364</v>
      </c>
      <c r="M313" s="1" t="s">
        <v>1360</v>
      </c>
      <c r="N313" s="1" t="n">
        <v>0</v>
      </c>
      <c r="O313" s="2" t="n">
        <v>98.55</v>
      </c>
      <c r="P313" s="2" t="n">
        <v>98.55</v>
      </c>
      <c r="Q313" s="2" t="n">
        <v>98.55</v>
      </c>
      <c r="R313" s="1" t="n">
        <v>1</v>
      </c>
      <c r="S313" s="1" t="n">
        <v>0</v>
      </c>
      <c r="T313" s="1" t="s">
        <v>1360</v>
      </c>
      <c r="U313" s="1" t="n">
        <v>4</v>
      </c>
      <c r="V313" s="1" t="n">
        <v>0</v>
      </c>
    </row>
    <row r="314" customFormat="false" ht="18.7" hidden="false" customHeight="true" outlineLevel="0" collapsed="false">
      <c r="A314" s="1" t="n">
        <v>313</v>
      </c>
      <c r="B314" s="7" t="str">
        <f aca="false">HYPERLINK("https://mncourtfraud.com/file/27-CR-22-10565.pdf","27-CR-22-10565")</f>
        <v>27-CR-22-10565</v>
      </c>
      <c r="C314" s="1" t="n">
        <v>5</v>
      </c>
      <c r="D314" s="2" t="s">
        <v>267</v>
      </c>
      <c r="E314" s="8" t="n">
        <v>45194</v>
      </c>
      <c r="F314" s="2" t="s">
        <v>15</v>
      </c>
      <c r="G314" s="7" t="str">
        <f aca="false">HYPERLINK("https://mncourtfraud.com/file/MCRO_27-CR-22-10565_Order-Evaluation for Competency to Proceed (Rule 20.01)_2023-09-25_20251126165659.pdf","MCRO_27-CR-22-10565_Order-Evaluation for Competency to Proceed (Rule 20.01)_2023-09-25_20251126165659.pdf")</f>
        <v>MCRO_27-CR-22-10565_Order-Evaluation for Competency to Proceed (Rule 20.01)_2023-09-25_20251126165659.pdf</v>
      </c>
      <c r="H314" s="1" t="n">
        <v>4</v>
      </c>
      <c r="I314" s="1" t="s">
        <v>1360</v>
      </c>
      <c r="J314" s="1" t="n">
        <v>1</v>
      </c>
      <c r="K314" s="2" t="s">
        <v>1362</v>
      </c>
      <c r="L314" s="2" t="s">
        <v>1364</v>
      </c>
      <c r="M314" s="1" t="s">
        <v>1360</v>
      </c>
      <c r="N314" s="1" t="n">
        <v>0</v>
      </c>
      <c r="O314" s="2" t="n">
        <v>90.36</v>
      </c>
      <c r="P314" s="2" t="n">
        <v>90.36</v>
      </c>
      <c r="Q314" s="2" t="n">
        <v>90.36</v>
      </c>
      <c r="R314" s="1" t="n">
        <v>1</v>
      </c>
      <c r="S314" s="1" t="n">
        <v>0</v>
      </c>
      <c r="T314" s="1" t="s">
        <v>1360</v>
      </c>
      <c r="U314" s="1" t="n">
        <v>4</v>
      </c>
      <c r="V314" s="1" t="n">
        <v>0</v>
      </c>
    </row>
    <row r="315" customFormat="false" ht="18.7" hidden="false" customHeight="true" outlineLevel="0" collapsed="false">
      <c r="A315" s="1" t="n">
        <v>314</v>
      </c>
      <c r="B315" s="7" t="str">
        <f aca="false">HYPERLINK("https://mncourtfraud.com/file/27-CR-22-10565.pdf","27-CR-22-10565")</f>
        <v>27-CR-22-10565</v>
      </c>
      <c r="C315" s="1" t="n">
        <v>5</v>
      </c>
      <c r="D315" s="2" t="s">
        <v>267</v>
      </c>
      <c r="E315" s="8" t="n">
        <v>44837</v>
      </c>
      <c r="F315" s="2" t="s">
        <v>17</v>
      </c>
      <c r="G315" s="7" t="str">
        <f aca="false">HYPERLINK("https://mncourtfraud.com/file/MCRO_27-CR-22-10565_Returned Mail_2022-10-03_20251126165716.pdf","MCRO_27-CR-22-10565_Returned Mail_2022-10-03_20251126165716.pdf")</f>
        <v>MCRO_27-CR-22-10565_Returned Mail_2022-10-03_20251126165716.pdf</v>
      </c>
      <c r="H315" s="1" t="n">
        <v>4</v>
      </c>
      <c r="I315" s="1" t="s">
        <v>1360</v>
      </c>
      <c r="J315" s="1" t="n">
        <v>1</v>
      </c>
      <c r="K315" s="2" t="s">
        <v>1362</v>
      </c>
      <c r="L315" s="2" t="s">
        <v>1364</v>
      </c>
      <c r="M315" s="1" t="s">
        <v>1360</v>
      </c>
      <c r="N315" s="1" t="n">
        <v>0</v>
      </c>
      <c r="O315" s="2" t="n">
        <v>95.7</v>
      </c>
      <c r="P315" s="2" t="n">
        <v>95.7</v>
      </c>
      <c r="Q315" s="2" t="n">
        <v>95.7</v>
      </c>
      <c r="R315" s="1" t="n">
        <v>1</v>
      </c>
      <c r="S315" s="1" t="n">
        <v>0</v>
      </c>
      <c r="T315" s="1" t="s">
        <v>1360</v>
      </c>
      <c r="U315" s="1" t="n">
        <v>4</v>
      </c>
      <c r="V315" s="1" t="n">
        <v>0</v>
      </c>
    </row>
    <row r="316" customFormat="false" ht="18.7" hidden="false" customHeight="true" outlineLevel="0" collapsed="false">
      <c r="A316" s="1" t="n">
        <v>315</v>
      </c>
      <c r="B316" s="7" t="str">
        <f aca="false">HYPERLINK("https://mncourtfraud.com/file/27-CR-22-11847.pdf","27-CR-22-11847")</f>
        <v>27-CR-22-11847</v>
      </c>
      <c r="C316" s="1" t="n">
        <v>1</v>
      </c>
      <c r="D316" s="2" t="s">
        <v>12</v>
      </c>
      <c r="E316" s="8" t="n">
        <v>45048</v>
      </c>
      <c r="F316" s="2" t="s">
        <v>80</v>
      </c>
      <c r="G316" s="7" t="str">
        <f aca="false">HYPERLINK("https://mncourtfraud.com/file/MCRO_27-CR-22-11847_Finding of Incompetency and Order_2023-05-02_20251126184550.pdf","MCRO_27-CR-22-11847_Finding of Incompetency and Order_2023-05-02_20251126184550.pdf")</f>
        <v>MCRO_27-CR-22-11847_Finding of Incompetency and Order_2023-05-02_20251126184550.pdf</v>
      </c>
      <c r="H316" s="1" t="n">
        <v>9</v>
      </c>
      <c r="I316" s="1" t="s">
        <v>1366</v>
      </c>
      <c r="J316" s="1" t="n">
        <v>3</v>
      </c>
      <c r="K316" s="2" t="s">
        <v>2268</v>
      </c>
      <c r="L316" s="2" t="s">
        <v>2269</v>
      </c>
      <c r="M316" s="1" t="s">
        <v>1366</v>
      </c>
      <c r="N316" s="1" t="n">
        <v>2</v>
      </c>
      <c r="O316" s="2" t="n">
        <v>15.21</v>
      </c>
      <c r="P316" s="2" t="n">
        <v>98.32</v>
      </c>
      <c r="Q316" s="2" t="n">
        <v>45.35</v>
      </c>
      <c r="R316" s="1" t="n">
        <v>3</v>
      </c>
      <c r="S316" s="1" t="n">
        <v>0</v>
      </c>
      <c r="T316" s="1" t="s">
        <v>1360</v>
      </c>
      <c r="U316" s="1" t="n">
        <v>5</v>
      </c>
      <c r="V316" s="1" t="n">
        <v>3</v>
      </c>
    </row>
    <row r="317" customFormat="false" ht="18.7" hidden="false" customHeight="true" outlineLevel="0" collapsed="false">
      <c r="A317" s="1" t="n">
        <v>316</v>
      </c>
      <c r="B317" s="7" t="str">
        <f aca="false">HYPERLINK("https://mncourtfraud.com/file/27-CR-22-11847.pdf","27-CR-22-11847")</f>
        <v>27-CR-22-11847</v>
      </c>
      <c r="C317" s="1" t="n">
        <v>1</v>
      </c>
      <c r="D317" s="2" t="s">
        <v>12</v>
      </c>
      <c r="E317" s="8" t="n">
        <v>45093</v>
      </c>
      <c r="F317" s="2" t="s">
        <v>82</v>
      </c>
      <c r="G317" s="7" t="str">
        <f aca="false">HYPERLINK("https://mncourtfraud.com/file/MCRO_27-CR-22-11847_Notice of Case Reassignment_2023-06-16_20251126184603.pdf","MCRO_27-CR-22-11847_Notice of Case Reassignment_2023-06-16_20251126184603.pdf")</f>
        <v>MCRO_27-CR-22-11847_Notice of Case Reassignment_2023-06-16_20251126184603.pdf</v>
      </c>
      <c r="H317" s="1" t="n">
        <v>3</v>
      </c>
      <c r="I317" s="1" t="s">
        <v>1360</v>
      </c>
      <c r="J317" s="1" t="n">
        <v>1</v>
      </c>
      <c r="K317" s="2" t="s">
        <v>1362</v>
      </c>
      <c r="L317" s="2" t="s">
        <v>1364</v>
      </c>
      <c r="M317" s="1" t="s">
        <v>1360</v>
      </c>
      <c r="N317" s="1" t="n">
        <v>0</v>
      </c>
      <c r="O317" s="2" t="n">
        <v>85.58</v>
      </c>
      <c r="P317" s="2" t="n">
        <v>85.58</v>
      </c>
      <c r="Q317" s="2" t="n">
        <v>85.58</v>
      </c>
      <c r="R317" s="1" t="n">
        <v>1</v>
      </c>
      <c r="S317" s="1" t="n">
        <v>0</v>
      </c>
      <c r="T317" s="1" t="s">
        <v>1360</v>
      </c>
      <c r="U317" s="1" t="n">
        <v>3</v>
      </c>
      <c r="V317" s="1" t="n">
        <v>0</v>
      </c>
    </row>
    <row r="318" customFormat="false" ht="18.7" hidden="false" customHeight="true" outlineLevel="0" collapsed="false">
      <c r="A318" s="1" t="n">
        <v>317</v>
      </c>
      <c r="B318" s="7" t="str">
        <f aca="false">HYPERLINK("https://mncourtfraud.com/file/27-CR-22-11847.pdf","27-CR-22-11847")</f>
        <v>27-CR-22-11847</v>
      </c>
      <c r="C318" s="1" t="n">
        <v>1</v>
      </c>
      <c r="D318" s="2" t="s">
        <v>12</v>
      </c>
      <c r="E318" s="8" t="n">
        <v>44761</v>
      </c>
      <c r="F318" s="2" t="s">
        <v>15</v>
      </c>
      <c r="G318" s="7" t="str">
        <f aca="false">HYPERLINK("https://mncourtfraud.com/file/MCRO_27-CR-22-11847_Order-Evaluation for Competency to Proceed (Rule 20.01)_2022-07-19_20251126184637.pdf","MCRO_27-CR-22-11847_Order-Evaluation for Competency to Proceed (Rule 20.01)_2022-07-19_20251126184637.pdf")</f>
        <v>MCRO_27-CR-22-11847_Order-Evaluation for Competency to Proceed (Rule 20.01)_2022-07-19_20251126184637.pdf</v>
      </c>
      <c r="H318" s="1" t="n">
        <v>4</v>
      </c>
      <c r="I318" s="1" t="s">
        <v>1360</v>
      </c>
      <c r="J318" s="1" t="n">
        <v>1</v>
      </c>
      <c r="K318" s="2" t="s">
        <v>1362</v>
      </c>
      <c r="L318" s="2" t="s">
        <v>1364</v>
      </c>
      <c r="M318" s="1" t="s">
        <v>1360</v>
      </c>
      <c r="N318" s="1" t="n">
        <v>0</v>
      </c>
      <c r="O318" s="2" t="n">
        <v>92.57</v>
      </c>
      <c r="P318" s="2" t="n">
        <v>92.57</v>
      </c>
      <c r="Q318" s="2" t="n">
        <v>92.57</v>
      </c>
      <c r="R318" s="1" t="n">
        <v>1</v>
      </c>
      <c r="S318" s="1" t="n">
        <v>0</v>
      </c>
      <c r="T318" s="1" t="s">
        <v>1360</v>
      </c>
      <c r="U318" s="1" t="n">
        <v>4</v>
      </c>
      <c r="V318" s="1" t="n">
        <v>0</v>
      </c>
    </row>
    <row r="319" customFormat="false" ht="18.7" hidden="false" customHeight="true" outlineLevel="0" collapsed="false">
      <c r="A319" s="1" t="n">
        <v>318</v>
      </c>
      <c r="B319" s="7" t="str">
        <f aca="false">HYPERLINK("https://mncourtfraud.com/file/27-CR-22-11847.pdf","27-CR-22-11847")</f>
        <v>27-CR-22-11847</v>
      </c>
      <c r="C319" s="1" t="n">
        <v>1</v>
      </c>
      <c r="D319" s="2" t="s">
        <v>12</v>
      </c>
      <c r="E319" s="8" t="n">
        <v>44895</v>
      </c>
      <c r="F319" s="2" t="s">
        <v>15</v>
      </c>
      <c r="G319" s="7" t="str">
        <f aca="false">HYPERLINK("https://mncourtfraud.com/file/MCRO_27-CR-22-11847_Order-Evaluation for Competency to Proceed (Rule 20.01)_2022-11-30_20251126184645.pdf","MCRO_27-CR-22-11847_Order-Evaluation for Competency to Proceed (Rule 20.01)_2022-11-30_20251126184645.pdf")</f>
        <v>MCRO_27-CR-22-11847_Order-Evaluation for Competency to Proceed (Rule 20.01)_2022-11-30_20251126184645.pdf</v>
      </c>
      <c r="H319" s="1" t="n">
        <v>4</v>
      </c>
      <c r="I319" s="1" t="s">
        <v>1360</v>
      </c>
      <c r="J319" s="1" t="n">
        <v>1</v>
      </c>
      <c r="K319" s="2" t="s">
        <v>1362</v>
      </c>
      <c r="L319" s="2" t="s">
        <v>1364</v>
      </c>
      <c r="M319" s="1" t="s">
        <v>1360</v>
      </c>
      <c r="N319" s="1" t="n">
        <v>0</v>
      </c>
      <c r="O319" s="2" t="n">
        <v>97.99</v>
      </c>
      <c r="P319" s="2" t="n">
        <v>97.99</v>
      </c>
      <c r="Q319" s="2" t="n">
        <v>97.99</v>
      </c>
      <c r="R319" s="1" t="n">
        <v>1</v>
      </c>
      <c r="S319" s="1" t="n">
        <v>0</v>
      </c>
      <c r="T319" s="1" t="s">
        <v>1360</v>
      </c>
      <c r="U319" s="1" t="n">
        <v>4</v>
      </c>
      <c r="V319" s="1" t="n">
        <v>0</v>
      </c>
    </row>
    <row r="320" customFormat="false" ht="18.7" hidden="false" customHeight="true" outlineLevel="0" collapsed="false">
      <c r="A320" s="1" t="n">
        <v>319</v>
      </c>
      <c r="B320" s="7" t="str">
        <f aca="false">HYPERLINK("https://mncourtfraud.com/file/27-CR-22-11847.pdf","27-CR-22-11847")</f>
        <v>27-CR-22-11847</v>
      </c>
      <c r="C320" s="1" t="n">
        <v>1</v>
      </c>
      <c r="D320" s="2" t="s">
        <v>12</v>
      </c>
      <c r="E320" s="8" t="n">
        <v>45160</v>
      </c>
      <c r="F320" s="2" t="s">
        <v>15</v>
      </c>
      <c r="G320" s="7" t="str">
        <f aca="false">HYPERLINK("https://mncourtfraud.com/file/MCRO_27-CR-22-11847_Order-Evaluation for Competency to Proceed (Rule 20.01)_2023-08-22_20251126184653.pdf","MCRO_27-CR-22-11847_Order-Evaluation for Competency to Proceed (Rule 20.01)_2023-08-22_20251126184653.pdf")</f>
        <v>MCRO_27-CR-22-11847_Order-Evaluation for Competency to Proceed (Rule 20.01)_2023-08-22_20251126184653.pdf</v>
      </c>
      <c r="H320" s="1" t="n">
        <v>6</v>
      </c>
      <c r="I320" s="1" t="s">
        <v>1366</v>
      </c>
      <c r="J320" s="1" t="n">
        <v>2</v>
      </c>
      <c r="K320" s="2" t="s">
        <v>2270</v>
      </c>
      <c r="L320" s="2" t="s">
        <v>2269</v>
      </c>
      <c r="M320" s="1" t="s">
        <v>1366</v>
      </c>
      <c r="N320" s="1" t="n">
        <v>1</v>
      </c>
      <c r="O320" s="2" t="n">
        <v>23.95</v>
      </c>
      <c r="P320" s="2" t="n">
        <v>98.13</v>
      </c>
      <c r="Q320" s="2" t="n">
        <v>61.04</v>
      </c>
      <c r="R320" s="1" t="n">
        <v>2</v>
      </c>
      <c r="S320" s="1" t="n">
        <v>0</v>
      </c>
      <c r="T320" s="1" t="s">
        <v>1360</v>
      </c>
      <c r="U320" s="1" t="n">
        <v>3</v>
      </c>
      <c r="V320" s="1" t="n">
        <v>3</v>
      </c>
    </row>
    <row r="321" customFormat="false" ht="18.7" hidden="false" customHeight="true" outlineLevel="0" collapsed="false">
      <c r="A321" s="1" t="n">
        <v>320</v>
      </c>
      <c r="B321" s="7" t="str">
        <f aca="false">HYPERLINK("https://mncourtfraud.com/file/27-CR-22-11847.pdf","27-CR-22-11847")</f>
        <v>27-CR-22-11847</v>
      </c>
      <c r="C321" s="1" t="n">
        <v>1</v>
      </c>
      <c r="D321" s="2" t="s">
        <v>12</v>
      </c>
      <c r="E321" s="8" t="n">
        <v>45412</v>
      </c>
      <c r="F321" s="2" t="s">
        <v>15</v>
      </c>
      <c r="G321" s="7" t="str">
        <f aca="false">HYPERLINK("https://mncourtfraud.com/file/MCRO_27-CR-22-11847_Order-Evaluation for Competency to Proceed (Rule 20.01)_2024-04-30_20251126184629.pdf","MCRO_27-CR-22-11847_Order-Evaluation for Competency to Proceed (Rule 20.01)_2024-04-30_20251126184629.pdf")</f>
        <v>MCRO_27-CR-22-11847_Order-Evaluation for Competency to Proceed (Rule 20.01)_2024-04-30_20251126184629.pdf</v>
      </c>
      <c r="H321" s="1" t="n">
        <v>4</v>
      </c>
      <c r="I321" s="1" t="s">
        <v>1360</v>
      </c>
      <c r="J321" s="1" t="n">
        <v>1</v>
      </c>
      <c r="K321" s="2" t="s">
        <v>1362</v>
      </c>
      <c r="L321" s="2" t="s">
        <v>1364</v>
      </c>
      <c r="M321" s="1" t="s">
        <v>1360</v>
      </c>
      <c r="N321" s="1" t="n">
        <v>0</v>
      </c>
      <c r="O321" s="2" t="n">
        <v>92.54</v>
      </c>
      <c r="P321" s="2" t="n">
        <v>92.54</v>
      </c>
      <c r="Q321" s="2" t="n">
        <v>92.54</v>
      </c>
      <c r="R321" s="1" t="n">
        <v>1</v>
      </c>
      <c r="S321" s="1" t="n">
        <v>0</v>
      </c>
      <c r="T321" s="1" t="s">
        <v>1360</v>
      </c>
      <c r="U321" s="1" t="n">
        <v>4</v>
      </c>
      <c r="V321" s="1" t="n">
        <v>0</v>
      </c>
    </row>
    <row r="322" customFormat="false" ht="18.7" hidden="false" customHeight="true" outlineLevel="0" collapsed="false">
      <c r="A322" s="1" t="n">
        <v>321</v>
      </c>
      <c r="B322" s="7" t="str">
        <f aca="false">HYPERLINK("https://mncourtfraud.com/file/27-CR-22-11847.pdf","27-CR-22-11847")</f>
        <v>27-CR-22-11847</v>
      </c>
      <c r="C322" s="1" t="n">
        <v>1</v>
      </c>
      <c r="D322" s="2" t="s">
        <v>12</v>
      </c>
      <c r="E322" s="8" t="n">
        <v>45412</v>
      </c>
      <c r="F322" s="2" t="s">
        <v>24</v>
      </c>
      <c r="G322" s="7" t="str">
        <f aca="false">HYPERLINK("https://mncourtfraud.com/file/MCRO_27-CR-22-11847_Order for Conditional Release_2024-04-30_20251126184615.pdf","MCRO_27-CR-22-11847_Order for Conditional Release_2024-04-30_20251126184615.pdf")</f>
        <v>MCRO_27-CR-22-11847_Order for Conditional Release_2024-04-30_20251126184615.pdf</v>
      </c>
      <c r="H322" s="1" t="n">
        <v>4</v>
      </c>
      <c r="I322" s="1" t="s">
        <v>1360</v>
      </c>
      <c r="J322" s="1" t="n">
        <v>1</v>
      </c>
      <c r="K322" s="2" t="s">
        <v>1362</v>
      </c>
      <c r="L322" s="2" t="s">
        <v>1364</v>
      </c>
      <c r="M322" s="1" t="s">
        <v>1360</v>
      </c>
      <c r="N322" s="1" t="n">
        <v>0</v>
      </c>
      <c r="O322" s="2" t="n">
        <v>89.11</v>
      </c>
      <c r="P322" s="2" t="n">
        <v>89.11</v>
      </c>
      <c r="Q322" s="2" t="n">
        <v>89.11</v>
      </c>
      <c r="R322" s="1" t="n">
        <v>1</v>
      </c>
      <c r="S322" s="1" t="n">
        <v>0</v>
      </c>
      <c r="T322" s="1" t="s">
        <v>1360</v>
      </c>
      <c r="U322" s="1" t="n">
        <v>4</v>
      </c>
      <c r="V322" s="1" t="n">
        <v>0</v>
      </c>
    </row>
    <row r="323" customFormat="false" ht="18.7" hidden="false" customHeight="true" outlineLevel="0" collapsed="false">
      <c r="A323" s="1" t="n">
        <v>322</v>
      </c>
      <c r="B323" s="7" t="str">
        <f aca="false">HYPERLINK("https://mncourtfraud.com/file/27-CR-22-11847.pdf","27-CR-22-11847")</f>
        <v>27-CR-22-11847</v>
      </c>
      <c r="C323" s="1" t="n">
        <v>1</v>
      </c>
      <c r="D323" s="2" t="s">
        <v>12</v>
      </c>
      <c r="E323" s="8" t="n">
        <v>44999</v>
      </c>
      <c r="F323" s="2" t="s">
        <v>17</v>
      </c>
      <c r="G323" s="7" t="str">
        <f aca="false">HYPERLINK("https://mncourtfraud.com/file/MCRO_27-CR-22-11847_Returned Mail_2023-03-14_20251126184709.pdf","MCRO_27-CR-22-11847_Returned Mail_2023-03-14_20251126184709.pdf")</f>
        <v>MCRO_27-CR-22-11847_Returned Mail_2023-03-14_20251126184709.pdf</v>
      </c>
      <c r="H323" s="1" t="n">
        <v>4</v>
      </c>
      <c r="I323" s="1" t="s">
        <v>1360</v>
      </c>
      <c r="J323" s="1" t="n">
        <v>1</v>
      </c>
      <c r="K323" s="2" t="s">
        <v>1362</v>
      </c>
      <c r="L323" s="2" t="s">
        <v>1364</v>
      </c>
      <c r="M323" s="1" t="s">
        <v>1360</v>
      </c>
      <c r="N323" s="1" t="n">
        <v>0</v>
      </c>
      <c r="O323" s="2" t="n">
        <v>93.55</v>
      </c>
      <c r="P323" s="2" t="n">
        <v>93.55</v>
      </c>
      <c r="Q323" s="2" t="n">
        <v>93.55</v>
      </c>
      <c r="R323" s="1" t="n">
        <v>1</v>
      </c>
      <c r="S323" s="1" t="n">
        <v>0</v>
      </c>
      <c r="T323" s="1" t="s">
        <v>1360</v>
      </c>
      <c r="U323" s="1" t="n">
        <v>4</v>
      </c>
      <c r="V323" s="1" t="n">
        <v>0</v>
      </c>
    </row>
    <row r="324" customFormat="false" ht="18.7" hidden="false" customHeight="true" outlineLevel="0" collapsed="false">
      <c r="A324" s="1" t="n">
        <v>323</v>
      </c>
      <c r="B324" s="7" t="str">
        <f aca="false">HYPERLINK("https://mncourtfraud.com/file/27-CR-22-12695.pdf","27-CR-22-12695")</f>
        <v>27-CR-22-12695</v>
      </c>
      <c r="C324" s="1" t="n">
        <v>1</v>
      </c>
      <c r="D324" s="2" t="s">
        <v>12</v>
      </c>
      <c r="E324" s="8" t="n">
        <v>45048</v>
      </c>
      <c r="F324" s="2" t="s">
        <v>80</v>
      </c>
      <c r="G324" s="7" t="str">
        <f aca="false">HYPERLINK("https://mncourtfraud.com/file/MCRO_27-CR-22-12695_Finding of Incompetency and Order_2023-05-02_20251126184737.pdf","MCRO_27-CR-22-12695_Finding of Incompetency and Order_2023-05-02_20251126184737.pdf")</f>
        <v>MCRO_27-CR-22-12695_Finding of Incompetency and Order_2023-05-02_20251126184737.pdf</v>
      </c>
      <c r="H324" s="1" t="n">
        <v>9</v>
      </c>
      <c r="I324" s="1" t="s">
        <v>1366</v>
      </c>
      <c r="J324" s="1" t="n">
        <v>3</v>
      </c>
      <c r="K324" s="2" t="s">
        <v>2268</v>
      </c>
      <c r="L324" s="2" t="s">
        <v>2269</v>
      </c>
      <c r="M324" s="1" t="s">
        <v>1366</v>
      </c>
      <c r="N324" s="1" t="n">
        <v>2</v>
      </c>
      <c r="O324" s="2" t="n">
        <v>15.21</v>
      </c>
      <c r="P324" s="2" t="n">
        <v>98.32</v>
      </c>
      <c r="Q324" s="2" t="n">
        <v>45.35</v>
      </c>
      <c r="R324" s="1" t="n">
        <v>3</v>
      </c>
      <c r="S324" s="1" t="n">
        <v>0</v>
      </c>
      <c r="T324" s="1" t="s">
        <v>1360</v>
      </c>
      <c r="U324" s="1" t="n">
        <v>5</v>
      </c>
      <c r="V324" s="1" t="n">
        <v>3</v>
      </c>
    </row>
    <row r="325" customFormat="false" ht="18.7" hidden="false" customHeight="true" outlineLevel="0" collapsed="false">
      <c r="A325" s="1" t="n">
        <v>324</v>
      </c>
      <c r="B325" s="7" t="str">
        <f aca="false">HYPERLINK("https://mncourtfraud.com/file/27-CR-22-12695.pdf","27-CR-22-12695")</f>
        <v>27-CR-22-12695</v>
      </c>
      <c r="C325" s="1" t="n">
        <v>1</v>
      </c>
      <c r="D325" s="2" t="s">
        <v>12</v>
      </c>
      <c r="E325" s="8" t="n">
        <v>44761</v>
      </c>
      <c r="F325" s="2" t="s">
        <v>15</v>
      </c>
      <c r="G325" s="7" t="str">
        <f aca="false">HYPERLINK("https://mncourtfraud.com/file/MCRO_27-CR-22-12695_Order-Evaluation for Competency to Proceed (Rule 20.01)_2022-07-19_20251126184801.pdf","MCRO_27-CR-22-12695_Order-Evaluation for Competency to Proceed (Rule 20.01)_2022-07-19_20251126184801.pdf")</f>
        <v>MCRO_27-CR-22-12695_Order-Evaluation for Competency to Proceed (Rule 20.01)_2022-07-19_20251126184801.pdf</v>
      </c>
      <c r="H325" s="1" t="n">
        <v>4</v>
      </c>
      <c r="I325" s="1" t="s">
        <v>1360</v>
      </c>
      <c r="J325" s="1" t="n">
        <v>1</v>
      </c>
      <c r="K325" s="2" t="s">
        <v>1362</v>
      </c>
      <c r="L325" s="2" t="s">
        <v>1364</v>
      </c>
      <c r="M325" s="1" t="s">
        <v>1360</v>
      </c>
      <c r="N325" s="1" t="n">
        <v>0</v>
      </c>
      <c r="O325" s="2" t="n">
        <v>92.57</v>
      </c>
      <c r="P325" s="2" t="n">
        <v>92.57</v>
      </c>
      <c r="Q325" s="2" t="n">
        <v>92.57</v>
      </c>
      <c r="R325" s="1" t="n">
        <v>1</v>
      </c>
      <c r="S325" s="1" t="n">
        <v>0</v>
      </c>
      <c r="T325" s="1" t="s">
        <v>1360</v>
      </c>
      <c r="U325" s="1" t="n">
        <v>4</v>
      </c>
      <c r="V325" s="1" t="n">
        <v>0</v>
      </c>
    </row>
    <row r="326" customFormat="false" ht="18.7" hidden="false" customHeight="true" outlineLevel="0" collapsed="false">
      <c r="A326" s="1" t="n">
        <v>325</v>
      </c>
      <c r="B326" s="7" t="str">
        <f aca="false">HYPERLINK("https://mncourtfraud.com/file/27-CR-22-12695.pdf","27-CR-22-12695")</f>
        <v>27-CR-22-12695</v>
      </c>
      <c r="C326" s="1" t="n">
        <v>1</v>
      </c>
      <c r="D326" s="2" t="s">
        <v>12</v>
      </c>
      <c r="E326" s="8" t="n">
        <v>44895</v>
      </c>
      <c r="F326" s="2" t="s">
        <v>15</v>
      </c>
      <c r="G326" s="7" t="str">
        <f aca="false">HYPERLINK("https://mncourtfraud.com/file/MCRO_27-CR-22-12695_Order-Evaluation for Competency to Proceed (Rule 20.01)_2022-11-30_20251126184750.pdf","MCRO_27-CR-22-12695_Order-Evaluation for Competency to Proceed (Rule 20.01)_2022-11-30_20251126184750.pdf")</f>
        <v>MCRO_27-CR-22-12695_Order-Evaluation for Competency to Proceed (Rule 20.01)_2022-11-30_20251126184750.pdf</v>
      </c>
      <c r="H326" s="1" t="n">
        <v>4</v>
      </c>
      <c r="I326" s="1" t="s">
        <v>1360</v>
      </c>
      <c r="J326" s="1" t="n">
        <v>1</v>
      </c>
      <c r="K326" s="2" t="s">
        <v>1362</v>
      </c>
      <c r="L326" s="2" t="s">
        <v>1364</v>
      </c>
      <c r="M326" s="1" t="s">
        <v>1360</v>
      </c>
      <c r="N326" s="1" t="n">
        <v>0</v>
      </c>
      <c r="O326" s="2" t="n">
        <v>97.99</v>
      </c>
      <c r="P326" s="2" t="n">
        <v>97.99</v>
      </c>
      <c r="Q326" s="2" t="n">
        <v>97.99</v>
      </c>
      <c r="R326" s="1" t="n">
        <v>1</v>
      </c>
      <c r="S326" s="1" t="n">
        <v>0</v>
      </c>
      <c r="T326" s="1" t="s">
        <v>1360</v>
      </c>
      <c r="U326" s="1" t="n">
        <v>4</v>
      </c>
      <c r="V326" s="1" t="n">
        <v>0</v>
      </c>
    </row>
    <row r="327" customFormat="false" ht="18.7" hidden="false" customHeight="true" outlineLevel="0" collapsed="false">
      <c r="A327" s="1" t="n">
        <v>326</v>
      </c>
      <c r="B327" s="7" t="str">
        <f aca="false">HYPERLINK("https://mncourtfraud.com/file/27-CR-22-12695.pdf","27-CR-22-12695")</f>
        <v>27-CR-22-12695</v>
      </c>
      <c r="C327" s="1" t="n">
        <v>1</v>
      </c>
      <c r="D327" s="2" t="s">
        <v>12</v>
      </c>
      <c r="E327" s="8" t="n">
        <v>44999</v>
      </c>
      <c r="F327" s="2" t="s">
        <v>17</v>
      </c>
      <c r="G327" s="7" t="str">
        <f aca="false">HYPERLINK("https://mncourtfraud.com/file/MCRO_27-CR-22-12695_Returned Mail_2023-03-14_20251126184813.pdf","MCRO_27-CR-22-12695_Returned Mail_2023-03-14_20251126184813.pdf")</f>
        <v>MCRO_27-CR-22-12695_Returned Mail_2023-03-14_20251126184813.pdf</v>
      </c>
      <c r="H327" s="1" t="n">
        <v>4</v>
      </c>
      <c r="I327" s="1" t="s">
        <v>1360</v>
      </c>
      <c r="J327" s="1" t="n">
        <v>1</v>
      </c>
      <c r="K327" s="2" t="s">
        <v>1362</v>
      </c>
      <c r="L327" s="2" t="s">
        <v>1364</v>
      </c>
      <c r="M327" s="1" t="s">
        <v>1360</v>
      </c>
      <c r="N327" s="1" t="n">
        <v>0</v>
      </c>
      <c r="O327" s="2" t="n">
        <v>93.61</v>
      </c>
      <c r="P327" s="2" t="n">
        <v>93.61</v>
      </c>
      <c r="Q327" s="2" t="n">
        <v>93.61</v>
      </c>
      <c r="R327" s="1" t="n">
        <v>1</v>
      </c>
      <c r="S327" s="1" t="n">
        <v>0</v>
      </c>
      <c r="T327" s="1" t="s">
        <v>1360</v>
      </c>
      <c r="U327" s="1" t="n">
        <v>4</v>
      </c>
      <c r="V327" s="1" t="n">
        <v>0</v>
      </c>
    </row>
    <row r="328" customFormat="false" ht="18.7" hidden="false" customHeight="true" outlineLevel="0" collapsed="false">
      <c r="A328" s="1" t="n">
        <v>327</v>
      </c>
      <c r="B328" s="7" t="str">
        <f aca="false">HYPERLINK("https://mncourtfraud.com/file/27-CR-22-13797.pdf","27-CR-22-13797")</f>
        <v>27-CR-22-13797</v>
      </c>
      <c r="C328" s="1" t="n">
        <v>1</v>
      </c>
      <c r="D328" s="2" t="s">
        <v>12</v>
      </c>
      <c r="E328" s="8" t="n">
        <v>45048</v>
      </c>
      <c r="F328" s="2" t="s">
        <v>80</v>
      </c>
      <c r="G328" s="7" t="str">
        <f aca="false">HYPERLINK("https://mncourtfraud.com/file/MCRO_27-CR-22-13797_Finding of Incompetency and Order_2023-05-02_20251126184840.pdf","MCRO_27-CR-22-13797_Finding of Incompetency and Order_2023-05-02_20251126184840.pdf")</f>
        <v>MCRO_27-CR-22-13797_Finding of Incompetency and Order_2023-05-02_20251126184840.pdf</v>
      </c>
      <c r="H328" s="1" t="n">
        <v>9</v>
      </c>
      <c r="I328" s="1" t="s">
        <v>1366</v>
      </c>
      <c r="J328" s="1" t="n">
        <v>3</v>
      </c>
      <c r="K328" s="2" t="s">
        <v>2268</v>
      </c>
      <c r="L328" s="2" t="s">
        <v>2269</v>
      </c>
      <c r="M328" s="1" t="s">
        <v>1366</v>
      </c>
      <c r="N328" s="1" t="n">
        <v>2</v>
      </c>
      <c r="O328" s="2" t="n">
        <v>15.21</v>
      </c>
      <c r="P328" s="2" t="n">
        <v>98.32</v>
      </c>
      <c r="Q328" s="2" t="n">
        <v>45.35</v>
      </c>
      <c r="R328" s="1" t="n">
        <v>3</v>
      </c>
      <c r="S328" s="1" t="n">
        <v>0</v>
      </c>
      <c r="T328" s="1" t="s">
        <v>1360</v>
      </c>
      <c r="U328" s="1" t="n">
        <v>5</v>
      </c>
      <c r="V328" s="1" t="n">
        <v>3</v>
      </c>
    </row>
    <row r="329" customFormat="false" ht="18.7" hidden="false" customHeight="true" outlineLevel="0" collapsed="false">
      <c r="A329" s="1" t="n">
        <v>328</v>
      </c>
      <c r="B329" s="7" t="str">
        <f aca="false">HYPERLINK("https://mncourtfraud.com/file/27-CR-22-13797.pdf","27-CR-22-13797")</f>
        <v>27-CR-22-13797</v>
      </c>
      <c r="C329" s="1" t="n">
        <v>1</v>
      </c>
      <c r="D329" s="2" t="s">
        <v>12</v>
      </c>
      <c r="E329" s="8" t="n">
        <v>44761</v>
      </c>
      <c r="F329" s="2" t="s">
        <v>15</v>
      </c>
      <c r="G329" s="7" t="str">
        <f aca="false">HYPERLINK("https://mncourtfraud.com/file/MCRO_27-CR-22-13797_Order-Evaluation for Competency to Proceed (Rule 20.01)_2022-07-19_20251126185033.pdf","MCRO_27-CR-22-13797_Order-Evaluation for Competency to Proceed (Rule 20.01)_2022-07-19_20251126185033.pdf")</f>
        <v>MCRO_27-CR-22-13797_Order-Evaluation for Competency to Proceed (Rule 20.01)_2022-07-19_20251126185033.pdf</v>
      </c>
      <c r="H329" s="1" t="n">
        <v>4</v>
      </c>
      <c r="I329" s="1" t="s">
        <v>1360</v>
      </c>
      <c r="J329" s="1" t="n">
        <v>1</v>
      </c>
      <c r="K329" s="2" t="s">
        <v>1362</v>
      </c>
      <c r="L329" s="2" t="s">
        <v>1364</v>
      </c>
      <c r="M329" s="1" t="s">
        <v>1360</v>
      </c>
      <c r="N329" s="1" t="n">
        <v>0</v>
      </c>
      <c r="O329" s="2" t="n">
        <v>92.57</v>
      </c>
      <c r="P329" s="2" t="n">
        <v>92.57</v>
      </c>
      <c r="Q329" s="2" t="n">
        <v>92.57</v>
      </c>
      <c r="R329" s="1" t="n">
        <v>1</v>
      </c>
      <c r="S329" s="1" t="n">
        <v>0</v>
      </c>
      <c r="T329" s="1" t="s">
        <v>1360</v>
      </c>
      <c r="U329" s="1" t="n">
        <v>4</v>
      </c>
      <c r="V329" s="1" t="n">
        <v>0</v>
      </c>
    </row>
    <row r="330" customFormat="false" ht="18.7" hidden="false" customHeight="true" outlineLevel="0" collapsed="false">
      <c r="A330" s="1" t="n">
        <v>329</v>
      </c>
      <c r="B330" s="7" t="str">
        <f aca="false">HYPERLINK("https://mncourtfraud.com/file/27-CR-22-13797.pdf","27-CR-22-13797")</f>
        <v>27-CR-22-13797</v>
      </c>
      <c r="C330" s="1" t="n">
        <v>1</v>
      </c>
      <c r="D330" s="2" t="s">
        <v>12</v>
      </c>
      <c r="E330" s="8" t="n">
        <v>44895</v>
      </c>
      <c r="F330" s="2" t="s">
        <v>15</v>
      </c>
      <c r="G330" s="7" t="str">
        <f aca="false">HYPERLINK("https://mncourtfraud.com/file/MCRO_27-CR-22-13797_Order-Evaluation for Competency to Proceed (Rule 20.01)_2022-11-30_20251126185022.pdf","MCRO_27-CR-22-13797_Order-Evaluation for Competency to Proceed (Rule 20.01)_2022-11-30_20251126185022.pdf")</f>
        <v>MCRO_27-CR-22-13797_Order-Evaluation for Competency to Proceed (Rule 20.01)_2022-11-30_20251126185022.pdf</v>
      </c>
      <c r="H330" s="1" t="n">
        <v>4</v>
      </c>
      <c r="I330" s="1" t="s">
        <v>1360</v>
      </c>
      <c r="J330" s="1" t="n">
        <v>1</v>
      </c>
      <c r="K330" s="2" t="s">
        <v>1362</v>
      </c>
      <c r="L330" s="2" t="s">
        <v>1364</v>
      </c>
      <c r="M330" s="1" t="s">
        <v>1360</v>
      </c>
      <c r="N330" s="1" t="n">
        <v>0</v>
      </c>
      <c r="O330" s="2" t="n">
        <v>97.99</v>
      </c>
      <c r="P330" s="2" t="n">
        <v>97.99</v>
      </c>
      <c r="Q330" s="2" t="n">
        <v>97.99</v>
      </c>
      <c r="R330" s="1" t="n">
        <v>1</v>
      </c>
      <c r="S330" s="1" t="n">
        <v>0</v>
      </c>
      <c r="T330" s="1" t="s">
        <v>1360</v>
      </c>
      <c r="U330" s="1" t="n">
        <v>4</v>
      </c>
      <c r="V330" s="1" t="n">
        <v>0</v>
      </c>
    </row>
    <row r="331" customFormat="false" ht="18.7" hidden="false" customHeight="true" outlineLevel="0" collapsed="false">
      <c r="A331" s="1" t="n">
        <v>330</v>
      </c>
      <c r="B331" s="7" t="str">
        <f aca="false">HYPERLINK("https://mncourtfraud.com/file/27-CR-22-14239.pdf","27-CR-22-14239")</f>
        <v>27-CR-22-14239</v>
      </c>
      <c r="C331" s="1" t="n">
        <v>5</v>
      </c>
      <c r="D331" s="2" t="s">
        <v>267</v>
      </c>
      <c r="E331" s="8" t="n">
        <v>44873</v>
      </c>
      <c r="F331" s="2" t="s">
        <v>15</v>
      </c>
      <c r="G331" s="7" t="str">
        <f aca="false">HYPERLINK("https://mncourtfraud.com/file/MCRO_27-CR-22-14239_Order-Evaluation for Competency to Proceed (Rule 20.01)_2022-11-08_20251126165804.pdf","MCRO_27-CR-22-14239_Order-Evaluation for Competency to Proceed (Rule 20.01)_2022-11-08_20251126165804.pdf")</f>
        <v>MCRO_27-CR-22-14239_Order-Evaluation for Competency to Proceed (Rule 20.01)_2022-11-08_20251126165804.pdf</v>
      </c>
      <c r="H331" s="1" t="n">
        <v>4</v>
      </c>
      <c r="I331" s="1" t="s">
        <v>1360</v>
      </c>
      <c r="J331" s="1" t="n">
        <v>1</v>
      </c>
      <c r="K331" s="2" t="s">
        <v>1362</v>
      </c>
      <c r="L331" s="2" t="s">
        <v>1364</v>
      </c>
      <c r="M331" s="1" t="s">
        <v>1360</v>
      </c>
      <c r="N331" s="1" t="n">
        <v>0</v>
      </c>
      <c r="O331" s="2" t="n">
        <v>98.06</v>
      </c>
      <c r="P331" s="2" t="n">
        <v>98.06</v>
      </c>
      <c r="Q331" s="2" t="n">
        <v>98.06</v>
      </c>
      <c r="R331" s="1" t="n">
        <v>1</v>
      </c>
      <c r="S331" s="1" t="n">
        <v>0</v>
      </c>
      <c r="T331" s="1" t="s">
        <v>1360</v>
      </c>
      <c r="U331" s="1" t="n">
        <v>4</v>
      </c>
      <c r="V331" s="1" t="n">
        <v>0</v>
      </c>
    </row>
    <row r="332" customFormat="false" ht="18.7" hidden="false" customHeight="true" outlineLevel="0" collapsed="false">
      <c r="A332" s="1" t="n">
        <v>331</v>
      </c>
      <c r="B332" s="7" t="str">
        <f aca="false">HYPERLINK("https://mncourtfraud.com/file/27-CR-22-14239.pdf","27-CR-22-14239")</f>
        <v>27-CR-22-14239</v>
      </c>
      <c r="C332" s="1" t="n">
        <v>5</v>
      </c>
      <c r="D332" s="2" t="s">
        <v>267</v>
      </c>
      <c r="E332" s="8" t="n">
        <v>45023</v>
      </c>
      <c r="F332" s="2" t="s">
        <v>15</v>
      </c>
      <c r="G332" s="7" t="str">
        <f aca="false">HYPERLINK("https://mncourtfraud.com/file/MCRO_27-CR-22-14239_Order-Evaluation for Competency to Proceed (Rule 20.01)_2023-04-07_20251126165814.pdf","MCRO_27-CR-22-14239_Order-Evaluation for Competency to Proceed (Rule 20.01)_2023-04-07_20251126165814.pdf")</f>
        <v>MCRO_27-CR-22-14239_Order-Evaluation for Competency to Proceed (Rule 20.01)_2023-04-07_20251126165814.pdf</v>
      </c>
      <c r="H332" s="1" t="n">
        <v>4</v>
      </c>
      <c r="I332" s="1" t="s">
        <v>1360</v>
      </c>
      <c r="J332" s="1" t="n">
        <v>1</v>
      </c>
      <c r="K332" s="2" t="s">
        <v>1362</v>
      </c>
      <c r="L332" s="2" t="s">
        <v>1364</v>
      </c>
      <c r="M332" s="1" t="s">
        <v>1360</v>
      </c>
      <c r="N332" s="1" t="n">
        <v>0</v>
      </c>
      <c r="O332" s="2" t="n">
        <v>98.55</v>
      </c>
      <c r="P332" s="2" t="n">
        <v>98.55</v>
      </c>
      <c r="Q332" s="2" t="n">
        <v>98.55</v>
      </c>
      <c r="R332" s="1" t="n">
        <v>1</v>
      </c>
      <c r="S332" s="1" t="n">
        <v>0</v>
      </c>
      <c r="T332" s="1" t="s">
        <v>1360</v>
      </c>
      <c r="U332" s="1" t="n">
        <v>4</v>
      </c>
      <c r="V332" s="1" t="n">
        <v>0</v>
      </c>
    </row>
    <row r="333" customFormat="false" ht="18.7" hidden="false" customHeight="true" outlineLevel="0" collapsed="false">
      <c r="A333" s="1" t="n">
        <v>332</v>
      </c>
      <c r="B333" s="7" t="str">
        <f aca="false">HYPERLINK("https://mncourtfraud.com/file/27-CR-22-14239.pdf","27-CR-22-14239")</f>
        <v>27-CR-22-14239</v>
      </c>
      <c r="C333" s="1" t="n">
        <v>5</v>
      </c>
      <c r="D333" s="2" t="s">
        <v>267</v>
      </c>
      <c r="E333" s="8" t="n">
        <v>45194</v>
      </c>
      <c r="F333" s="2" t="s">
        <v>15</v>
      </c>
      <c r="G333" s="7" t="str">
        <f aca="false">HYPERLINK("https://mncourtfraud.com/file/MCRO_27-CR-22-14239_Order-Evaluation for Competency to Proceed (Rule 20.01)_2023-09-25_20251126165753.pdf","MCRO_27-CR-22-14239_Order-Evaluation for Competency to Proceed (Rule 20.01)_2023-09-25_20251126165753.pdf")</f>
        <v>MCRO_27-CR-22-14239_Order-Evaluation for Competency to Proceed (Rule 20.01)_2023-09-25_20251126165753.pdf</v>
      </c>
      <c r="H333" s="1" t="n">
        <v>4</v>
      </c>
      <c r="I333" s="1" t="s">
        <v>1360</v>
      </c>
      <c r="J333" s="1" t="n">
        <v>1</v>
      </c>
      <c r="K333" s="2" t="s">
        <v>1362</v>
      </c>
      <c r="L333" s="2" t="s">
        <v>1364</v>
      </c>
      <c r="M333" s="1" t="s">
        <v>1360</v>
      </c>
      <c r="N333" s="1" t="n">
        <v>0</v>
      </c>
      <c r="O333" s="2" t="n">
        <v>90.17</v>
      </c>
      <c r="P333" s="2" t="n">
        <v>90.17</v>
      </c>
      <c r="Q333" s="2" t="n">
        <v>90.17</v>
      </c>
      <c r="R333" s="1" t="n">
        <v>1</v>
      </c>
      <c r="S333" s="1" t="n">
        <v>0</v>
      </c>
      <c r="T333" s="1" t="s">
        <v>1360</v>
      </c>
      <c r="U333" s="1" t="n">
        <v>4</v>
      </c>
      <c r="V333" s="1" t="n">
        <v>0</v>
      </c>
    </row>
    <row r="334" customFormat="false" ht="18.7" hidden="false" customHeight="true" outlineLevel="0" collapsed="false">
      <c r="A334" s="1" t="n">
        <v>333</v>
      </c>
      <c r="B334" s="7" t="str">
        <f aca="false">HYPERLINK("https://mncourtfraud.com/file/27-CR-22-14239.pdf","27-CR-22-14239")</f>
        <v>27-CR-22-14239</v>
      </c>
      <c r="C334" s="1" t="n">
        <v>5</v>
      </c>
      <c r="D334" s="2" t="s">
        <v>267</v>
      </c>
      <c r="E334" s="8" t="n">
        <v>44837</v>
      </c>
      <c r="F334" s="2" t="s">
        <v>17</v>
      </c>
      <c r="G334" s="7" t="str">
        <f aca="false">HYPERLINK("https://mncourtfraud.com/file/MCRO_27-CR-22-14239_Returned Mail_2022-10-03_20251126165740.pdf","MCRO_27-CR-22-14239_Returned Mail_2022-10-03_20251126165740.pdf")</f>
        <v>MCRO_27-CR-22-14239_Returned Mail_2022-10-03_20251126165740.pdf</v>
      </c>
      <c r="H334" s="1" t="n">
        <v>4</v>
      </c>
      <c r="I334" s="1" t="s">
        <v>1360</v>
      </c>
      <c r="J334" s="1" t="n">
        <v>1</v>
      </c>
      <c r="K334" s="2" t="s">
        <v>1362</v>
      </c>
      <c r="L334" s="2" t="s">
        <v>1364</v>
      </c>
      <c r="M334" s="1" t="s">
        <v>1360</v>
      </c>
      <c r="N334" s="1" t="n">
        <v>0</v>
      </c>
      <c r="O334" s="2" t="n">
        <v>95.7</v>
      </c>
      <c r="P334" s="2" t="n">
        <v>95.7</v>
      </c>
      <c r="Q334" s="2" t="n">
        <v>95.7</v>
      </c>
      <c r="R334" s="1" t="n">
        <v>1</v>
      </c>
      <c r="S334" s="1" t="n">
        <v>0</v>
      </c>
      <c r="T334" s="1" t="s">
        <v>1360</v>
      </c>
      <c r="U334" s="1" t="n">
        <v>4</v>
      </c>
      <c r="V334" s="1" t="n">
        <v>0</v>
      </c>
    </row>
    <row r="335" customFormat="false" ht="18.7" hidden="false" customHeight="true" outlineLevel="0" collapsed="false">
      <c r="A335" s="1" t="n">
        <v>334</v>
      </c>
      <c r="B335" s="7" t="str">
        <f aca="false">HYPERLINK("https://mncourtfraud.com/file/27-CR-22-1664.pdf","27-CR-22-1664")</f>
        <v>27-CR-22-1664</v>
      </c>
      <c r="C335" s="1" t="n">
        <v>5</v>
      </c>
      <c r="D335" s="2" t="s">
        <v>267</v>
      </c>
      <c r="E335" s="8" t="n">
        <v>44873</v>
      </c>
      <c r="F335" s="2" t="s">
        <v>15</v>
      </c>
      <c r="G335" s="7" t="str">
        <f aca="false">HYPERLINK("https://mncourtfraud.com/file/MCRO_27-CR-22-1664_Order-Evaluation for Competency to Proceed (Rule 20.01)_2022-11-08_20251126165858.pdf","MCRO_27-CR-22-1664_Order-Evaluation for Competency to Proceed (Rule 20.01)_2022-11-08_20251126165858.pdf")</f>
        <v>MCRO_27-CR-22-1664_Order-Evaluation for Competency to Proceed (Rule 20.01)_2022-11-08_20251126165858.pdf</v>
      </c>
      <c r="H335" s="1" t="n">
        <v>4</v>
      </c>
      <c r="I335" s="1" t="s">
        <v>1360</v>
      </c>
      <c r="J335" s="1" t="n">
        <v>1</v>
      </c>
      <c r="K335" s="2" t="s">
        <v>1362</v>
      </c>
      <c r="L335" s="2" t="s">
        <v>1364</v>
      </c>
      <c r="M335" s="1" t="s">
        <v>1360</v>
      </c>
      <c r="N335" s="1" t="n">
        <v>0</v>
      </c>
      <c r="O335" s="2" t="n">
        <v>98.06</v>
      </c>
      <c r="P335" s="2" t="n">
        <v>98.06</v>
      </c>
      <c r="Q335" s="2" t="n">
        <v>98.06</v>
      </c>
      <c r="R335" s="1" t="n">
        <v>1</v>
      </c>
      <c r="S335" s="1" t="n">
        <v>0</v>
      </c>
      <c r="T335" s="1" t="s">
        <v>1360</v>
      </c>
      <c r="U335" s="1" t="n">
        <v>4</v>
      </c>
      <c r="V335" s="1" t="n">
        <v>0</v>
      </c>
    </row>
    <row r="336" customFormat="false" ht="18.7" hidden="false" customHeight="true" outlineLevel="0" collapsed="false">
      <c r="A336" s="1" t="n">
        <v>335</v>
      </c>
      <c r="B336" s="7" t="str">
        <f aca="false">HYPERLINK("https://mncourtfraud.com/file/27-CR-22-1664.pdf","27-CR-22-1664")</f>
        <v>27-CR-22-1664</v>
      </c>
      <c r="C336" s="1" t="n">
        <v>5</v>
      </c>
      <c r="D336" s="2" t="s">
        <v>267</v>
      </c>
      <c r="E336" s="8" t="n">
        <v>45023</v>
      </c>
      <c r="F336" s="2" t="s">
        <v>15</v>
      </c>
      <c r="G336" s="7" t="str">
        <f aca="false">HYPERLINK("https://mncourtfraud.com/file/MCRO_27-CR-22-1664_Order-Evaluation for Competency to Proceed (Rule 20.01)_2023-04-07_20251126165909.pdf","MCRO_27-CR-22-1664_Order-Evaluation for Competency to Proceed (Rule 20.01)_2023-04-07_20251126165909.pdf")</f>
        <v>MCRO_27-CR-22-1664_Order-Evaluation for Competency to Proceed (Rule 20.01)_2023-04-07_20251126165909.pdf</v>
      </c>
      <c r="H336" s="1" t="n">
        <v>4</v>
      </c>
      <c r="I336" s="1" t="s">
        <v>1360</v>
      </c>
      <c r="J336" s="1" t="n">
        <v>1</v>
      </c>
      <c r="K336" s="2" t="s">
        <v>1362</v>
      </c>
      <c r="L336" s="2" t="s">
        <v>1364</v>
      </c>
      <c r="M336" s="1" t="s">
        <v>1360</v>
      </c>
      <c r="N336" s="1" t="n">
        <v>0</v>
      </c>
      <c r="O336" s="2" t="n">
        <v>98.55</v>
      </c>
      <c r="P336" s="2" t="n">
        <v>98.55</v>
      </c>
      <c r="Q336" s="2" t="n">
        <v>98.55</v>
      </c>
      <c r="R336" s="1" t="n">
        <v>1</v>
      </c>
      <c r="S336" s="1" t="n">
        <v>0</v>
      </c>
      <c r="T336" s="1" t="s">
        <v>1360</v>
      </c>
      <c r="U336" s="1" t="n">
        <v>4</v>
      </c>
      <c r="V336" s="1" t="n">
        <v>0</v>
      </c>
    </row>
    <row r="337" customFormat="false" ht="18.7" hidden="false" customHeight="true" outlineLevel="0" collapsed="false">
      <c r="A337" s="1" t="n">
        <v>336</v>
      </c>
      <c r="B337" s="7" t="str">
        <f aca="false">HYPERLINK("https://mncourtfraud.com/file/27-CR-22-1664.pdf","27-CR-22-1664")</f>
        <v>27-CR-22-1664</v>
      </c>
      <c r="C337" s="1" t="n">
        <v>5</v>
      </c>
      <c r="D337" s="2" t="s">
        <v>267</v>
      </c>
      <c r="E337" s="8" t="n">
        <v>45194</v>
      </c>
      <c r="F337" s="2" t="s">
        <v>15</v>
      </c>
      <c r="G337" s="7" t="str">
        <f aca="false">HYPERLINK("https://mncourtfraud.com/file/MCRO_27-CR-22-1664_Order-Evaluation for Competency to Proceed (Rule 20.01)_2023-09-25_20251126165920.pdf","MCRO_27-CR-22-1664_Order-Evaluation for Competency to Proceed (Rule 20.01)_2023-09-25_20251126165920.pdf")</f>
        <v>MCRO_27-CR-22-1664_Order-Evaluation for Competency to Proceed (Rule 20.01)_2023-09-25_20251126165920.pdf</v>
      </c>
      <c r="H337" s="1" t="n">
        <v>4</v>
      </c>
      <c r="I337" s="1" t="s">
        <v>1360</v>
      </c>
      <c r="J337" s="1" t="n">
        <v>1</v>
      </c>
      <c r="K337" s="2" t="s">
        <v>1362</v>
      </c>
      <c r="L337" s="2" t="s">
        <v>1364</v>
      </c>
      <c r="M337" s="1" t="s">
        <v>1360</v>
      </c>
      <c r="N337" s="1" t="n">
        <v>0</v>
      </c>
      <c r="O337" s="2" t="n">
        <v>90.17</v>
      </c>
      <c r="P337" s="2" t="n">
        <v>90.17</v>
      </c>
      <c r="Q337" s="2" t="n">
        <v>90.17</v>
      </c>
      <c r="R337" s="1" t="n">
        <v>1</v>
      </c>
      <c r="S337" s="1" t="n">
        <v>0</v>
      </c>
      <c r="T337" s="1" t="s">
        <v>1360</v>
      </c>
      <c r="U337" s="1" t="n">
        <v>4</v>
      </c>
      <c r="V337" s="1" t="n">
        <v>0</v>
      </c>
    </row>
    <row r="338" customFormat="false" ht="18.7" hidden="false" customHeight="true" outlineLevel="0" collapsed="false">
      <c r="A338" s="1" t="n">
        <v>337</v>
      </c>
      <c r="B338" s="7" t="str">
        <f aca="false">HYPERLINK("https://mncourtfraud.com/file/27-CR-22-1664.pdf","27-CR-22-1664")</f>
        <v>27-CR-22-1664</v>
      </c>
      <c r="C338" s="1" t="n">
        <v>5</v>
      </c>
      <c r="D338" s="2" t="s">
        <v>267</v>
      </c>
      <c r="E338" s="8" t="n">
        <v>44733</v>
      </c>
      <c r="F338" s="2" t="s">
        <v>17</v>
      </c>
      <c r="G338" s="7" t="str">
        <f aca="false">HYPERLINK("https://mncourtfraud.com/file/MCRO_27-CR-22-1664_Returned Mail_2022-06-21_20251126170019.pdf","MCRO_27-CR-22-1664_Returned Mail_2022-06-21_20251126170019.pdf")</f>
        <v>MCRO_27-CR-22-1664_Returned Mail_2022-06-21_20251126170019.pdf</v>
      </c>
      <c r="H338" s="1" t="n">
        <v>4</v>
      </c>
      <c r="I338" s="1" t="s">
        <v>1360</v>
      </c>
      <c r="J338" s="1" t="n">
        <v>1</v>
      </c>
      <c r="K338" s="2" t="s">
        <v>1362</v>
      </c>
      <c r="L338" s="2" t="s">
        <v>1364</v>
      </c>
      <c r="M338" s="1" t="s">
        <v>1360</v>
      </c>
      <c r="N338" s="1" t="n">
        <v>0</v>
      </c>
      <c r="O338" s="2" t="n">
        <v>94.99</v>
      </c>
      <c r="P338" s="2" t="n">
        <v>94.99</v>
      </c>
      <c r="Q338" s="2" t="n">
        <v>94.99</v>
      </c>
      <c r="R338" s="1" t="n">
        <v>1</v>
      </c>
      <c r="S338" s="1" t="n">
        <v>0</v>
      </c>
      <c r="T338" s="1" t="s">
        <v>1360</v>
      </c>
      <c r="U338" s="1" t="n">
        <v>4</v>
      </c>
      <c r="V338" s="1" t="n">
        <v>0</v>
      </c>
    </row>
    <row r="339" customFormat="false" ht="18.7" hidden="false" customHeight="true" outlineLevel="0" collapsed="false">
      <c r="A339" s="1" t="n">
        <v>338</v>
      </c>
      <c r="B339" s="7" t="str">
        <f aca="false">HYPERLINK("https://mncourtfraud.com/file/27-CR-22-1664.pdf","27-CR-22-1664")</f>
        <v>27-CR-22-1664</v>
      </c>
      <c r="C339" s="1" t="n">
        <v>5</v>
      </c>
      <c r="D339" s="2" t="s">
        <v>267</v>
      </c>
      <c r="E339" s="8" t="n">
        <v>44733</v>
      </c>
      <c r="F339" s="2" t="s">
        <v>17</v>
      </c>
      <c r="G339" s="7" t="str">
        <f aca="false">HYPERLINK("https://mncourtfraud.com/file/MCRO_27-CR-22-1664_Returned Mail_2022-06-21_20251126170027.pdf","MCRO_27-CR-22-1664_Returned Mail_2022-06-21_20251126170027.pdf")</f>
        <v>MCRO_27-CR-22-1664_Returned Mail_2022-06-21_20251126170027.pdf</v>
      </c>
      <c r="H339" s="1" t="n">
        <v>4</v>
      </c>
      <c r="I339" s="1" t="s">
        <v>1360</v>
      </c>
      <c r="J339" s="1" t="n">
        <v>1</v>
      </c>
      <c r="K339" s="2" t="s">
        <v>1362</v>
      </c>
      <c r="L339" s="2" t="s">
        <v>1364</v>
      </c>
      <c r="M339" s="1" t="s">
        <v>1360</v>
      </c>
      <c r="N339" s="1" t="n">
        <v>0</v>
      </c>
      <c r="O339" s="2" t="n">
        <v>93.56</v>
      </c>
      <c r="P339" s="2" t="n">
        <v>93.56</v>
      </c>
      <c r="Q339" s="2" t="n">
        <v>93.56</v>
      </c>
      <c r="R339" s="1" t="n">
        <v>1</v>
      </c>
      <c r="S339" s="1" t="n">
        <v>0</v>
      </c>
      <c r="T339" s="1" t="s">
        <v>1360</v>
      </c>
      <c r="U339" s="1" t="n">
        <v>4</v>
      </c>
      <c r="V339" s="1" t="n">
        <v>0</v>
      </c>
    </row>
    <row r="340" customFormat="false" ht="18.7" hidden="false" customHeight="true" outlineLevel="0" collapsed="false">
      <c r="A340" s="1" t="n">
        <v>339</v>
      </c>
      <c r="B340" s="7" t="str">
        <f aca="false">HYPERLINK("https://mncourtfraud.com/file/27-CR-22-1664.pdf","27-CR-22-1664")</f>
        <v>27-CR-22-1664</v>
      </c>
      <c r="C340" s="1" t="n">
        <v>5</v>
      </c>
      <c r="D340" s="2" t="s">
        <v>267</v>
      </c>
      <c r="E340" s="8" t="n">
        <v>44733</v>
      </c>
      <c r="F340" s="2" t="s">
        <v>17</v>
      </c>
      <c r="G340" s="7" t="str">
        <f aca="false">HYPERLINK("https://mncourtfraud.com/file/MCRO_27-CR-22-1664_Returned Mail_2022-06-21_20251126170031.pdf","MCRO_27-CR-22-1664_Returned Mail_2022-06-21_20251126170031.pdf")</f>
        <v>MCRO_27-CR-22-1664_Returned Mail_2022-06-21_20251126170031.pdf</v>
      </c>
      <c r="H340" s="1" t="n">
        <v>4</v>
      </c>
      <c r="I340" s="1" t="s">
        <v>1360</v>
      </c>
      <c r="J340" s="1" t="n">
        <v>1</v>
      </c>
      <c r="K340" s="2" t="s">
        <v>1362</v>
      </c>
      <c r="L340" s="2" t="s">
        <v>1364</v>
      </c>
      <c r="M340" s="1" t="s">
        <v>1360</v>
      </c>
      <c r="N340" s="1" t="n">
        <v>0</v>
      </c>
      <c r="O340" s="2" t="n">
        <v>94.52</v>
      </c>
      <c r="P340" s="2" t="n">
        <v>94.52</v>
      </c>
      <c r="Q340" s="2" t="n">
        <v>94.52</v>
      </c>
      <c r="R340" s="1" t="n">
        <v>1</v>
      </c>
      <c r="S340" s="1" t="n">
        <v>0</v>
      </c>
      <c r="T340" s="1" t="s">
        <v>1360</v>
      </c>
      <c r="U340" s="1" t="n">
        <v>4</v>
      </c>
      <c r="V340" s="1" t="n">
        <v>0</v>
      </c>
    </row>
    <row r="341" customFormat="false" ht="18.7" hidden="false" customHeight="true" outlineLevel="0" collapsed="false">
      <c r="A341" s="1" t="n">
        <v>340</v>
      </c>
      <c r="B341" s="7" t="str">
        <f aca="false">HYPERLINK("https://mncourtfraud.com/file/27-CR-22-1664.pdf","27-CR-22-1664")</f>
        <v>27-CR-22-1664</v>
      </c>
      <c r="C341" s="1" t="n">
        <v>5</v>
      </c>
      <c r="D341" s="2" t="s">
        <v>267</v>
      </c>
      <c r="E341" s="8" t="n">
        <v>44837</v>
      </c>
      <c r="F341" s="2" t="s">
        <v>17</v>
      </c>
      <c r="G341" s="7" t="str">
        <f aca="false">HYPERLINK("https://mncourtfraud.com/file/MCRO_27-CR-22-1664_Returned Mail_2022-10-03_20251126165936.pdf","MCRO_27-CR-22-1664_Returned Mail_2022-10-03_20251126165936.pdf")</f>
        <v>MCRO_27-CR-22-1664_Returned Mail_2022-10-03_20251126165936.pdf</v>
      </c>
      <c r="H341" s="1" t="n">
        <v>4</v>
      </c>
      <c r="I341" s="1" t="s">
        <v>1360</v>
      </c>
      <c r="J341" s="1" t="n">
        <v>1</v>
      </c>
      <c r="K341" s="2" t="s">
        <v>1362</v>
      </c>
      <c r="L341" s="2" t="s">
        <v>1364</v>
      </c>
      <c r="M341" s="1" t="s">
        <v>1360</v>
      </c>
      <c r="N341" s="1" t="n">
        <v>0</v>
      </c>
      <c r="O341" s="2" t="n">
        <v>95.7</v>
      </c>
      <c r="P341" s="2" t="n">
        <v>95.7</v>
      </c>
      <c r="Q341" s="2" t="n">
        <v>95.7</v>
      </c>
      <c r="R341" s="1" t="n">
        <v>1</v>
      </c>
      <c r="S341" s="1" t="n">
        <v>0</v>
      </c>
      <c r="T341" s="1" t="s">
        <v>1360</v>
      </c>
      <c r="U341" s="1" t="n">
        <v>4</v>
      </c>
      <c r="V341" s="1" t="n">
        <v>0</v>
      </c>
    </row>
    <row r="342" customFormat="false" ht="18.7" hidden="false" customHeight="true" outlineLevel="0" collapsed="false">
      <c r="A342" s="1" t="n">
        <v>341</v>
      </c>
      <c r="B342" s="7" t="str">
        <f aca="false">HYPERLINK("https://mncourtfraud.com/file/27-CR-22-18472.pdf","27-CR-22-18472")</f>
        <v>27-CR-22-18472</v>
      </c>
      <c r="C342" s="1" t="n">
        <v>5</v>
      </c>
      <c r="D342" s="2" t="s">
        <v>267</v>
      </c>
      <c r="E342" s="8" t="n">
        <v>44873</v>
      </c>
      <c r="F342" s="2" t="s">
        <v>15</v>
      </c>
      <c r="G342" s="7" t="str">
        <f aca="false">HYPERLINK("https://mncourtfraud.com/file/MCRO_27-CR-22-18472_Order-Evaluation for Competency to Proceed (Rule 20.01)_2022-11-08_20251126170119.pdf","MCRO_27-CR-22-18472_Order-Evaluation for Competency to Proceed (Rule 20.01)_2022-11-08_20251126170119.pdf")</f>
        <v>MCRO_27-CR-22-18472_Order-Evaluation for Competency to Proceed (Rule 20.01)_2022-11-08_20251126170119.pdf</v>
      </c>
      <c r="H342" s="1" t="n">
        <v>4</v>
      </c>
      <c r="I342" s="1" t="s">
        <v>1360</v>
      </c>
      <c r="J342" s="1" t="n">
        <v>1</v>
      </c>
      <c r="K342" s="2" t="s">
        <v>1362</v>
      </c>
      <c r="L342" s="2" t="s">
        <v>1364</v>
      </c>
      <c r="M342" s="1" t="s">
        <v>1360</v>
      </c>
      <c r="N342" s="1" t="n">
        <v>0</v>
      </c>
      <c r="O342" s="2" t="n">
        <v>98.06</v>
      </c>
      <c r="P342" s="2" t="n">
        <v>98.06</v>
      </c>
      <c r="Q342" s="2" t="n">
        <v>98.06</v>
      </c>
      <c r="R342" s="1" t="n">
        <v>1</v>
      </c>
      <c r="S342" s="1" t="n">
        <v>0</v>
      </c>
      <c r="T342" s="1" t="s">
        <v>1360</v>
      </c>
      <c r="U342" s="1" t="n">
        <v>4</v>
      </c>
      <c r="V342" s="1" t="n">
        <v>0</v>
      </c>
    </row>
    <row r="343" customFormat="false" ht="18.7" hidden="false" customHeight="true" outlineLevel="0" collapsed="false">
      <c r="A343" s="1" t="n">
        <v>342</v>
      </c>
      <c r="B343" s="7" t="str">
        <f aca="false">HYPERLINK("https://mncourtfraud.com/file/27-CR-22-18472.pdf","27-CR-22-18472")</f>
        <v>27-CR-22-18472</v>
      </c>
      <c r="C343" s="1" t="n">
        <v>5</v>
      </c>
      <c r="D343" s="2" t="s">
        <v>267</v>
      </c>
      <c r="E343" s="8" t="n">
        <v>45023</v>
      </c>
      <c r="F343" s="2" t="s">
        <v>15</v>
      </c>
      <c r="G343" s="7" t="str">
        <f aca="false">HYPERLINK("https://mncourtfraud.com/file/MCRO_27-CR-22-18472_Order-Evaluation for Competency to Proceed (Rule 20.01)_2023-04-07_20251126170128.pdf","MCRO_27-CR-22-18472_Order-Evaluation for Competency to Proceed (Rule 20.01)_2023-04-07_20251126170128.pdf")</f>
        <v>MCRO_27-CR-22-18472_Order-Evaluation for Competency to Proceed (Rule 20.01)_2023-04-07_20251126170128.pdf</v>
      </c>
      <c r="H343" s="1" t="n">
        <v>4</v>
      </c>
      <c r="I343" s="1" t="s">
        <v>1360</v>
      </c>
      <c r="J343" s="1" t="n">
        <v>1</v>
      </c>
      <c r="K343" s="2" t="s">
        <v>1362</v>
      </c>
      <c r="L343" s="2" t="s">
        <v>1364</v>
      </c>
      <c r="M343" s="1" t="s">
        <v>1360</v>
      </c>
      <c r="N343" s="1" t="n">
        <v>0</v>
      </c>
      <c r="O343" s="2" t="n">
        <v>98.53</v>
      </c>
      <c r="P343" s="2" t="n">
        <v>98.53</v>
      </c>
      <c r="Q343" s="2" t="n">
        <v>98.53</v>
      </c>
      <c r="R343" s="1" t="n">
        <v>1</v>
      </c>
      <c r="S343" s="1" t="n">
        <v>0</v>
      </c>
      <c r="T343" s="1" t="s">
        <v>1360</v>
      </c>
      <c r="U343" s="1" t="n">
        <v>4</v>
      </c>
      <c r="V343" s="1" t="n">
        <v>0</v>
      </c>
    </row>
    <row r="344" customFormat="false" ht="18.7" hidden="false" customHeight="true" outlineLevel="0" collapsed="false">
      <c r="A344" s="1" t="n">
        <v>343</v>
      </c>
      <c r="B344" s="7" t="str">
        <f aca="false">HYPERLINK("https://mncourtfraud.com/file/27-CR-22-18472.pdf","27-CR-22-18472")</f>
        <v>27-CR-22-18472</v>
      </c>
      <c r="C344" s="1" t="n">
        <v>5</v>
      </c>
      <c r="D344" s="2" t="s">
        <v>267</v>
      </c>
      <c r="E344" s="8" t="n">
        <v>45194</v>
      </c>
      <c r="F344" s="2" t="s">
        <v>15</v>
      </c>
      <c r="G344" s="7" t="str">
        <f aca="false">HYPERLINK("https://mncourtfraud.com/file/MCRO_27-CR-22-18472_Order-Evaluation for Competency to Proceed (Rule 20.01)_2023-09-25_20251126170110.pdf","MCRO_27-CR-22-18472_Order-Evaluation for Competency to Proceed (Rule 20.01)_2023-09-25_20251126170110.pdf")</f>
        <v>MCRO_27-CR-22-18472_Order-Evaluation for Competency to Proceed (Rule 20.01)_2023-09-25_20251126170110.pdf</v>
      </c>
      <c r="H344" s="1" t="n">
        <v>4</v>
      </c>
      <c r="I344" s="1" t="s">
        <v>1360</v>
      </c>
      <c r="J344" s="1" t="n">
        <v>1</v>
      </c>
      <c r="K344" s="2" t="s">
        <v>1362</v>
      </c>
      <c r="L344" s="2" t="s">
        <v>1364</v>
      </c>
      <c r="M344" s="1" t="s">
        <v>1360</v>
      </c>
      <c r="N344" s="1" t="n">
        <v>0</v>
      </c>
      <c r="O344" s="2" t="n">
        <v>90.17</v>
      </c>
      <c r="P344" s="2" t="n">
        <v>90.17</v>
      </c>
      <c r="Q344" s="2" t="n">
        <v>90.17</v>
      </c>
      <c r="R344" s="1" t="n">
        <v>1</v>
      </c>
      <c r="S344" s="1" t="n">
        <v>0</v>
      </c>
      <c r="T344" s="1" t="s">
        <v>1360</v>
      </c>
      <c r="U344" s="1" t="n">
        <v>4</v>
      </c>
      <c r="V344" s="1" t="n">
        <v>0</v>
      </c>
    </row>
    <row r="345" customFormat="false" ht="18.7" hidden="false" customHeight="true" outlineLevel="0" collapsed="false">
      <c r="A345" s="1" t="n">
        <v>344</v>
      </c>
      <c r="B345" s="7" t="str">
        <f aca="false">HYPERLINK("https://mncourtfraud.com/file/27-CR-22-2444.pdf","27-CR-22-2444")</f>
        <v>27-CR-22-2444</v>
      </c>
      <c r="C345" s="1" t="n">
        <v>5</v>
      </c>
      <c r="D345" s="2" t="s">
        <v>267</v>
      </c>
      <c r="E345" s="8" t="n">
        <v>44873</v>
      </c>
      <c r="F345" s="2" t="s">
        <v>15</v>
      </c>
      <c r="G345" s="7" t="str">
        <f aca="false">HYPERLINK("https://mncourtfraud.com/file/MCRO_27-CR-22-2444_Order-Evaluation for Competency to Proceed (Rule 20.01)_2022-11-08_20251126170154.pdf","MCRO_27-CR-22-2444_Order-Evaluation for Competency to Proceed (Rule 20.01)_2022-11-08_20251126170154.pdf")</f>
        <v>MCRO_27-CR-22-2444_Order-Evaluation for Competency to Proceed (Rule 20.01)_2022-11-08_20251126170154.pdf</v>
      </c>
      <c r="H345" s="1" t="n">
        <v>4</v>
      </c>
      <c r="I345" s="1" t="s">
        <v>1360</v>
      </c>
      <c r="J345" s="1" t="n">
        <v>1</v>
      </c>
      <c r="K345" s="2" t="s">
        <v>1362</v>
      </c>
      <c r="L345" s="2" t="s">
        <v>1364</v>
      </c>
      <c r="M345" s="1" t="s">
        <v>1360</v>
      </c>
      <c r="N345" s="1" t="n">
        <v>0</v>
      </c>
      <c r="O345" s="2" t="n">
        <v>98.3</v>
      </c>
      <c r="P345" s="2" t="n">
        <v>98.3</v>
      </c>
      <c r="Q345" s="2" t="n">
        <v>98.3</v>
      </c>
      <c r="R345" s="1" t="n">
        <v>1</v>
      </c>
      <c r="S345" s="1" t="n">
        <v>0</v>
      </c>
      <c r="T345" s="1" t="s">
        <v>1360</v>
      </c>
      <c r="U345" s="1" t="n">
        <v>4</v>
      </c>
      <c r="V345" s="1" t="n">
        <v>0</v>
      </c>
    </row>
    <row r="346" customFormat="false" ht="18.7" hidden="false" customHeight="true" outlineLevel="0" collapsed="false">
      <c r="A346" s="1" t="n">
        <v>345</v>
      </c>
      <c r="B346" s="7" t="str">
        <f aca="false">HYPERLINK("https://mncourtfraud.com/file/27-CR-22-2444.pdf","27-CR-22-2444")</f>
        <v>27-CR-22-2444</v>
      </c>
      <c r="C346" s="1" t="n">
        <v>5</v>
      </c>
      <c r="D346" s="2" t="s">
        <v>267</v>
      </c>
      <c r="E346" s="8" t="n">
        <v>45023</v>
      </c>
      <c r="F346" s="2" t="s">
        <v>15</v>
      </c>
      <c r="G346" s="7" t="str">
        <f aca="false">HYPERLINK("https://mncourtfraud.com/file/MCRO_27-CR-22-2444_Order-Evaluation for Competency to Proceed (Rule 20.01)_2023-04-07_20251126170204.pdf","MCRO_27-CR-22-2444_Order-Evaluation for Competency to Proceed (Rule 20.01)_2023-04-07_20251126170204.pdf")</f>
        <v>MCRO_27-CR-22-2444_Order-Evaluation for Competency to Proceed (Rule 20.01)_2023-04-07_20251126170204.pdf</v>
      </c>
      <c r="H346" s="1" t="n">
        <v>4</v>
      </c>
      <c r="I346" s="1" t="s">
        <v>1360</v>
      </c>
      <c r="J346" s="1" t="n">
        <v>1</v>
      </c>
      <c r="K346" s="2" t="s">
        <v>1362</v>
      </c>
      <c r="L346" s="2" t="s">
        <v>1364</v>
      </c>
      <c r="M346" s="1" t="s">
        <v>1360</v>
      </c>
      <c r="N346" s="1" t="n">
        <v>0</v>
      </c>
      <c r="O346" s="2" t="n">
        <v>98.54</v>
      </c>
      <c r="P346" s="2" t="n">
        <v>98.54</v>
      </c>
      <c r="Q346" s="2" t="n">
        <v>98.54</v>
      </c>
      <c r="R346" s="1" t="n">
        <v>1</v>
      </c>
      <c r="S346" s="1" t="n">
        <v>0</v>
      </c>
      <c r="T346" s="1" t="s">
        <v>1360</v>
      </c>
      <c r="U346" s="1" t="n">
        <v>4</v>
      </c>
      <c r="V346" s="1" t="n">
        <v>0</v>
      </c>
    </row>
    <row r="347" customFormat="false" ht="18.7" hidden="false" customHeight="true" outlineLevel="0" collapsed="false">
      <c r="A347" s="1" t="n">
        <v>346</v>
      </c>
      <c r="B347" s="7" t="str">
        <f aca="false">HYPERLINK("https://mncourtfraud.com/file/27-CR-22-2444.pdf","27-CR-22-2444")</f>
        <v>27-CR-22-2444</v>
      </c>
      <c r="C347" s="1" t="n">
        <v>5</v>
      </c>
      <c r="D347" s="2" t="s">
        <v>267</v>
      </c>
      <c r="E347" s="8" t="n">
        <v>45194</v>
      </c>
      <c r="F347" s="2" t="s">
        <v>15</v>
      </c>
      <c r="G347" s="7" t="str">
        <f aca="false">HYPERLINK("https://mncourtfraud.com/file/MCRO_27-CR-22-2444_Order-Evaluation for Competency to Proceed (Rule 20.01)_2023-09-25_20251126170213.pdf","MCRO_27-CR-22-2444_Order-Evaluation for Competency to Proceed (Rule 20.01)_2023-09-25_20251126170213.pdf")</f>
        <v>MCRO_27-CR-22-2444_Order-Evaluation for Competency to Proceed (Rule 20.01)_2023-09-25_20251126170213.pdf</v>
      </c>
      <c r="H347" s="1" t="n">
        <v>4</v>
      </c>
      <c r="I347" s="1" t="s">
        <v>1360</v>
      </c>
      <c r="J347" s="1" t="n">
        <v>1</v>
      </c>
      <c r="K347" s="2" t="s">
        <v>1362</v>
      </c>
      <c r="L347" s="2" t="s">
        <v>1364</v>
      </c>
      <c r="M347" s="1" t="s">
        <v>1360</v>
      </c>
      <c r="N347" s="1" t="n">
        <v>0</v>
      </c>
      <c r="O347" s="2" t="n">
        <v>90.17</v>
      </c>
      <c r="P347" s="2" t="n">
        <v>90.17</v>
      </c>
      <c r="Q347" s="2" t="n">
        <v>90.17</v>
      </c>
      <c r="R347" s="1" t="n">
        <v>1</v>
      </c>
      <c r="S347" s="1" t="n">
        <v>0</v>
      </c>
      <c r="T347" s="1" t="s">
        <v>1360</v>
      </c>
      <c r="U347" s="1" t="n">
        <v>4</v>
      </c>
      <c r="V347" s="1" t="n">
        <v>0</v>
      </c>
    </row>
    <row r="348" customFormat="false" ht="18.7" hidden="false" customHeight="true" outlineLevel="0" collapsed="false">
      <c r="A348" s="1" t="n">
        <v>347</v>
      </c>
      <c r="B348" s="7" t="str">
        <f aca="false">HYPERLINK("https://mncourtfraud.com/file/27-CR-22-2444.pdf","27-CR-22-2444")</f>
        <v>27-CR-22-2444</v>
      </c>
      <c r="C348" s="1" t="n">
        <v>5</v>
      </c>
      <c r="D348" s="2" t="s">
        <v>267</v>
      </c>
      <c r="E348" s="8" t="n">
        <v>44733</v>
      </c>
      <c r="F348" s="2" t="s">
        <v>17</v>
      </c>
      <c r="G348" s="7" t="str">
        <f aca="false">HYPERLINK("https://mncourtfraud.com/file/MCRO_27-CR-22-2444_Returned Mail_2022-06-21_20251126170235.pdf","MCRO_27-CR-22-2444_Returned Mail_2022-06-21_20251126170235.pdf")</f>
        <v>MCRO_27-CR-22-2444_Returned Mail_2022-06-21_20251126170235.pdf</v>
      </c>
      <c r="H348" s="1" t="n">
        <v>4</v>
      </c>
      <c r="I348" s="1" t="s">
        <v>1360</v>
      </c>
      <c r="J348" s="1" t="n">
        <v>1</v>
      </c>
      <c r="K348" s="2" t="s">
        <v>1362</v>
      </c>
      <c r="L348" s="2" t="s">
        <v>1364</v>
      </c>
      <c r="M348" s="1" t="s">
        <v>1360</v>
      </c>
      <c r="N348" s="1" t="n">
        <v>0</v>
      </c>
      <c r="O348" s="2" t="n">
        <v>93.56</v>
      </c>
      <c r="P348" s="2" t="n">
        <v>93.56</v>
      </c>
      <c r="Q348" s="2" t="n">
        <v>93.56</v>
      </c>
      <c r="R348" s="1" t="n">
        <v>1</v>
      </c>
      <c r="S348" s="1" t="n">
        <v>0</v>
      </c>
      <c r="T348" s="1" t="s">
        <v>1360</v>
      </c>
      <c r="U348" s="1" t="n">
        <v>4</v>
      </c>
      <c r="V348" s="1" t="n">
        <v>0</v>
      </c>
    </row>
    <row r="349" customFormat="false" ht="18.7" hidden="false" customHeight="true" outlineLevel="0" collapsed="false">
      <c r="A349" s="1" t="n">
        <v>348</v>
      </c>
      <c r="B349" s="7" t="str">
        <f aca="false">HYPERLINK("https://mncourtfraud.com/file/27-CR-22-2444.pdf","27-CR-22-2444")</f>
        <v>27-CR-22-2444</v>
      </c>
      <c r="C349" s="1" t="n">
        <v>5</v>
      </c>
      <c r="D349" s="2" t="s">
        <v>267</v>
      </c>
      <c r="E349" s="8" t="n">
        <v>44837</v>
      </c>
      <c r="F349" s="2" t="s">
        <v>17</v>
      </c>
      <c r="G349" s="7" t="str">
        <f aca="false">HYPERLINK("https://mncourtfraud.com/file/MCRO_27-CR-22-2444_Returned Mail_2022-10-03_20251126170225.pdf","MCRO_27-CR-22-2444_Returned Mail_2022-10-03_20251126170225.pdf")</f>
        <v>MCRO_27-CR-22-2444_Returned Mail_2022-10-03_20251126170225.pdf</v>
      </c>
      <c r="H349" s="1" t="n">
        <v>4</v>
      </c>
      <c r="I349" s="1" t="s">
        <v>1360</v>
      </c>
      <c r="J349" s="1" t="n">
        <v>1</v>
      </c>
      <c r="K349" s="2" t="s">
        <v>1362</v>
      </c>
      <c r="L349" s="2" t="s">
        <v>1364</v>
      </c>
      <c r="M349" s="1" t="s">
        <v>1360</v>
      </c>
      <c r="N349" s="1" t="n">
        <v>0</v>
      </c>
      <c r="O349" s="2" t="n">
        <v>95.7</v>
      </c>
      <c r="P349" s="2" t="n">
        <v>95.7</v>
      </c>
      <c r="Q349" s="2" t="n">
        <v>95.7</v>
      </c>
      <c r="R349" s="1" t="n">
        <v>1</v>
      </c>
      <c r="S349" s="1" t="n">
        <v>0</v>
      </c>
      <c r="T349" s="1" t="s">
        <v>1360</v>
      </c>
      <c r="U349" s="1" t="n">
        <v>4</v>
      </c>
      <c r="V349" s="1" t="n">
        <v>0</v>
      </c>
    </row>
    <row r="350" customFormat="false" ht="18.7" hidden="false" customHeight="true" outlineLevel="0" collapsed="false">
      <c r="A350" s="1" t="n">
        <v>349</v>
      </c>
      <c r="B350" s="7" t="str">
        <f aca="false">HYPERLINK("https://mncourtfraud.com/file/27-CR-22-25069.pdf","27-CR-22-25069")</f>
        <v>27-CR-22-25069</v>
      </c>
      <c r="C350" s="1" t="n">
        <v>1</v>
      </c>
      <c r="D350" s="2" t="s">
        <v>12</v>
      </c>
      <c r="E350" s="8" t="n">
        <v>45048</v>
      </c>
      <c r="F350" s="2" t="s">
        <v>80</v>
      </c>
      <c r="G350" s="7" t="str">
        <f aca="false">HYPERLINK("https://mncourtfraud.com/file/MCRO_27-CR-22-25069_Finding of Incompetency and Order_2023-05-02_20251126185303.pdf","MCRO_27-CR-22-25069_Finding of Incompetency and Order_2023-05-02_20251126185303.pdf")</f>
        <v>MCRO_27-CR-22-25069_Finding of Incompetency and Order_2023-05-02_20251126185303.pdf</v>
      </c>
      <c r="H350" s="1" t="n">
        <v>9</v>
      </c>
      <c r="I350" s="1" t="s">
        <v>1366</v>
      </c>
      <c r="J350" s="1" t="n">
        <v>3</v>
      </c>
      <c r="K350" s="2" t="s">
        <v>2268</v>
      </c>
      <c r="L350" s="2" t="s">
        <v>2269</v>
      </c>
      <c r="M350" s="1" t="s">
        <v>1366</v>
      </c>
      <c r="N350" s="1" t="n">
        <v>2</v>
      </c>
      <c r="O350" s="2" t="n">
        <v>15.21</v>
      </c>
      <c r="P350" s="2" t="n">
        <v>98.32</v>
      </c>
      <c r="Q350" s="2" t="n">
        <v>45.35</v>
      </c>
      <c r="R350" s="1" t="n">
        <v>3</v>
      </c>
      <c r="S350" s="1" t="n">
        <v>0</v>
      </c>
      <c r="T350" s="1" t="s">
        <v>1360</v>
      </c>
      <c r="U350" s="1" t="n">
        <v>5</v>
      </c>
      <c r="V350" s="1" t="n">
        <v>3</v>
      </c>
    </row>
    <row r="351" customFormat="false" ht="18.7" hidden="false" customHeight="true" outlineLevel="0" collapsed="false">
      <c r="A351" s="1" t="n">
        <v>350</v>
      </c>
      <c r="B351" s="7" t="str">
        <f aca="false">HYPERLINK("https://mncourtfraud.com/file/27-CR-22-25069.pdf","27-CR-22-25069")</f>
        <v>27-CR-22-25069</v>
      </c>
      <c r="C351" s="1" t="n">
        <v>1</v>
      </c>
      <c r="D351" s="2" t="s">
        <v>12</v>
      </c>
      <c r="E351" s="8" t="n">
        <v>45093</v>
      </c>
      <c r="F351" s="2" t="s">
        <v>82</v>
      </c>
      <c r="G351" s="7" t="str">
        <f aca="false">HYPERLINK("https://mncourtfraud.com/file/MCRO_27-CR-22-25069_Notice of Case Reassignment_2023-06-16_20251126185315.pdf","MCRO_27-CR-22-25069_Notice of Case Reassignment_2023-06-16_20251126185315.pdf")</f>
        <v>MCRO_27-CR-22-25069_Notice of Case Reassignment_2023-06-16_20251126185315.pdf</v>
      </c>
      <c r="H351" s="1" t="n">
        <v>3</v>
      </c>
      <c r="I351" s="1" t="s">
        <v>1360</v>
      </c>
      <c r="J351" s="1" t="n">
        <v>1</v>
      </c>
      <c r="K351" s="2" t="s">
        <v>1362</v>
      </c>
      <c r="L351" s="2" t="s">
        <v>1364</v>
      </c>
      <c r="M351" s="1" t="s">
        <v>1360</v>
      </c>
      <c r="N351" s="1" t="n">
        <v>0</v>
      </c>
      <c r="O351" s="2" t="n">
        <v>85.58</v>
      </c>
      <c r="P351" s="2" t="n">
        <v>85.58</v>
      </c>
      <c r="Q351" s="2" t="n">
        <v>85.58</v>
      </c>
      <c r="R351" s="1" t="n">
        <v>1</v>
      </c>
      <c r="S351" s="1" t="n">
        <v>0</v>
      </c>
      <c r="T351" s="1" t="s">
        <v>1360</v>
      </c>
      <c r="U351" s="1" t="n">
        <v>3</v>
      </c>
      <c r="V351" s="1" t="n">
        <v>0</v>
      </c>
    </row>
    <row r="352" customFormat="false" ht="18.7" hidden="false" customHeight="true" outlineLevel="0" collapsed="false">
      <c r="A352" s="1" t="n">
        <v>351</v>
      </c>
      <c r="B352" s="7" t="str">
        <f aca="false">HYPERLINK("https://mncourtfraud.com/file/27-CR-22-25069.pdf","27-CR-22-25069")</f>
        <v>27-CR-22-25069</v>
      </c>
      <c r="C352" s="1" t="n">
        <v>1</v>
      </c>
      <c r="D352" s="2" t="s">
        <v>12</v>
      </c>
      <c r="E352" s="8" t="n">
        <v>45160</v>
      </c>
      <c r="F352" s="2" t="s">
        <v>15</v>
      </c>
      <c r="G352" s="7" t="str">
        <f aca="false">HYPERLINK("https://mncourtfraud.com/file/MCRO_27-CR-22-25069_Order-Evaluation for Competency to Proceed (Rule 20.01)_2023-08-22_20251126185424.pdf","MCRO_27-CR-22-25069_Order-Evaluation for Competency to Proceed (Rule 20.01)_2023-08-22_20251126185424.pdf")</f>
        <v>MCRO_27-CR-22-25069_Order-Evaluation for Competency to Proceed (Rule 20.01)_2023-08-22_20251126185424.pdf</v>
      </c>
      <c r="H352" s="1" t="n">
        <v>6</v>
      </c>
      <c r="I352" s="1" t="s">
        <v>1366</v>
      </c>
      <c r="J352" s="1" t="n">
        <v>2</v>
      </c>
      <c r="K352" s="2" t="s">
        <v>2270</v>
      </c>
      <c r="L352" s="2" t="s">
        <v>2269</v>
      </c>
      <c r="M352" s="1" t="s">
        <v>1366</v>
      </c>
      <c r="N352" s="1" t="n">
        <v>1</v>
      </c>
      <c r="O352" s="2" t="n">
        <v>23.95</v>
      </c>
      <c r="P352" s="2" t="n">
        <v>98.13</v>
      </c>
      <c r="Q352" s="2" t="n">
        <v>61.04</v>
      </c>
      <c r="R352" s="1" t="n">
        <v>2</v>
      </c>
      <c r="S352" s="1" t="n">
        <v>0</v>
      </c>
      <c r="T352" s="1" t="s">
        <v>1360</v>
      </c>
      <c r="U352" s="1" t="n">
        <v>3</v>
      </c>
      <c r="V352" s="1" t="n">
        <v>3</v>
      </c>
    </row>
    <row r="353" customFormat="false" ht="18.7" hidden="false" customHeight="true" outlineLevel="0" collapsed="false">
      <c r="A353" s="1" t="n">
        <v>352</v>
      </c>
      <c r="B353" s="7" t="str">
        <f aca="false">HYPERLINK("https://mncourtfraud.com/file/27-CR-22-25069.pdf","27-CR-22-25069")</f>
        <v>27-CR-22-25069</v>
      </c>
      <c r="C353" s="1" t="n">
        <v>1</v>
      </c>
      <c r="D353" s="2" t="s">
        <v>12</v>
      </c>
      <c r="E353" s="8" t="n">
        <v>45412</v>
      </c>
      <c r="F353" s="2" t="s">
        <v>15</v>
      </c>
      <c r="G353" s="7" t="str">
        <f aca="false">HYPERLINK("https://mncourtfraud.com/file/MCRO_27-CR-22-25069_Order-Evaluation for Competency to Proceed (Rule 20.01)_2024-04-30_20251126185403.pdf","MCRO_27-CR-22-25069_Order-Evaluation for Competency to Proceed (Rule 20.01)_2024-04-30_20251126185403.pdf")</f>
        <v>MCRO_27-CR-22-25069_Order-Evaluation for Competency to Proceed (Rule 20.01)_2024-04-30_20251126185403.pdf</v>
      </c>
      <c r="H353" s="1" t="n">
        <v>4</v>
      </c>
      <c r="I353" s="1" t="s">
        <v>1360</v>
      </c>
      <c r="J353" s="1" t="n">
        <v>1</v>
      </c>
      <c r="K353" s="2" t="s">
        <v>1362</v>
      </c>
      <c r="L353" s="2" t="s">
        <v>1364</v>
      </c>
      <c r="M353" s="1" t="s">
        <v>1360</v>
      </c>
      <c r="N353" s="1" t="n">
        <v>0</v>
      </c>
      <c r="O353" s="2" t="n">
        <v>92.54</v>
      </c>
      <c r="P353" s="2" t="n">
        <v>92.54</v>
      </c>
      <c r="Q353" s="2" t="n">
        <v>92.54</v>
      </c>
      <c r="R353" s="1" t="n">
        <v>1</v>
      </c>
      <c r="S353" s="1" t="n">
        <v>0</v>
      </c>
      <c r="T353" s="1" t="s">
        <v>1360</v>
      </c>
      <c r="U353" s="1" t="n">
        <v>4</v>
      </c>
      <c r="V353" s="1" t="n">
        <v>0</v>
      </c>
    </row>
    <row r="354" customFormat="false" ht="18.7" hidden="false" customHeight="true" outlineLevel="0" collapsed="false">
      <c r="A354" s="1" t="n">
        <v>353</v>
      </c>
      <c r="B354" s="7" t="str">
        <f aca="false">HYPERLINK("https://mncourtfraud.com/file/27-CR-22-25069.pdf","27-CR-22-25069")</f>
        <v>27-CR-22-25069</v>
      </c>
      <c r="C354" s="1" t="n">
        <v>1</v>
      </c>
      <c r="D354" s="2" t="s">
        <v>12</v>
      </c>
      <c r="E354" s="8" t="n">
        <v>45412</v>
      </c>
      <c r="F354" s="2" t="s">
        <v>24</v>
      </c>
      <c r="G354" s="7" t="str">
        <f aca="false">HYPERLINK("https://mncourtfraud.com/file/MCRO_27-CR-22-25069_Order for Conditional Release_2024-04-30_20251126185327.pdf","MCRO_27-CR-22-25069_Order for Conditional Release_2024-04-30_20251126185327.pdf")</f>
        <v>MCRO_27-CR-22-25069_Order for Conditional Release_2024-04-30_20251126185327.pdf</v>
      </c>
      <c r="H354" s="1" t="n">
        <v>4</v>
      </c>
      <c r="I354" s="1" t="s">
        <v>1360</v>
      </c>
      <c r="J354" s="1" t="n">
        <v>1</v>
      </c>
      <c r="K354" s="2" t="s">
        <v>1362</v>
      </c>
      <c r="L354" s="2" t="s">
        <v>1364</v>
      </c>
      <c r="M354" s="1" t="s">
        <v>1360</v>
      </c>
      <c r="N354" s="1" t="n">
        <v>0</v>
      </c>
      <c r="O354" s="2" t="n">
        <v>89.11</v>
      </c>
      <c r="P354" s="2" t="n">
        <v>89.11</v>
      </c>
      <c r="Q354" s="2" t="n">
        <v>89.11</v>
      </c>
      <c r="R354" s="1" t="n">
        <v>1</v>
      </c>
      <c r="S354" s="1" t="n">
        <v>0</v>
      </c>
      <c r="T354" s="1" t="s">
        <v>1360</v>
      </c>
      <c r="U354" s="1" t="n">
        <v>4</v>
      </c>
      <c r="V354" s="1" t="n">
        <v>0</v>
      </c>
    </row>
    <row r="355" customFormat="false" ht="18.7" hidden="false" customHeight="true" outlineLevel="0" collapsed="false">
      <c r="A355" s="1" t="n">
        <v>354</v>
      </c>
      <c r="B355" s="7" t="str">
        <f aca="false">HYPERLINK("https://mncourtfraud.com/file/27-CR-22-25069.pdf","27-CR-22-25069")</f>
        <v>27-CR-22-25069</v>
      </c>
      <c r="C355" s="1" t="n">
        <v>1</v>
      </c>
      <c r="D355" s="2" t="s">
        <v>12</v>
      </c>
      <c r="E355" s="8" t="n">
        <v>44999</v>
      </c>
      <c r="F355" s="2" t="s">
        <v>17</v>
      </c>
      <c r="G355" s="7" t="str">
        <f aca="false">HYPERLINK("https://mncourtfraud.com/file/MCRO_27-CR-22-25069_Returned Mail_2023-03-14_20251126185437.pdf","MCRO_27-CR-22-25069_Returned Mail_2023-03-14_20251126185437.pdf")</f>
        <v>MCRO_27-CR-22-25069_Returned Mail_2023-03-14_20251126185437.pdf</v>
      </c>
      <c r="H355" s="1" t="n">
        <v>4</v>
      </c>
      <c r="I355" s="1" t="s">
        <v>1360</v>
      </c>
      <c r="J355" s="1" t="n">
        <v>1</v>
      </c>
      <c r="K355" s="2" t="s">
        <v>1362</v>
      </c>
      <c r="L355" s="2" t="s">
        <v>1364</v>
      </c>
      <c r="M355" s="1" t="s">
        <v>1360</v>
      </c>
      <c r="N355" s="1" t="n">
        <v>0</v>
      </c>
      <c r="O355" s="2" t="n">
        <v>94.08</v>
      </c>
      <c r="P355" s="2" t="n">
        <v>94.08</v>
      </c>
      <c r="Q355" s="2" t="n">
        <v>94.08</v>
      </c>
      <c r="R355" s="1" t="n">
        <v>1</v>
      </c>
      <c r="S355" s="1" t="n">
        <v>0</v>
      </c>
      <c r="T355" s="1" t="s">
        <v>1360</v>
      </c>
      <c r="U355" s="1" t="n">
        <v>4</v>
      </c>
      <c r="V355" s="1" t="n">
        <v>0</v>
      </c>
    </row>
    <row r="356" customFormat="false" ht="18.7" hidden="false" customHeight="true" outlineLevel="0" collapsed="false">
      <c r="A356" s="1" t="n">
        <v>355</v>
      </c>
      <c r="B356" s="7" t="str">
        <f aca="false">HYPERLINK("https://mncourtfraud.com/file/27-CR-22-3864.pdf","27-CR-22-3864")</f>
        <v>27-CR-22-3864</v>
      </c>
      <c r="C356" s="1" t="n">
        <v>1</v>
      </c>
      <c r="D356" s="2" t="s">
        <v>12</v>
      </c>
      <c r="E356" s="8" t="n">
        <v>45048</v>
      </c>
      <c r="F356" s="2" t="s">
        <v>80</v>
      </c>
      <c r="G356" s="7" t="str">
        <f aca="false">HYPERLINK("https://mncourtfraud.com/file/MCRO_27-CR-22-3864_Finding of Incompetency and Order_2023-05-02_20251126185519.pdf","MCRO_27-CR-22-3864_Finding of Incompetency and Order_2023-05-02_20251126185519.pdf")</f>
        <v>MCRO_27-CR-22-3864_Finding of Incompetency and Order_2023-05-02_20251126185519.pdf</v>
      </c>
      <c r="H356" s="1" t="n">
        <v>9</v>
      </c>
      <c r="I356" s="1" t="s">
        <v>1366</v>
      </c>
      <c r="J356" s="1" t="n">
        <v>3</v>
      </c>
      <c r="K356" s="2" t="s">
        <v>2268</v>
      </c>
      <c r="L356" s="2" t="s">
        <v>2269</v>
      </c>
      <c r="M356" s="1" t="s">
        <v>1366</v>
      </c>
      <c r="N356" s="1" t="n">
        <v>2</v>
      </c>
      <c r="O356" s="2" t="n">
        <v>15.21</v>
      </c>
      <c r="P356" s="2" t="n">
        <v>98.32</v>
      </c>
      <c r="Q356" s="2" t="n">
        <v>45.35</v>
      </c>
      <c r="R356" s="1" t="n">
        <v>3</v>
      </c>
      <c r="S356" s="1" t="n">
        <v>0</v>
      </c>
      <c r="T356" s="1" t="s">
        <v>1360</v>
      </c>
      <c r="U356" s="1" t="n">
        <v>5</v>
      </c>
      <c r="V356" s="1" t="n">
        <v>3</v>
      </c>
    </row>
    <row r="357" customFormat="false" ht="18.7" hidden="false" customHeight="true" outlineLevel="0" collapsed="false">
      <c r="A357" s="1" t="n">
        <v>356</v>
      </c>
      <c r="B357" s="7" t="str">
        <f aca="false">HYPERLINK("https://mncourtfraud.com/file/27-CR-22-3864.pdf","27-CR-22-3864")</f>
        <v>27-CR-22-3864</v>
      </c>
      <c r="C357" s="1" t="n">
        <v>1</v>
      </c>
      <c r="D357" s="2" t="s">
        <v>12</v>
      </c>
      <c r="E357" s="8" t="n">
        <v>44761</v>
      </c>
      <c r="F357" s="2" t="s">
        <v>15</v>
      </c>
      <c r="G357" s="7" t="str">
        <f aca="false">HYPERLINK("https://mncourtfraud.com/file/MCRO_27-CR-22-3864_Order-Evaluation for Competency to Proceed (Rule 20.01)_2022-07-19_20251126185540.pdf","MCRO_27-CR-22-3864_Order-Evaluation for Competency to Proceed (Rule 20.01)_2022-07-19_20251126185540.pdf")</f>
        <v>MCRO_27-CR-22-3864_Order-Evaluation for Competency to Proceed (Rule 20.01)_2022-07-19_20251126185540.pdf</v>
      </c>
      <c r="H357" s="1" t="n">
        <v>4</v>
      </c>
      <c r="I357" s="1" t="s">
        <v>1360</v>
      </c>
      <c r="J357" s="1" t="n">
        <v>1</v>
      </c>
      <c r="K357" s="2" t="s">
        <v>1362</v>
      </c>
      <c r="L357" s="2" t="s">
        <v>1364</v>
      </c>
      <c r="M357" s="1" t="s">
        <v>1360</v>
      </c>
      <c r="N357" s="1" t="n">
        <v>0</v>
      </c>
      <c r="O357" s="2" t="n">
        <v>92.57</v>
      </c>
      <c r="P357" s="2" t="n">
        <v>92.57</v>
      </c>
      <c r="Q357" s="2" t="n">
        <v>92.57</v>
      </c>
      <c r="R357" s="1" t="n">
        <v>1</v>
      </c>
      <c r="S357" s="1" t="n">
        <v>0</v>
      </c>
      <c r="T357" s="1" t="s">
        <v>1360</v>
      </c>
      <c r="U357" s="1" t="n">
        <v>4</v>
      </c>
      <c r="V357" s="1" t="n">
        <v>0</v>
      </c>
    </row>
    <row r="358" customFormat="false" ht="18.7" hidden="false" customHeight="true" outlineLevel="0" collapsed="false">
      <c r="A358" s="1" t="n">
        <v>357</v>
      </c>
      <c r="B358" s="7" t="str">
        <f aca="false">HYPERLINK("https://mncourtfraud.com/file/27-CR-22-3864.pdf","27-CR-22-3864")</f>
        <v>27-CR-22-3864</v>
      </c>
      <c r="C358" s="1" t="n">
        <v>1</v>
      </c>
      <c r="D358" s="2" t="s">
        <v>12</v>
      </c>
      <c r="E358" s="8" t="n">
        <v>44895</v>
      </c>
      <c r="F358" s="2" t="s">
        <v>15</v>
      </c>
      <c r="G358" s="7" t="str">
        <f aca="false">HYPERLINK("https://mncourtfraud.com/file/MCRO_27-CR-22-3864_Order-Evaluation for Competency to Proceed (Rule 20.01)_2022-11-30_20251126185532.pdf","MCRO_27-CR-22-3864_Order-Evaluation for Competency to Proceed (Rule 20.01)_2022-11-30_20251126185532.pdf")</f>
        <v>MCRO_27-CR-22-3864_Order-Evaluation for Competency to Proceed (Rule 20.01)_2022-11-30_20251126185532.pdf</v>
      </c>
      <c r="H358" s="1" t="n">
        <v>4</v>
      </c>
      <c r="I358" s="1" t="s">
        <v>1360</v>
      </c>
      <c r="J358" s="1" t="n">
        <v>1</v>
      </c>
      <c r="K358" s="2" t="s">
        <v>1362</v>
      </c>
      <c r="L358" s="2" t="s">
        <v>1364</v>
      </c>
      <c r="M358" s="1" t="s">
        <v>1360</v>
      </c>
      <c r="N358" s="1" t="n">
        <v>0</v>
      </c>
      <c r="O358" s="2" t="n">
        <v>97.99</v>
      </c>
      <c r="P358" s="2" t="n">
        <v>97.99</v>
      </c>
      <c r="Q358" s="2" t="n">
        <v>97.99</v>
      </c>
      <c r="R358" s="1" t="n">
        <v>1</v>
      </c>
      <c r="S358" s="1" t="n">
        <v>0</v>
      </c>
      <c r="T358" s="1" t="s">
        <v>1360</v>
      </c>
      <c r="U358" s="1" t="n">
        <v>4</v>
      </c>
      <c r="V358" s="1" t="n">
        <v>0</v>
      </c>
    </row>
    <row r="359" customFormat="false" ht="18.7" hidden="false" customHeight="true" outlineLevel="0" collapsed="false">
      <c r="A359" s="1" t="n">
        <v>358</v>
      </c>
      <c r="B359" s="7" t="str">
        <f aca="false">HYPERLINK("https://mncourtfraud.com/file/27-CR-22-3864.pdf","27-CR-22-3864")</f>
        <v>27-CR-22-3864</v>
      </c>
      <c r="C359" s="1" t="n">
        <v>1</v>
      </c>
      <c r="D359" s="2" t="s">
        <v>12</v>
      </c>
      <c r="E359" s="8" t="n">
        <v>44999</v>
      </c>
      <c r="F359" s="2" t="s">
        <v>17</v>
      </c>
      <c r="G359" s="7" t="str">
        <f aca="false">HYPERLINK("https://mncourtfraud.com/file/MCRO_27-CR-22-3864_Returned Mail_2023-03-14_20251126185557.pdf","MCRO_27-CR-22-3864_Returned Mail_2023-03-14_20251126185557.pdf")</f>
        <v>MCRO_27-CR-22-3864_Returned Mail_2023-03-14_20251126185557.pdf</v>
      </c>
      <c r="H359" s="1" t="n">
        <v>4</v>
      </c>
      <c r="I359" s="1" t="s">
        <v>1360</v>
      </c>
      <c r="J359" s="1" t="n">
        <v>1</v>
      </c>
      <c r="K359" s="2" t="s">
        <v>1362</v>
      </c>
      <c r="L359" s="2" t="s">
        <v>1364</v>
      </c>
      <c r="M359" s="1" t="s">
        <v>1360</v>
      </c>
      <c r="N359" s="1" t="n">
        <v>0</v>
      </c>
      <c r="O359" s="2" t="n">
        <v>93.82</v>
      </c>
      <c r="P359" s="2" t="n">
        <v>93.82</v>
      </c>
      <c r="Q359" s="2" t="n">
        <v>93.82</v>
      </c>
      <c r="R359" s="1" t="n">
        <v>1</v>
      </c>
      <c r="S359" s="1" t="n">
        <v>0</v>
      </c>
      <c r="T359" s="1" t="s">
        <v>1360</v>
      </c>
      <c r="U359" s="1" t="n">
        <v>4</v>
      </c>
      <c r="V359" s="1" t="n">
        <v>0</v>
      </c>
    </row>
    <row r="360" customFormat="false" ht="18.7" hidden="false" customHeight="true" outlineLevel="0" collapsed="false">
      <c r="A360" s="1" t="n">
        <v>359</v>
      </c>
      <c r="B360" s="7" t="str">
        <f aca="false">HYPERLINK("https://mncourtfraud.com/file/27-CR-22-6512.pdf","27-CR-22-6512")</f>
        <v>27-CR-22-6512</v>
      </c>
      <c r="C360" s="1" t="n">
        <v>5</v>
      </c>
      <c r="D360" s="2" t="s">
        <v>267</v>
      </c>
      <c r="E360" s="8" t="n">
        <v>44873</v>
      </c>
      <c r="F360" s="2" t="s">
        <v>15</v>
      </c>
      <c r="G360" s="7" t="str">
        <f aca="false">HYPERLINK("https://mncourtfraud.com/file/MCRO_27-CR-22-6512_Order-Evaluation for Competency to Proceed (Rule 20.01)_2022-11-08_20251126170328.pdf","MCRO_27-CR-22-6512_Order-Evaluation for Competency to Proceed (Rule 20.01)_2022-11-08_20251126170328.pdf")</f>
        <v>MCRO_27-CR-22-6512_Order-Evaluation for Competency to Proceed (Rule 20.01)_2022-11-08_20251126170328.pdf</v>
      </c>
      <c r="H360" s="1" t="n">
        <v>4</v>
      </c>
      <c r="I360" s="1" t="s">
        <v>1360</v>
      </c>
      <c r="J360" s="1" t="n">
        <v>1</v>
      </c>
      <c r="K360" s="2" t="s">
        <v>1362</v>
      </c>
      <c r="L360" s="2" t="s">
        <v>1364</v>
      </c>
      <c r="M360" s="1" t="s">
        <v>1360</v>
      </c>
      <c r="N360" s="1" t="n">
        <v>0</v>
      </c>
      <c r="O360" s="2" t="n">
        <v>98.06</v>
      </c>
      <c r="P360" s="2" t="n">
        <v>98.06</v>
      </c>
      <c r="Q360" s="2" t="n">
        <v>98.06</v>
      </c>
      <c r="R360" s="1" t="n">
        <v>1</v>
      </c>
      <c r="S360" s="1" t="n">
        <v>0</v>
      </c>
      <c r="T360" s="1" t="s">
        <v>1360</v>
      </c>
      <c r="U360" s="1" t="n">
        <v>4</v>
      </c>
      <c r="V360" s="1" t="n">
        <v>0</v>
      </c>
    </row>
    <row r="361" customFormat="false" ht="18.7" hidden="false" customHeight="true" outlineLevel="0" collapsed="false">
      <c r="A361" s="1" t="n">
        <v>360</v>
      </c>
      <c r="B361" s="7" t="str">
        <f aca="false">HYPERLINK("https://mncourtfraud.com/file/27-CR-22-6512.pdf","27-CR-22-6512")</f>
        <v>27-CR-22-6512</v>
      </c>
      <c r="C361" s="1" t="n">
        <v>5</v>
      </c>
      <c r="D361" s="2" t="s">
        <v>267</v>
      </c>
      <c r="E361" s="8" t="n">
        <v>45023</v>
      </c>
      <c r="F361" s="2" t="s">
        <v>15</v>
      </c>
      <c r="G361" s="7" t="str">
        <f aca="false">HYPERLINK("https://mncourtfraud.com/file/MCRO_27-CR-22-6512_Order-Evaluation for Competency to Proceed (Rule 20.01)_2023-04-07_20251126170337.pdf","MCRO_27-CR-22-6512_Order-Evaluation for Competency to Proceed (Rule 20.01)_2023-04-07_20251126170337.pdf")</f>
        <v>MCRO_27-CR-22-6512_Order-Evaluation for Competency to Proceed (Rule 20.01)_2023-04-07_20251126170337.pdf</v>
      </c>
      <c r="H361" s="1" t="n">
        <v>4</v>
      </c>
      <c r="I361" s="1" t="s">
        <v>1360</v>
      </c>
      <c r="J361" s="1" t="n">
        <v>1</v>
      </c>
      <c r="K361" s="2" t="s">
        <v>1362</v>
      </c>
      <c r="L361" s="2" t="s">
        <v>1364</v>
      </c>
      <c r="M361" s="1" t="s">
        <v>1360</v>
      </c>
      <c r="N361" s="1" t="n">
        <v>0</v>
      </c>
      <c r="O361" s="2" t="n">
        <v>98.54</v>
      </c>
      <c r="P361" s="2" t="n">
        <v>98.54</v>
      </c>
      <c r="Q361" s="2" t="n">
        <v>98.54</v>
      </c>
      <c r="R361" s="1" t="n">
        <v>1</v>
      </c>
      <c r="S361" s="1" t="n">
        <v>0</v>
      </c>
      <c r="T361" s="1" t="s">
        <v>1360</v>
      </c>
      <c r="U361" s="1" t="n">
        <v>4</v>
      </c>
      <c r="V361" s="1" t="n">
        <v>0</v>
      </c>
    </row>
    <row r="362" customFormat="false" ht="18.7" hidden="false" customHeight="true" outlineLevel="0" collapsed="false">
      <c r="A362" s="1" t="n">
        <v>361</v>
      </c>
      <c r="B362" s="7" t="str">
        <f aca="false">HYPERLINK("https://mncourtfraud.com/file/27-CR-22-6512.pdf","27-CR-22-6512")</f>
        <v>27-CR-22-6512</v>
      </c>
      <c r="C362" s="1" t="n">
        <v>5</v>
      </c>
      <c r="D362" s="2" t="s">
        <v>267</v>
      </c>
      <c r="E362" s="8" t="n">
        <v>45194</v>
      </c>
      <c r="F362" s="2" t="s">
        <v>15</v>
      </c>
      <c r="G362" s="7" t="str">
        <f aca="false">HYPERLINK("https://mncourtfraud.com/file/MCRO_27-CR-22-6512_Order-Evaluation for Competency to Proceed (Rule 20.01)_2023-09-25_20251126170316.pdf","MCRO_27-CR-22-6512_Order-Evaluation for Competency to Proceed (Rule 20.01)_2023-09-25_20251126170316.pdf")</f>
        <v>MCRO_27-CR-22-6512_Order-Evaluation for Competency to Proceed (Rule 20.01)_2023-09-25_20251126170316.pdf</v>
      </c>
      <c r="H362" s="1" t="n">
        <v>4</v>
      </c>
      <c r="I362" s="1" t="s">
        <v>1360</v>
      </c>
      <c r="J362" s="1" t="n">
        <v>1</v>
      </c>
      <c r="K362" s="2" t="s">
        <v>1362</v>
      </c>
      <c r="L362" s="2" t="s">
        <v>1364</v>
      </c>
      <c r="M362" s="1" t="s">
        <v>1360</v>
      </c>
      <c r="N362" s="1" t="n">
        <v>0</v>
      </c>
      <c r="O362" s="2" t="n">
        <v>90.17</v>
      </c>
      <c r="P362" s="2" t="n">
        <v>90.17</v>
      </c>
      <c r="Q362" s="2" t="n">
        <v>90.17</v>
      </c>
      <c r="R362" s="1" t="n">
        <v>1</v>
      </c>
      <c r="S362" s="1" t="n">
        <v>0</v>
      </c>
      <c r="T362" s="1" t="s">
        <v>1360</v>
      </c>
      <c r="U362" s="1" t="n">
        <v>4</v>
      </c>
      <c r="V362" s="1" t="n">
        <v>0</v>
      </c>
    </row>
    <row r="363" customFormat="false" ht="18.7" hidden="false" customHeight="true" outlineLevel="0" collapsed="false">
      <c r="A363" s="1" t="n">
        <v>362</v>
      </c>
      <c r="B363" s="7" t="str">
        <f aca="false">HYPERLINK("https://mncourtfraud.com/file/27-CR-22-6512.pdf","27-CR-22-6512")</f>
        <v>27-CR-22-6512</v>
      </c>
      <c r="C363" s="1" t="n">
        <v>5</v>
      </c>
      <c r="D363" s="2" t="s">
        <v>267</v>
      </c>
      <c r="E363" s="8" t="n">
        <v>44837</v>
      </c>
      <c r="F363" s="2" t="s">
        <v>17</v>
      </c>
      <c r="G363" s="7" t="str">
        <f aca="false">HYPERLINK("https://mncourtfraud.com/file/MCRO_27-CR-22-6512_Returned Mail_2022-10-03_20251126170305.pdf","MCRO_27-CR-22-6512_Returned Mail_2022-10-03_20251126170305.pdf")</f>
        <v>MCRO_27-CR-22-6512_Returned Mail_2022-10-03_20251126170305.pdf</v>
      </c>
      <c r="H363" s="1" t="n">
        <v>4</v>
      </c>
      <c r="I363" s="1" t="s">
        <v>1360</v>
      </c>
      <c r="J363" s="1" t="n">
        <v>1</v>
      </c>
      <c r="K363" s="2" t="s">
        <v>1362</v>
      </c>
      <c r="L363" s="2" t="s">
        <v>1364</v>
      </c>
      <c r="M363" s="1" t="s">
        <v>1360</v>
      </c>
      <c r="N363" s="1" t="n">
        <v>0</v>
      </c>
      <c r="O363" s="2" t="n">
        <v>95.7</v>
      </c>
      <c r="P363" s="2" t="n">
        <v>95.7</v>
      </c>
      <c r="Q363" s="2" t="n">
        <v>95.7</v>
      </c>
      <c r="R363" s="1" t="n">
        <v>1</v>
      </c>
      <c r="S363" s="1" t="n">
        <v>0</v>
      </c>
      <c r="T363" s="1" t="s">
        <v>1360</v>
      </c>
      <c r="U363" s="1" t="n">
        <v>4</v>
      </c>
      <c r="V363" s="1" t="n">
        <v>0</v>
      </c>
    </row>
    <row r="364" customFormat="false" ht="18.7" hidden="false" customHeight="true" outlineLevel="0" collapsed="false">
      <c r="A364" s="1" t="n">
        <v>363</v>
      </c>
      <c r="B364" s="7" t="str">
        <f aca="false">HYPERLINK("https://mncourtfraud.com/file/27-CR-22-6895.pdf","27-CR-22-6895")</f>
        <v>27-CR-22-6895</v>
      </c>
      <c r="C364" s="1" t="n">
        <v>5</v>
      </c>
      <c r="D364" s="2" t="s">
        <v>267</v>
      </c>
      <c r="E364" s="8" t="n">
        <v>44873</v>
      </c>
      <c r="F364" s="2" t="s">
        <v>15</v>
      </c>
      <c r="G364" s="7" t="str">
        <f aca="false">HYPERLINK("https://mncourtfraud.com/file/MCRO_27-CR-22-6895_Order-Evaluation for Competency to Proceed (Rule 20.01)_2022-11-08_20251126170402.pdf","MCRO_27-CR-22-6895_Order-Evaluation for Competency to Proceed (Rule 20.01)_2022-11-08_20251126170402.pdf")</f>
        <v>MCRO_27-CR-22-6895_Order-Evaluation for Competency to Proceed (Rule 20.01)_2022-11-08_20251126170402.pdf</v>
      </c>
      <c r="H364" s="1" t="n">
        <v>4</v>
      </c>
      <c r="I364" s="1" t="s">
        <v>1360</v>
      </c>
      <c r="J364" s="1" t="n">
        <v>1</v>
      </c>
      <c r="K364" s="2" t="s">
        <v>1362</v>
      </c>
      <c r="L364" s="2" t="s">
        <v>1364</v>
      </c>
      <c r="M364" s="1" t="s">
        <v>1360</v>
      </c>
      <c r="N364" s="1" t="n">
        <v>0</v>
      </c>
      <c r="O364" s="2" t="n">
        <v>98.06</v>
      </c>
      <c r="P364" s="2" t="n">
        <v>98.06</v>
      </c>
      <c r="Q364" s="2" t="n">
        <v>98.06</v>
      </c>
      <c r="R364" s="1" t="n">
        <v>1</v>
      </c>
      <c r="S364" s="1" t="n">
        <v>0</v>
      </c>
      <c r="T364" s="1" t="s">
        <v>1360</v>
      </c>
      <c r="U364" s="1" t="n">
        <v>4</v>
      </c>
      <c r="V364" s="1" t="n">
        <v>0</v>
      </c>
    </row>
    <row r="365" customFormat="false" ht="18.7" hidden="false" customHeight="true" outlineLevel="0" collapsed="false">
      <c r="A365" s="1" t="n">
        <v>364</v>
      </c>
      <c r="B365" s="7" t="str">
        <f aca="false">HYPERLINK("https://mncourtfraud.com/file/27-CR-22-6895.pdf","27-CR-22-6895")</f>
        <v>27-CR-22-6895</v>
      </c>
      <c r="C365" s="1" t="n">
        <v>5</v>
      </c>
      <c r="D365" s="2" t="s">
        <v>267</v>
      </c>
      <c r="E365" s="8" t="n">
        <v>45023</v>
      </c>
      <c r="F365" s="2" t="s">
        <v>15</v>
      </c>
      <c r="G365" s="7" t="str">
        <f aca="false">HYPERLINK("https://mncourtfraud.com/file/MCRO_27-CR-22-6895_Order-Evaluation for Competency to Proceed (Rule 20.01)_2023-04-07_20251126170421.pdf","MCRO_27-CR-22-6895_Order-Evaluation for Competency to Proceed (Rule 20.01)_2023-04-07_20251126170421.pdf")</f>
        <v>MCRO_27-CR-22-6895_Order-Evaluation for Competency to Proceed (Rule 20.01)_2023-04-07_20251126170421.pdf</v>
      </c>
      <c r="H365" s="1" t="n">
        <v>4</v>
      </c>
      <c r="I365" s="1" t="s">
        <v>1360</v>
      </c>
      <c r="J365" s="1" t="n">
        <v>1</v>
      </c>
      <c r="K365" s="2" t="s">
        <v>1362</v>
      </c>
      <c r="L365" s="2" t="s">
        <v>1364</v>
      </c>
      <c r="M365" s="1" t="s">
        <v>1360</v>
      </c>
      <c r="N365" s="1" t="n">
        <v>0</v>
      </c>
      <c r="O365" s="2" t="n">
        <v>98.54</v>
      </c>
      <c r="P365" s="2" t="n">
        <v>98.54</v>
      </c>
      <c r="Q365" s="2" t="n">
        <v>98.54</v>
      </c>
      <c r="R365" s="1" t="n">
        <v>1</v>
      </c>
      <c r="S365" s="1" t="n">
        <v>0</v>
      </c>
      <c r="T365" s="1" t="s">
        <v>1360</v>
      </c>
      <c r="U365" s="1" t="n">
        <v>4</v>
      </c>
      <c r="V365" s="1" t="n">
        <v>0</v>
      </c>
    </row>
    <row r="366" customFormat="false" ht="18.7" hidden="false" customHeight="true" outlineLevel="0" collapsed="false">
      <c r="A366" s="1" t="n">
        <v>365</v>
      </c>
      <c r="B366" s="7" t="str">
        <f aca="false">HYPERLINK("https://mncourtfraud.com/file/27-CR-22-6895.pdf","27-CR-22-6895")</f>
        <v>27-CR-22-6895</v>
      </c>
      <c r="C366" s="1" t="n">
        <v>5</v>
      </c>
      <c r="D366" s="2" t="s">
        <v>267</v>
      </c>
      <c r="E366" s="8" t="n">
        <v>45194</v>
      </c>
      <c r="F366" s="2" t="s">
        <v>15</v>
      </c>
      <c r="G366" s="7" t="str">
        <f aca="false">HYPERLINK("https://mncourtfraud.com/file/MCRO_27-CR-22-6895_Order-Evaluation for Competency to Proceed (Rule 20.01)_2023-09-25_20251126170434.pdf","MCRO_27-CR-22-6895_Order-Evaluation for Competency to Proceed (Rule 20.01)_2023-09-25_20251126170434.pdf")</f>
        <v>MCRO_27-CR-22-6895_Order-Evaluation for Competency to Proceed (Rule 20.01)_2023-09-25_20251126170434.pdf</v>
      </c>
      <c r="H366" s="1" t="n">
        <v>4</v>
      </c>
      <c r="I366" s="1" t="s">
        <v>1360</v>
      </c>
      <c r="J366" s="1" t="n">
        <v>1</v>
      </c>
      <c r="K366" s="2" t="s">
        <v>1362</v>
      </c>
      <c r="L366" s="2" t="s">
        <v>1364</v>
      </c>
      <c r="M366" s="1" t="s">
        <v>1360</v>
      </c>
      <c r="N366" s="1" t="n">
        <v>0</v>
      </c>
      <c r="O366" s="2" t="n">
        <v>90.17</v>
      </c>
      <c r="P366" s="2" t="n">
        <v>90.17</v>
      </c>
      <c r="Q366" s="2" t="n">
        <v>90.17</v>
      </c>
      <c r="R366" s="1" t="n">
        <v>1</v>
      </c>
      <c r="S366" s="1" t="n">
        <v>0</v>
      </c>
      <c r="T366" s="1" t="s">
        <v>1360</v>
      </c>
      <c r="U366" s="1" t="n">
        <v>4</v>
      </c>
      <c r="V366" s="1" t="n">
        <v>0</v>
      </c>
    </row>
    <row r="367" customFormat="false" ht="18.7" hidden="false" customHeight="true" outlineLevel="0" collapsed="false">
      <c r="A367" s="1" t="n">
        <v>366</v>
      </c>
      <c r="B367" s="7" t="str">
        <f aca="false">HYPERLINK("https://mncourtfraud.com/file/27-CR-22-6895.pdf","27-CR-22-6895")</f>
        <v>27-CR-22-6895</v>
      </c>
      <c r="C367" s="1" t="n">
        <v>5</v>
      </c>
      <c r="D367" s="2" t="s">
        <v>267</v>
      </c>
      <c r="E367" s="8" t="n">
        <v>44837</v>
      </c>
      <c r="F367" s="2" t="s">
        <v>17</v>
      </c>
      <c r="G367" s="7" t="str">
        <f aca="false">HYPERLINK("https://mncourtfraud.com/file/MCRO_27-CR-22-6895_Returned Mail_2022-10-03_20251126170447.pdf","MCRO_27-CR-22-6895_Returned Mail_2022-10-03_20251126170447.pdf")</f>
        <v>MCRO_27-CR-22-6895_Returned Mail_2022-10-03_20251126170447.pdf</v>
      </c>
      <c r="H367" s="1" t="n">
        <v>4</v>
      </c>
      <c r="I367" s="1" t="s">
        <v>1360</v>
      </c>
      <c r="J367" s="1" t="n">
        <v>1</v>
      </c>
      <c r="K367" s="2" t="s">
        <v>1362</v>
      </c>
      <c r="L367" s="2" t="s">
        <v>1364</v>
      </c>
      <c r="M367" s="1" t="s">
        <v>1360</v>
      </c>
      <c r="N367" s="1" t="n">
        <v>0</v>
      </c>
      <c r="O367" s="2" t="n">
        <v>95.7</v>
      </c>
      <c r="P367" s="2" t="n">
        <v>95.7</v>
      </c>
      <c r="Q367" s="2" t="n">
        <v>95.7</v>
      </c>
      <c r="R367" s="1" t="n">
        <v>1</v>
      </c>
      <c r="S367" s="1" t="n">
        <v>0</v>
      </c>
      <c r="T367" s="1" t="s">
        <v>1360</v>
      </c>
      <c r="U367" s="1" t="n">
        <v>4</v>
      </c>
      <c r="V367" s="1" t="n">
        <v>0</v>
      </c>
    </row>
    <row r="368" customFormat="false" ht="18.7" hidden="false" customHeight="true" outlineLevel="0" collapsed="false">
      <c r="A368" s="1" t="n">
        <v>367</v>
      </c>
      <c r="B368" s="7" t="str">
        <f aca="false">HYPERLINK("https://mncourtfraud.com/file/27-CR-22-7520.pdf","27-CR-22-7520")</f>
        <v>27-CR-22-7520</v>
      </c>
      <c r="C368" s="1" t="n">
        <v>5</v>
      </c>
      <c r="D368" s="2" t="s">
        <v>267</v>
      </c>
      <c r="E368" s="8" t="n">
        <v>44873</v>
      </c>
      <c r="F368" s="2" t="s">
        <v>15</v>
      </c>
      <c r="G368" s="7" t="str">
        <f aca="false">HYPERLINK("https://mncourtfraud.com/file/MCRO_27-CR-22-7520_Order-Evaluation for Competency to Proceed (Rule 20.01)_2022-11-08_20251126170532.pdf","MCRO_27-CR-22-7520_Order-Evaluation for Competency to Proceed (Rule 20.01)_2022-11-08_20251126170532.pdf")</f>
        <v>MCRO_27-CR-22-7520_Order-Evaluation for Competency to Proceed (Rule 20.01)_2022-11-08_20251126170532.pdf</v>
      </c>
      <c r="H368" s="1" t="n">
        <v>4</v>
      </c>
      <c r="I368" s="1" t="s">
        <v>1360</v>
      </c>
      <c r="J368" s="1" t="n">
        <v>1</v>
      </c>
      <c r="K368" s="2" t="s">
        <v>1362</v>
      </c>
      <c r="L368" s="2" t="s">
        <v>1364</v>
      </c>
      <c r="M368" s="1" t="s">
        <v>1360</v>
      </c>
      <c r="N368" s="1" t="n">
        <v>0</v>
      </c>
      <c r="O368" s="2" t="n">
        <v>98.06</v>
      </c>
      <c r="P368" s="2" t="n">
        <v>98.06</v>
      </c>
      <c r="Q368" s="2" t="n">
        <v>98.06</v>
      </c>
      <c r="R368" s="1" t="n">
        <v>1</v>
      </c>
      <c r="S368" s="1" t="n">
        <v>0</v>
      </c>
      <c r="T368" s="1" t="s">
        <v>1360</v>
      </c>
      <c r="U368" s="1" t="n">
        <v>4</v>
      </c>
      <c r="V368" s="1" t="n">
        <v>0</v>
      </c>
    </row>
    <row r="369" customFormat="false" ht="18.7" hidden="false" customHeight="true" outlineLevel="0" collapsed="false">
      <c r="A369" s="1" t="n">
        <v>368</v>
      </c>
      <c r="B369" s="7" t="str">
        <f aca="false">HYPERLINK("https://mncourtfraud.com/file/27-CR-22-7520.pdf","27-CR-22-7520")</f>
        <v>27-CR-22-7520</v>
      </c>
      <c r="C369" s="1" t="n">
        <v>5</v>
      </c>
      <c r="D369" s="2" t="s">
        <v>267</v>
      </c>
      <c r="E369" s="8" t="n">
        <v>45023</v>
      </c>
      <c r="F369" s="2" t="s">
        <v>15</v>
      </c>
      <c r="G369" s="7" t="str">
        <f aca="false">HYPERLINK("https://mncourtfraud.com/file/MCRO_27-CR-22-7520_Order-Evaluation for Competency to Proceed (Rule 20.01)_2023-04-07_20251126170542.pdf","MCRO_27-CR-22-7520_Order-Evaluation for Competency to Proceed (Rule 20.01)_2023-04-07_20251126170542.pdf")</f>
        <v>MCRO_27-CR-22-7520_Order-Evaluation for Competency to Proceed (Rule 20.01)_2023-04-07_20251126170542.pdf</v>
      </c>
      <c r="H369" s="1" t="n">
        <v>4</v>
      </c>
      <c r="I369" s="1" t="s">
        <v>1360</v>
      </c>
      <c r="J369" s="1" t="n">
        <v>1</v>
      </c>
      <c r="K369" s="2" t="s">
        <v>1362</v>
      </c>
      <c r="L369" s="2" t="s">
        <v>1364</v>
      </c>
      <c r="M369" s="1" t="s">
        <v>1360</v>
      </c>
      <c r="N369" s="1" t="n">
        <v>0</v>
      </c>
      <c r="O369" s="2" t="n">
        <v>98.55</v>
      </c>
      <c r="P369" s="2" t="n">
        <v>98.55</v>
      </c>
      <c r="Q369" s="2" t="n">
        <v>98.55</v>
      </c>
      <c r="R369" s="1" t="n">
        <v>1</v>
      </c>
      <c r="S369" s="1" t="n">
        <v>0</v>
      </c>
      <c r="T369" s="1" t="s">
        <v>1360</v>
      </c>
      <c r="U369" s="1" t="n">
        <v>4</v>
      </c>
      <c r="V369" s="1" t="n">
        <v>0</v>
      </c>
    </row>
    <row r="370" customFormat="false" ht="18.7" hidden="false" customHeight="true" outlineLevel="0" collapsed="false">
      <c r="A370" s="1" t="n">
        <v>369</v>
      </c>
      <c r="B370" s="7" t="str">
        <f aca="false">HYPERLINK("https://mncourtfraud.com/file/27-CR-22-7520.pdf","27-CR-22-7520")</f>
        <v>27-CR-22-7520</v>
      </c>
      <c r="C370" s="1" t="n">
        <v>5</v>
      </c>
      <c r="D370" s="2" t="s">
        <v>267</v>
      </c>
      <c r="E370" s="8" t="n">
        <v>45194</v>
      </c>
      <c r="F370" s="2" t="s">
        <v>15</v>
      </c>
      <c r="G370" s="7" t="str">
        <f aca="false">HYPERLINK("https://mncourtfraud.com/file/MCRO_27-CR-22-7520_Order-Evaluation for Competency to Proceed (Rule 20.01)_2023-09-25_20251126170523.pdf","MCRO_27-CR-22-7520_Order-Evaluation for Competency to Proceed (Rule 20.01)_2023-09-25_20251126170523.pdf")</f>
        <v>MCRO_27-CR-22-7520_Order-Evaluation for Competency to Proceed (Rule 20.01)_2023-09-25_20251126170523.pdf</v>
      </c>
      <c r="H370" s="1" t="n">
        <v>4</v>
      </c>
      <c r="I370" s="1" t="s">
        <v>1360</v>
      </c>
      <c r="J370" s="1" t="n">
        <v>1</v>
      </c>
      <c r="K370" s="2" t="s">
        <v>1362</v>
      </c>
      <c r="L370" s="2" t="s">
        <v>1364</v>
      </c>
      <c r="M370" s="1" t="s">
        <v>1360</v>
      </c>
      <c r="N370" s="1" t="n">
        <v>0</v>
      </c>
      <c r="O370" s="2" t="n">
        <v>90.17</v>
      </c>
      <c r="P370" s="2" t="n">
        <v>90.17</v>
      </c>
      <c r="Q370" s="2" t="n">
        <v>90.17</v>
      </c>
      <c r="R370" s="1" t="n">
        <v>1</v>
      </c>
      <c r="S370" s="1" t="n">
        <v>0</v>
      </c>
      <c r="T370" s="1" t="s">
        <v>1360</v>
      </c>
      <c r="U370" s="1" t="n">
        <v>4</v>
      </c>
      <c r="V370" s="1" t="n">
        <v>0</v>
      </c>
    </row>
    <row r="371" customFormat="false" ht="18.7" hidden="false" customHeight="true" outlineLevel="0" collapsed="false">
      <c r="A371" s="1" t="n">
        <v>370</v>
      </c>
      <c r="B371" s="7" t="str">
        <f aca="false">HYPERLINK("https://mncourtfraud.com/file/27-CR-22-7520.pdf","27-CR-22-7520")</f>
        <v>27-CR-22-7520</v>
      </c>
      <c r="C371" s="1" t="n">
        <v>5</v>
      </c>
      <c r="D371" s="2" t="s">
        <v>267</v>
      </c>
      <c r="E371" s="8" t="n">
        <v>44837</v>
      </c>
      <c r="F371" s="2" t="s">
        <v>17</v>
      </c>
      <c r="G371" s="7" t="str">
        <f aca="false">HYPERLINK("https://mncourtfraud.com/file/MCRO_27-CR-22-7520_Returned Mail_2022-10-03_20251126170511.pdf","MCRO_27-CR-22-7520_Returned Mail_2022-10-03_20251126170511.pdf")</f>
        <v>MCRO_27-CR-22-7520_Returned Mail_2022-10-03_20251126170511.pdf</v>
      </c>
      <c r="H371" s="1" t="n">
        <v>4</v>
      </c>
      <c r="I371" s="1" t="s">
        <v>1360</v>
      </c>
      <c r="J371" s="1" t="n">
        <v>1</v>
      </c>
      <c r="K371" s="2" t="s">
        <v>1362</v>
      </c>
      <c r="L371" s="2" t="s">
        <v>1364</v>
      </c>
      <c r="M371" s="1" t="s">
        <v>1360</v>
      </c>
      <c r="N371" s="1" t="n">
        <v>0</v>
      </c>
      <c r="O371" s="2" t="n">
        <v>95.99</v>
      </c>
      <c r="P371" s="2" t="n">
        <v>95.99</v>
      </c>
      <c r="Q371" s="2" t="n">
        <v>95.99</v>
      </c>
      <c r="R371" s="1" t="n">
        <v>1</v>
      </c>
      <c r="S371" s="1" t="n">
        <v>0</v>
      </c>
      <c r="T371" s="1" t="s">
        <v>1360</v>
      </c>
      <c r="U371" s="1" t="n">
        <v>4</v>
      </c>
      <c r="V371" s="1" t="n">
        <v>0</v>
      </c>
    </row>
    <row r="372" customFormat="false" ht="18.7" hidden="false" customHeight="true" outlineLevel="0" collapsed="false">
      <c r="A372" s="1" t="n">
        <v>371</v>
      </c>
      <c r="B372" s="7" t="str">
        <f aca="false">HYPERLINK("https://mncourtfraud.com/file/27-CR-22-8126.pdf","27-CR-22-8126")</f>
        <v>27-CR-22-8126</v>
      </c>
      <c r="C372" s="1" t="n">
        <v>1</v>
      </c>
      <c r="D372" s="2" t="s">
        <v>12</v>
      </c>
      <c r="E372" s="8" t="n">
        <v>45048</v>
      </c>
      <c r="F372" s="2" t="s">
        <v>80</v>
      </c>
      <c r="G372" s="7" t="str">
        <f aca="false">HYPERLINK("https://mncourtfraud.com/file/MCRO_27-CR-22-8126_Finding of Incompetency and Order_2023-05-02_20251126185621.pdf","MCRO_27-CR-22-8126_Finding of Incompetency and Order_2023-05-02_20251126185621.pdf")</f>
        <v>MCRO_27-CR-22-8126_Finding of Incompetency and Order_2023-05-02_20251126185621.pdf</v>
      </c>
      <c r="H372" s="1" t="n">
        <v>9</v>
      </c>
      <c r="I372" s="1" t="s">
        <v>1366</v>
      </c>
      <c r="J372" s="1" t="n">
        <v>3</v>
      </c>
      <c r="K372" s="2" t="s">
        <v>2268</v>
      </c>
      <c r="L372" s="2" t="s">
        <v>2269</v>
      </c>
      <c r="M372" s="1" t="s">
        <v>1366</v>
      </c>
      <c r="N372" s="1" t="n">
        <v>2</v>
      </c>
      <c r="O372" s="2" t="n">
        <v>15.21</v>
      </c>
      <c r="P372" s="2" t="n">
        <v>98.32</v>
      </c>
      <c r="Q372" s="2" t="n">
        <v>45.35</v>
      </c>
      <c r="R372" s="1" t="n">
        <v>3</v>
      </c>
      <c r="S372" s="1" t="n">
        <v>0</v>
      </c>
      <c r="T372" s="1" t="s">
        <v>1360</v>
      </c>
      <c r="U372" s="1" t="n">
        <v>5</v>
      </c>
      <c r="V372" s="1" t="n">
        <v>3</v>
      </c>
    </row>
    <row r="373" customFormat="false" ht="18.7" hidden="false" customHeight="true" outlineLevel="0" collapsed="false">
      <c r="A373" s="1" t="n">
        <v>372</v>
      </c>
      <c r="B373" s="7" t="str">
        <f aca="false">HYPERLINK("https://mncourtfraud.com/file/27-CR-22-8126.pdf","27-CR-22-8126")</f>
        <v>27-CR-22-8126</v>
      </c>
      <c r="C373" s="1" t="n">
        <v>1</v>
      </c>
      <c r="D373" s="2" t="s">
        <v>12</v>
      </c>
      <c r="E373" s="8" t="n">
        <v>45093</v>
      </c>
      <c r="F373" s="2" t="s">
        <v>82</v>
      </c>
      <c r="G373" s="7" t="str">
        <f aca="false">HYPERLINK("https://mncourtfraud.com/file/MCRO_27-CR-22-8126_Notice of Case Reassignment_2023-06-16_20251126185641.pdf","MCRO_27-CR-22-8126_Notice of Case Reassignment_2023-06-16_20251126185641.pdf")</f>
        <v>MCRO_27-CR-22-8126_Notice of Case Reassignment_2023-06-16_20251126185641.pdf</v>
      </c>
      <c r="H373" s="1" t="n">
        <v>3</v>
      </c>
      <c r="I373" s="1" t="s">
        <v>1360</v>
      </c>
      <c r="J373" s="1" t="n">
        <v>1</v>
      </c>
      <c r="K373" s="2" t="s">
        <v>1362</v>
      </c>
      <c r="L373" s="2" t="s">
        <v>1364</v>
      </c>
      <c r="M373" s="1" t="s">
        <v>1360</v>
      </c>
      <c r="N373" s="1" t="n">
        <v>0</v>
      </c>
      <c r="O373" s="2" t="n">
        <v>85.58</v>
      </c>
      <c r="P373" s="2" t="n">
        <v>85.58</v>
      </c>
      <c r="Q373" s="2" t="n">
        <v>85.58</v>
      </c>
      <c r="R373" s="1" t="n">
        <v>1</v>
      </c>
      <c r="S373" s="1" t="n">
        <v>0</v>
      </c>
      <c r="T373" s="1" t="s">
        <v>1360</v>
      </c>
      <c r="U373" s="1" t="n">
        <v>3</v>
      </c>
      <c r="V373" s="1" t="n">
        <v>0</v>
      </c>
    </row>
    <row r="374" customFormat="false" ht="18.7" hidden="false" customHeight="true" outlineLevel="0" collapsed="false">
      <c r="A374" s="1" t="n">
        <v>373</v>
      </c>
      <c r="B374" s="7" t="str">
        <f aca="false">HYPERLINK("https://mncourtfraud.com/file/27-CR-22-8126.pdf","27-CR-22-8126")</f>
        <v>27-CR-22-8126</v>
      </c>
      <c r="C374" s="1" t="n">
        <v>1</v>
      </c>
      <c r="D374" s="2" t="s">
        <v>12</v>
      </c>
      <c r="E374" s="8" t="n">
        <v>44761</v>
      </c>
      <c r="F374" s="2" t="s">
        <v>15</v>
      </c>
      <c r="G374" s="7" t="str">
        <f aca="false">HYPERLINK("https://mncourtfraud.com/file/MCRO_27-CR-22-8126_Order-Evaluation for Competency to Proceed (Rule 20.01)_2022-07-19_20251126185733.pdf","MCRO_27-CR-22-8126_Order-Evaluation for Competency to Proceed (Rule 20.01)_2022-07-19_20251126185733.pdf")</f>
        <v>MCRO_27-CR-22-8126_Order-Evaluation for Competency to Proceed (Rule 20.01)_2022-07-19_20251126185733.pdf</v>
      </c>
      <c r="H374" s="1" t="n">
        <v>4</v>
      </c>
      <c r="I374" s="1" t="s">
        <v>1360</v>
      </c>
      <c r="J374" s="1" t="n">
        <v>1</v>
      </c>
      <c r="K374" s="2" t="s">
        <v>1362</v>
      </c>
      <c r="L374" s="2" t="s">
        <v>1364</v>
      </c>
      <c r="M374" s="1" t="s">
        <v>1360</v>
      </c>
      <c r="N374" s="1" t="n">
        <v>0</v>
      </c>
      <c r="O374" s="2" t="n">
        <v>92.57</v>
      </c>
      <c r="P374" s="2" t="n">
        <v>92.57</v>
      </c>
      <c r="Q374" s="2" t="n">
        <v>92.57</v>
      </c>
      <c r="R374" s="1" t="n">
        <v>1</v>
      </c>
      <c r="S374" s="1" t="n">
        <v>0</v>
      </c>
      <c r="T374" s="1" t="s">
        <v>1360</v>
      </c>
      <c r="U374" s="1" t="n">
        <v>4</v>
      </c>
      <c r="V374" s="1" t="n">
        <v>0</v>
      </c>
    </row>
    <row r="375" customFormat="false" ht="18.7" hidden="false" customHeight="true" outlineLevel="0" collapsed="false">
      <c r="A375" s="1" t="n">
        <v>374</v>
      </c>
      <c r="B375" s="7" t="str">
        <f aca="false">HYPERLINK("https://mncourtfraud.com/file/27-CR-22-8126.pdf","27-CR-22-8126")</f>
        <v>27-CR-22-8126</v>
      </c>
      <c r="C375" s="1" t="n">
        <v>1</v>
      </c>
      <c r="D375" s="2" t="s">
        <v>12</v>
      </c>
      <c r="E375" s="8" t="n">
        <v>44895</v>
      </c>
      <c r="F375" s="2" t="s">
        <v>15</v>
      </c>
      <c r="G375" s="7" t="str">
        <f aca="false">HYPERLINK("https://mncourtfraud.com/file/MCRO_27-CR-22-8126_Order-Evaluation for Competency to Proceed (Rule 20.01)_2022-11-30_20251126185703.pdf","MCRO_27-CR-22-8126_Order-Evaluation for Competency to Proceed (Rule 20.01)_2022-11-30_20251126185703.pdf")</f>
        <v>MCRO_27-CR-22-8126_Order-Evaluation for Competency to Proceed (Rule 20.01)_2022-11-30_20251126185703.pdf</v>
      </c>
      <c r="H375" s="1" t="n">
        <v>4</v>
      </c>
      <c r="I375" s="1" t="s">
        <v>1360</v>
      </c>
      <c r="J375" s="1" t="n">
        <v>1</v>
      </c>
      <c r="K375" s="2" t="s">
        <v>1362</v>
      </c>
      <c r="L375" s="2" t="s">
        <v>1364</v>
      </c>
      <c r="M375" s="1" t="s">
        <v>1360</v>
      </c>
      <c r="N375" s="1" t="n">
        <v>0</v>
      </c>
      <c r="O375" s="2" t="n">
        <v>97.99</v>
      </c>
      <c r="P375" s="2" t="n">
        <v>97.99</v>
      </c>
      <c r="Q375" s="2" t="n">
        <v>97.99</v>
      </c>
      <c r="R375" s="1" t="n">
        <v>1</v>
      </c>
      <c r="S375" s="1" t="n">
        <v>0</v>
      </c>
      <c r="T375" s="1" t="s">
        <v>1360</v>
      </c>
      <c r="U375" s="1" t="n">
        <v>4</v>
      </c>
      <c r="V375" s="1" t="n">
        <v>0</v>
      </c>
    </row>
    <row r="376" customFormat="false" ht="18.7" hidden="false" customHeight="true" outlineLevel="0" collapsed="false">
      <c r="A376" s="1" t="n">
        <v>375</v>
      </c>
      <c r="B376" s="7" t="str">
        <f aca="false">HYPERLINK("https://mncourtfraud.com/file/27-CR-22-8126.pdf","27-CR-22-8126")</f>
        <v>27-CR-22-8126</v>
      </c>
      <c r="C376" s="1" t="n">
        <v>1</v>
      </c>
      <c r="D376" s="2" t="s">
        <v>12</v>
      </c>
      <c r="E376" s="8" t="n">
        <v>45160</v>
      </c>
      <c r="F376" s="2" t="s">
        <v>15</v>
      </c>
      <c r="G376" s="7" t="str">
        <f aca="false">HYPERLINK("https://mncourtfraud.com/file/MCRO_27-CR-22-8126_Order-Evaluation for Competency to Proceed (Rule 20.01)_2023-08-22_20251126185711.pdf","MCRO_27-CR-22-8126_Order-Evaluation for Competency to Proceed (Rule 20.01)_2023-08-22_20251126185711.pdf")</f>
        <v>MCRO_27-CR-22-8126_Order-Evaluation for Competency to Proceed (Rule 20.01)_2023-08-22_20251126185711.pdf</v>
      </c>
      <c r="H376" s="1" t="n">
        <v>6</v>
      </c>
      <c r="I376" s="1" t="s">
        <v>1366</v>
      </c>
      <c r="J376" s="1" t="n">
        <v>2</v>
      </c>
      <c r="K376" s="2" t="s">
        <v>2270</v>
      </c>
      <c r="L376" s="2" t="s">
        <v>2269</v>
      </c>
      <c r="M376" s="1" t="s">
        <v>1366</v>
      </c>
      <c r="N376" s="1" t="n">
        <v>1</v>
      </c>
      <c r="O376" s="2" t="n">
        <v>23.95</v>
      </c>
      <c r="P376" s="2" t="n">
        <v>98.13</v>
      </c>
      <c r="Q376" s="2" t="n">
        <v>61.04</v>
      </c>
      <c r="R376" s="1" t="n">
        <v>2</v>
      </c>
      <c r="S376" s="1" t="n">
        <v>0</v>
      </c>
      <c r="T376" s="1" t="s">
        <v>1360</v>
      </c>
      <c r="U376" s="1" t="n">
        <v>3</v>
      </c>
      <c r="V376" s="1" t="n">
        <v>3</v>
      </c>
    </row>
    <row r="377" customFormat="false" ht="18.7" hidden="false" customHeight="true" outlineLevel="0" collapsed="false">
      <c r="A377" s="1" t="n">
        <v>376</v>
      </c>
      <c r="B377" s="7" t="str">
        <f aca="false">HYPERLINK("https://mncourtfraud.com/file/27-CR-22-8126.pdf","27-CR-22-8126")</f>
        <v>27-CR-22-8126</v>
      </c>
      <c r="C377" s="1" t="n">
        <v>1</v>
      </c>
      <c r="D377" s="2" t="s">
        <v>12</v>
      </c>
      <c r="E377" s="8" t="n">
        <v>45412</v>
      </c>
      <c r="F377" s="2" t="s">
        <v>15</v>
      </c>
      <c r="G377" s="7" t="str">
        <f aca="false">HYPERLINK("https://mncourtfraud.com/file/MCRO_27-CR-22-8126_Order-Evaluation for Competency to Proceed (Rule 20.01)_2024-04-30_20251126185722.pdf","MCRO_27-CR-22-8126_Order-Evaluation for Competency to Proceed (Rule 20.01)_2024-04-30_20251126185722.pdf")</f>
        <v>MCRO_27-CR-22-8126_Order-Evaluation for Competency to Proceed (Rule 20.01)_2024-04-30_20251126185722.pdf</v>
      </c>
      <c r="H377" s="1" t="n">
        <v>4</v>
      </c>
      <c r="I377" s="1" t="s">
        <v>1360</v>
      </c>
      <c r="J377" s="1" t="n">
        <v>1</v>
      </c>
      <c r="K377" s="2" t="s">
        <v>1362</v>
      </c>
      <c r="L377" s="2" t="s">
        <v>1364</v>
      </c>
      <c r="M377" s="1" t="s">
        <v>1360</v>
      </c>
      <c r="N377" s="1" t="n">
        <v>0</v>
      </c>
      <c r="O377" s="2" t="n">
        <v>92.54</v>
      </c>
      <c r="P377" s="2" t="n">
        <v>92.54</v>
      </c>
      <c r="Q377" s="2" t="n">
        <v>92.54</v>
      </c>
      <c r="R377" s="1" t="n">
        <v>1</v>
      </c>
      <c r="S377" s="1" t="n">
        <v>0</v>
      </c>
      <c r="T377" s="1" t="s">
        <v>1360</v>
      </c>
      <c r="U377" s="1" t="n">
        <v>4</v>
      </c>
      <c r="V377" s="1" t="n">
        <v>0</v>
      </c>
    </row>
    <row r="378" customFormat="false" ht="18.7" hidden="false" customHeight="true" outlineLevel="0" collapsed="false">
      <c r="A378" s="1" t="n">
        <v>377</v>
      </c>
      <c r="B378" s="7" t="str">
        <f aca="false">HYPERLINK("https://mncourtfraud.com/file/27-CR-22-8126.pdf","27-CR-22-8126")</f>
        <v>27-CR-22-8126</v>
      </c>
      <c r="C378" s="1" t="n">
        <v>1</v>
      </c>
      <c r="D378" s="2" t="s">
        <v>12</v>
      </c>
      <c r="E378" s="8" t="n">
        <v>45412</v>
      </c>
      <c r="F378" s="2" t="s">
        <v>24</v>
      </c>
      <c r="G378" s="7" t="str">
        <f aca="false">HYPERLINK("https://mncourtfraud.com/file/MCRO_27-CR-22-8126_Order for Conditional Release_2024-04-30_20251126185651.pdf","MCRO_27-CR-22-8126_Order for Conditional Release_2024-04-30_20251126185651.pdf")</f>
        <v>MCRO_27-CR-22-8126_Order for Conditional Release_2024-04-30_20251126185651.pdf</v>
      </c>
      <c r="H378" s="1" t="n">
        <v>4</v>
      </c>
      <c r="I378" s="1" t="s">
        <v>1360</v>
      </c>
      <c r="J378" s="1" t="n">
        <v>1</v>
      </c>
      <c r="K378" s="2" t="s">
        <v>1362</v>
      </c>
      <c r="L378" s="2" t="s">
        <v>1364</v>
      </c>
      <c r="M378" s="1" t="s">
        <v>1360</v>
      </c>
      <c r="N378" s="1" t="n">
        <v>0</v>
      </c>
      <c r="O378" s="2" t="n">
        <v>89.11</v>
      </c>
      <c r="P378" s="2" t="n">
        <v>89.11</v>
      </c>
      <c r="Q378" s="2" t="n">
        <v>89.11</v>
      </c>
      <c r="R378" s="1" t="n">
        <v>1</v>
      </c>
      <c r="S378" s="1" t="n">
        <v>0</v>
      </c>
      <c r="T378" s="1" t="s">
        <v>1360</v>
      </c>
      <c r="U378" s="1" t="n">
        <v>4</v>
      </c>
      <c r="V378" s="1" t="n">
        <v>0</v>
      </c>
    </row>
    <row r="379" customFormat="false" ht="18.7" hidden="false" customHeight="true" outlineLevel="0" collapsed="false">
      <c r="A379" s="1" t="n">
        <v>378</v>
      </c>
      <c r="B379" s="7" t="str">
        <f aca="false">HYPERLINK("https://mncourtfraud.com/file/27-CR-22-8126.pdf","27-CR-22-8126")</f>
        <v>27-CR-22-8126</v>
      </c>
      <c r="C379" s="1" t="n">
        <v>1</v>
      </c>
      <c r="D379" s="2" t="s">
        <v>12</v>
      </c>
      <c r="E379" s="8" t="n">
        <v>44999</v>
      </c>
      <c r="F379" s="2" t="s">
        <v>17</v>
      </c>
      <c r="G379" s="7" t="str">
        <f aca="false">HYPERLINK("https://mncourtfraud.com/file/MCRO_27-CR-22-8126_Returned Mail_2023-03-14_20251126185747.pdf","MCRO_27-CR-22-8126_Returned Mail_2023-03-14_20251126185747.pdf")</f>
        <v>MCRO_27-CR-22-8126_Returned Mail_2023-03-14_20251126185747.pdf</v>
      </c>
      <c r="H379" s="1" t="n">
        <v>4</v>
      </c>
      <c r="I379" s="1" t="s">
        <v>1360</v>
      </c>
      <c r="J379" s="1" t="n">
        <v>1</v>
      </c>
      <c r="K379" s="2" t="s">
        <v>1362</v>
      </c>
      <c r="L379" s="2" t="s">
        <v>1364</v>
      </c>
      <c r="M379" s="1" t="s">
        <v>1360</v>
      </c>
      <c r="N379" s="1" t="n">
        <v>0</v>
      </c>
      <c r="O379" s="2" t="n">
        <v>93.88</v>
      </c>
      <c r="P379" s="2" t="n">
        <v>93.88</v>
      </c>
      <c r="Q379" s="2" t="n">
        <v>93.88</v>
      </c>
      <c r="R379" s="1" t="n">
        <v>1</v>
      </c>
      <c r="S379" s="1" t="n">
        <v>0</v>
      </c>
      <c r="T379" s="1" t="s">
        <v>1360</v>
      </c>
      <c r="U379" s="1" t="n">
        <v>4</v>
      </c>
      <c r="V379" s="1" t="n">
        <v>0</v>
      </c>
    </row>
    <row r="380" customFormat="false" ht="18.7" hidden="false" customHeight="true" outlineLevel="0" collapsed="false">
      <c r="A380" s="1" t="n">
        <v>379</v>
      </c>
      <c r="B380" s="7" t="str">
        <f aca="false">HYPERLINK("https://mncourtfraud.com/file/27-CR-22-8226.pdf","27-CR-22-8226")</f>
        <v>27-CR-22-8226</v>
      </c>
      <c r="C380" s="1" t="n">
        <v>5</v>
      </c>
      <c r="D380" s="2" t="s">
        <v>267</v>
      </c>
      <c r="E380" s="8" t="n">
        <v>44873</v>
      </c>
      <c r="F380" s="2" t="s">
        <v>15</v>
      </c>
      <c r="G380" s="7" t="str">
        <f aca="false">HYPERLINK("https://mncourtfraud.com/file/MCRO_27-CR-22-8226_Order-Evaluation for Competency to Proceed (Rule 20.01)_2022-11-08_20251126170603.pdf","MCRO_27-CR-22-8226_Order-Evaluation for Competency to Proceed (Rule 20.01)_2022-11-08_20251126170603.pdf")</f>
        <v>MCRO_27-CR-22-8226_Order-Evaluation for Competency to Proceed (Rule 20.01)_2022-11-08_20251126170603.pdf</v>
      </c>
      <c r="H380" s="1" t="n">
        <v>4</v>
      </c>
      <c r="I380" s="1" t="s">
        <v>1360</v>
      </c>
      <c r="J380" s="1" t="n">
        <v>1</v>
      </c>
      <c r="K380" s="2" t="s">
        <v>1362</v>
      </c>
      <c r="L380" s="2" t="s">
        <v>1364</v>
      </c>
      <c r="M380" s="1" t="s">
        <v>1360</v>
      </c>
      <c r="N380" s="1" t="n">
        <v>0</v>
      </c>
      <c r="O380" s="2" t="n">
        <v>98.06</v>
      </c>
      <c r="P380" s="2" t="n">
        <v>98.06</v>
      </c>
      <c r="Q380" s="2" t="n">
        <v>98.06</v>
      </c>
      <c r="R380" s="1" t="n">
        <v>1</v>
      </c>
      <c r="S380" s="1" t="n">
        <v>0</v>
      </c>
      <c r="T380" s="1" t="s">
        <v>1360</v>
      </c>
      <c r="U380" s="1" t="n">
        <v>4</v>
      </c>
      <c r="V380" s="1" t="n">
        <v>0</v>
      </c>
    </row>
    <row r="381" customFormat="false" ht="18.7" hidden="false" customHeight="true" outlineLevel="0" collapsed="false">
      <c r="A381" s="1" t="n">
        <v>380</v>
      </c>
      <c r="B381" s="7" t="str">
        <f aca="false">HYPERLINK("https://mncourtfraud.com/file/27-CR-22-8226.pdf","27-CR-22-8226")</f>
        <v>27-CR-22-8226</v>
      </c>
      <c r="C381" s="1" t="n">
        <v>5</v>
      </c>
      <c r="D381" s="2" t="s">
        <v>267</v>
      </c>
      <c r="E381" s="8" t="n">
        <v>45023</v>
      </c>
      <c r="F381" s="2" t="s">
        <v>15</v>
      </c>
      <c r="G381" s="7" t="str">
        <f aca="false">HYPERLINK("https://mncourtfraud.com/file/MCRO_27-CR-22-8226_Order-Evaluation for Competency to Proceed (Rule 20.01)_2023-04-07_20251126170613.pdf","MCRO_27-CR-22-8226_Order-Evaluation for Competency to Proceed (Rule 20.01)_2023-04-07_20251126170613.pdf")</f>
        <v>MCRO_27-CR-22-8226_Order-Evaluation for Competency to Proceed (Rule 20.01)_2023-04-07_20251126170613.pdf</v>
      </c>
      <c r="H381" s="1" t="n">
        <v>4</v>
      </c>
      <c r="I381" s="1" t="s">
        <v>1360</v>
      </c>
      <c r="J381" s="1" t="n">
        <v>1</v>
      </c>
      <c r="K381" s="2" t="s">
        <v>1362</v>
      </c>
      <c r="L381" s="2" t="s">
        <v>1364</v>
      </c>
      <c r="M381" s="1" t="s">
        <v>1360</v>
      </c>
      <c r="N381" s="1" t="n">
        <v>0</v>
      </c>
      <c r="O381" s="2" t="n">
        <v>98.54</v>
      </c>
      <c r="P381" s="2" t="n">
        <v>98.54</v>
      </c>
      <c r="Q381" s="2" t="n">
        <v>98.54</v>
      </c>
      <c r="R381" s="1" t="n">
        <v>1</v>
      </c>
      <c r="S381" s="1" t="n">
        <v>0</v>
      </c>
      <c r="T381" s="1" t="s">
        <v>1360</v>
      </c>
      <c r="U381" s="1" t="n">
        <v>4</v>
      </c>
      <c r="V381" s="1" t="n">
        <v>0</v>
      </c>
    </row>
    <row r="382" customFormat="false" ht="18.7" hidden="false" customHeight="true" outlineLevel="0" collapsed="false">
      <c r="A382" s="1" t="n">
        <v>381</v>
      </c>
      <c r="B382" s="7" t="str">
        <f aca="false">HYPERLINK("https://mncourtfraud.com/file/27-CR-22-8226.pdf","27-CR-22-8226")</f>
        <v>27-CR-22-8226</v>
      </c>
      <c r="C382" s="1" t="n">
        <v>5</v>
      </c>
      <c r="D382" s="2" t="s">
        <v>267</v>
      </c>
      <c r="E382" s="8" t="n">
        <v>45194</v>
      </c>
      <c r="F382" s="2" t="s">
        <v>15</v>
      </c>
      <c r="G382" s="7" t="str">
        <f aca="false">HYPERLINK("https://mncourtfraud.com/file/MCRO_27-CR-22-8226_Order-Evaluation for Competency to Proceed (Rule 20.01)_2023-09-25_20251126170623.pdf","MCRO_27-CR-22-8226_Order-Evaluation for Competency to Proceed (Rule 20.01)_2023-09-25_20251126170623.pdf")</f>
        <v>MCRO_27-CR-22-8226_Order-Evaluation for Competency to Proceed (Rule 20.01)_2023-09-25_20251126170623.pdf</v>
      </c>
      <c r="H382" s="1" t="n">
        <v>4</v>
      </c>
      <c r="I382" s="1" t="s">
        <v>1360</v>
      </c>
      <c r="J382" s="1" t="n">
        <v>1</v>
      </c>
      <c r="K382" s="2" t="s">
        <v>1362</v>
      </c>
      <c r="L382" s="2" t="s">
        <v>1364</v>
      </c>
      <c r="M382" s="1" t="s">
        <v>1360</v>
      </c>
      <c r="N382" s="1" t="n">
        <v>0</v>
      </c>
      <c r="O382" s="2" t="n">
        <v>90.17</v>
      </c>
      <c r="P382" s="2" t="n">
        <v>90.17</v>
      </c>
      <c r="Q382" s="2" t="n">
        <v>90.17</v>
      </c>
      <c r="R382" s="1" t="n">
        <v>1</v>
      </c>
      <c r="S382" s="1" t="n">
        <v>0</v>
      </c>
      <c r="T382" s="1" t="s">
        <v>1360</v>
      </c>
      <c r="U382" s="1" t="n">
        <v>4</v>
      </c>
      <c r="V382" s="1" t="n">
        <v>0</v>
      </c>
    </row>
    <row r="383" customFormat="false" ht="18.7" hidden="false" customHeight="true" outlineLevel="0" collapsed="false">
      <c r="A383" s="1" t="n">
        <v>382</v>
      </c>
      <c r="B383" s="7" t="str">
        <f aca="false">HYPERLINK("https://mncourtfraud.com/file/27-CR-22-8226.pdf","27-CR-22-8226")</f>
        <v>27-CR-22-8226</v>
      </c>
      <c r="C383" s="1" t="n">
        <v>5</v>
      </c>
      <c r="D383" s="2" t="s">
        <v>267</v>
      </c>
      <c r="E383" s="8" t="n">
        <v>44837</v>
      </c>
      <c r="F383" s="2" t="s">
        <v>17</v>
      </c>
      <c r="G383" s="7" t="str">
        <f aca="false">HYPERLINK("https://mncourtfraud.com/file/MCRO_27-CR-22-8226_Returned Mail_2022-10-03_20251126170634.pdf","MCRO_27-CR-22-8226_Returned Mail_2022-10-03_20251126170634.pdf")</f>
        <v>MCRO_27-CR-22-8226_Returned Mail_2022-10-03_20251126170634.pdf</v>
      </c>
      <c r="H383" s="1" t="n">
        <v>4</v>
      </c>
      <c r="I383" s="1" t="s">
        <v>1360</v>
      </c>
      <c r="J383" s="1" t="n">
        <v>1</v>
      </c>
      <c r="K383" s="2" t="s">
        <v>1362</v>
      </c>
      <c r="L383" s="2" t="s">
        <v>1364</v>
      </c>
      <c r="M383" s="1" t="s">
        <v>1360</v>
      </c>
      <c r="N383" s="1" t="n">
        <v>0</v>
      </c>
      <c r="O383" s="2" t="n">
        <v>95.7</v>
      </c>
      <c r="P383" s="2" t="n">
        <v>95.7</v>
      </c>
      <c r="Q383" s="2" t="n">
        <v>95.7</v>
      </c>
      <c r="R383" s="1" t="n">
        <v>1</v>
      </c>
      <c r="S383" s="1" t="n">
        <v>0</v>
      </c>
      <c r="T383" s="1" t="s">
        <v>1360</v>
      </c>
      <c r="U383" s="1" t="n">
        <v>4</v>
      </c>
      <c r="V383" s="1" t="n">
        <v>0</v>
      </c>
    </row>
    <row r="384" customFormat="false" ht="18.7" hidden="false" customHeight="true" outlineLevel="0" collapsed="false">
      <c r="A384" s="1" t="n">
        <v>383</v>
      </c>
      <c r="B384" s="7" t="str">
        <f aca="false">HYPERLINK("https://mncourtfraud.com/file/27-CR-22-8378.pdf","27-CR-22-8378")</f>
        <v>27-CR-22-8378</v>
      </c>
      <c r="C384" s="1" t="n">
        <v>1</v>
      </c>
      <c r="D384" s="2" t="s">
        <v>12</v>
      </c>
      <c r="E384" s="8" t="n">
        <v>45048</v>
      </c>
      <c r="F384" s="2" t="s">
        <v>80</v>
      </c>
      <c r="G384" s="7" t="str">
        <f aca="false">HYPERLINK("https://mncourtfraud.com/file/MCRO_27-CR-22-8378_Finding of Incompetency and Order_2023-05-02_20251126185812.pdf","MCRO_27-CR-22-8378_Finding of Incompetency and Order_2023-05-02_20251126185812.pdf")</f>
        <v>MCRO_27-CR-22-8378_Finding of Incompetency and Order_2023-05-02_20251126185812.pdf</v>
      </c>
      <c r="H384" s="1" t="n">
        <v>9</v>
      </c>
      <c r="I384" s="1" t="s">
        <v>1366</v>
      </c>
      <c r="J384" s="1" t="n">
        <v>3</v>
      </c>
      <c r="K384" s="2" t="s">
        <v>2268</v>
      </c>
      <c r="L384" s="2" t="s">
        <v>2269</v>
      </c>
      <c r="M384" s="1" t="s">
        <v>1366</v>
      </c>
      <c r="N384" s="1" t="n">
        <v>2</v>
      </c>
      <c r="O384" s="2" t="n">
        <v>15.21</v>
      </c>
      <c r="P384" s="2" t="n">
        <v>98.32</v>
      </c>
      <c r="Q384" s="2" t="n">
        <v>45.35</v>
      </c>
      <c r="R384" s="1" t="n">
        <v>3</v>
      </c>
      <c r="S384" s="1" t="n">
        <v>0</v>
      </c>
      <c r="T384" s="1" t="s">
        <v>1360</v>
      </c>
      <c r="U384" s="1" t="n">
        <v>5</v>
      </c>
      <c r="V384" s="1" t="n">
        <v>3</v>
      </c>
    </row>
    <row r="385" customFormat="false" ht="18.7" hidden="false" customHeight="true" outlineLevel="0" collapsed="false">
      <c r="A385" s="1" t="n">
        <v>384</v>
      </c>
      <c r="B385" s="7" t="str">
        <f aca="false">HYPERLINK("https://mncourtfraud.com/file/27-CR-22-8378.pdf","27-CR-22-8378")</f>
        <v>27-CR-22-8378</v>
      </c>
      <c r="C385" s="1" t="n">
        <v>1</v>
      </c>
      <c r="D385" s="2" t="s">
        <v>12</v>
      </c>
      <c r="E385" s="8" t="n">
        <v>45093</v>
      </c>
      <c r="F385" s="2" t="s">
        <v>82</v>
      </c>
      <c r="G385" s="7" t="str">
        <f aca="false">HYPERLINK("https://mncourtfraud.com/file/MCRO_27-CR-22-8378_Notice of Case Reassignment_2023-06-16_20251126185824.pdf","MCRO_27-CR-22-8378_Notice of Case Reassignment_2023-06-16_20251126185824.pdf")</f>
        <v>MCRO_27-CR-22-8378_Notice of Case Reassignment_2023-06-16_20251126185824.pdf</v>
      </c>
      <c r="H385" s="1" t="n">
        <v>3</v>
      </c>
      <c r="I385" s="1" t="s">
        <v>1360</v>
      </c>
      <c r="J385" s="1" t="n">
        <v>1</v>
      </c>
      <c r="K385" s="2" t="s">
        <v>1362</v>
      </c>
      <c r="L385" s="2" t="s">
        <v>1364</v>
      </c>
      <c r="M385" s="1" t="s">
        <v>1360</v>
      </c>
      <c r="N385" s="1" t="n">
        <v>0</v>
      </c>
      <c r="O385" s="2" t="n">
        <v>85.58</v>
      </c>
      <c r="P385" s="2" t="n">
        <v>85.58</v>
      </c>
      <c r="Q385" s="2" t="n">
        <v>85.58</v>
      </c>
      <c r="R385" s="1" t="n">
        <v>1</v>
      </c>
      <c r="S385" s="1" t="n">
        <v>0</v>
      </c>
      <c r="T385" s="1" t="s">
        <v>1360</v>
      </c>
      <c r="U385" s="1" t="n">
        <v>3</v>
      </c>
      <c r="V385" s="1" t="n">
        <v>0</v>
      </c>
    </row>
    <row r="386" customFormat="false" ht="18.7" hidden="false" customHeight="true" outlineLevel="0" collapsed="false">
      <c r="A386" s="1" t="n">
        <v>385</v>
      </c>
      <c r="B386" s="7" t="str">
        <f aca="false">HYPERLINK("https://mncourtfraud.com/file/27-CR-22-8378.pdf","27-CR-22-8378")</f>
        <v>27-CR-22-8378</v>
      </c>
      <c r="C386" s="1" t="n">
        <v>1</v>
      </c>
      <c r="D386" s="2" t="s">
        <v>12</v>
      </c>
      <c r="E386" s="8" t="n">
        <v>44761</v>
      </c>
      <c r="F386" s="2" t="s">
        <v>15</v>
      </c>
      <c r="G386" s="7" t="str">
        <f aca="false">HYPERLINK("https://mncourtfraud.com/file/MCRO_27-CR-22-8378_Order-Evaluation for Competency to Proceed (Rule 20.01)_2022-07-19_20251126185857.pdf","MCRO_27-CR-22-8378_Order-Evaluation for Competency to Proceed (Rule 20.01)_2022-07-19_20251126185857.pdf")</f>
        <v>MCRO_27-CR-22-8378_Order-Evaluation for Competency to Proceed (Rule 20.01)_2022-07-19_20251126185857.pdf</v>
      </c>
      <c r="H386" s="1" t="n">
        <v>4</v>
      </c>
      <c r="I386" s="1" t="s">
        <v>1360</v>
      </c>
      <c r="J386" s="1" t="n">
        <v>1</v>
      </c>
      <c r="K386" s="2" t="s">
        <v>1362</v>
      </c>
      <c r="L386" s="2" t="s">
        <v>1364</v>
      </c>
      <c r="M386" s="1" t="s">
        <v>1360</v>
      </c>
      <c r="N386" s="1" t="n">
        <v>0</v>
      </c>
      <c r="O386" s="2" t="n">
        <v>92.57</v>
      </c>
      <c r="P386" s="2" t="n">
        <v>92.57</v>
      </c>
      <c r="Q386" s="2" t="n">
        <v>92.57</v>
      </c>
      <c r="R386" s="1" t="n">
        <v>1</v>
      </c>
      <c r="S386" s="1" t="n">
        <v>0</v>
      </c>
      <c r="T386" s="1" t="s">
        <v>1360</v>
      </c>
      <c r="U386" s="1" t="n">
        <v>4</v>
      </c>
      <c r="V386" s="1" t="n">
        <v>0</v>
      </c>
    </row>
    <row r="387" customFormat="false" ht="18.7" hidden="false" customHeight="true" outlineLevel="0" collapsed="false">
      <c r="A387" s="1" t="n">
        <v>386</v>
      </c>
      <c r="B387" s="7" t="str">
        <f aca="false">HYPERLINK("https://mncourtfraud.com/file/27-CR-22-8378.pdf","27-CR-22-8378")</f>
        <v>27-CR-22-8378</v>
      </c>
      <c r="C387" s="1" t="n">
        <v>1</v>
      </c>
      <c r="D387" s="2" t="s">
        <v>12</v>
      </c>
      <c r="E387" s="8" t="n">
        <v>44895</v>
      </c>
      <c r="F387" s="2" t="s">
        <v>15</v>
      </c>
      <c r="G387" s="7" t="str">
        <f aca="false">HYPERLINK("https://mncourtfraud.com/file/MCRO_27-CR-22-8378_Order-Evaluation for Competency to Proceed (Rule 20.01)_2022-11-30_20251126185908.pdf","MCRO_27-CR-22-8378_Order-Evaluation for Competency to Proceed (Rule 20.01)_2022-11-30_20251126185908.pdf")</f>
        <v>MCRO_27-CR-22-8378_Order-Evaluation for Competency to Proceed (Rule 20.01)_2022-11-30_20251126185908.pdf</v>
      </c>
      <c r="H387" s="1" t="n">
        <v>4</v>
      </c>
      <c r="I387" s="1" t="s">
        <v>1360</v>
      </c>
      <c r="J387" s="1" t="n">
        <v>1</v>
      </c>
      <c r="K387" s="2" t="s">
        <v>1362</v>
      </c>
      <c r="L387" s="2" t="s">
        <v>1364</v>
      </c>
      <c r="M387" s="1" t="s">
        <v>1360</v>
      </c>
      <c r="N387" s="1" t="n">
        <v>0</v>
      </c>
      <c r="O387" s="2" t="n">
        <v>97.99</v>
      </c>
      <c r="P387" s="2" t="n">
        <v>97.99</v>
      </c>
      <c r="Q387" s="2" t="n">
        <v>97.99</v>
      </c>
      <c r="R387" s="1" t="n">
        <v>1</v>
      </c>
      <c r="S387" s="1" t="n">
        <v>0</v>
      </c>
      <c r="T387" s="1" t="s">
        <v>1360</v>
      </c>
      <c r="U387" s="1" t="n">
        <v>4</v>
      </c>
      <c r="V387" s="1" t="n">
        <v>0</v>
      </c>
    </row>
    <row r="388" customFormat="false" ht="18.7" hidden="false" customHeight="true" outlineLevel="0" collapsed="false">
      <c r="A388" s="1" t="n">
        <v>387</v>
      </c>
      <c r="B388" s="7" t="str">
        <f aca="false">HYPERLINK("https://mncourtfraud.com/file/27-CR-22-8378.pdf","27-CR-22-8378")</f>
        <v>27-CR-22-8378</v>
      </c>
      <c r="C388" s="1" t="n">
        <v>1</v>
      </c>
      <c r="D388" s="2" t="s">
        <v>12</v>
      </c>
      <c r="E388" s="8" t="n">
        <v>45160</v>
      </c>
      <c r="F388" s="2" t="s">
        <v>15</v>
      </c>
      <c r="G388" s="7" t="str">
        <f aca="false">HYPERLINK("https://mncourtfraud.com/file/MCRO_27-CR-22-8378_Order-Evaluation for Competency to Proceed (Rule 20.01)_2023-08-22_20251126185920.pdf","MCRO_27-CR-22-8378_Order-Evaluation for Competency to Proceed (Rule 20.01)_2023-08-22_20251126185920.pdf")</f>
        <v>MCRO_27-CR-22-8378_Order-Evaluation for Competency to Proceed (Rule 20.01)_2023-08-22_20251126185920.pdf</v>
      </c>
      <c r="H388" s="1" t="n">
        <v>6</v>
      </c>
      <c r="I388" s="1" t="s">
        <v>1366</v>
      </c>
      <c r="J388" s="1" t="n">
        <v>2</v>
      </c>
      <c r="K388" s="2" t="s">
        <v>2270</v>
      </c>
      <c r="L388" s="2" t="s">
        <v>2269</v>
      </c>
      <c r="M388" s="1" t="s">
        <v>1366</v>
      </c>
      <c r="N388" s="1" t="n">
        <v>1</v>
      </c>
      <c r="O388" s="2" t="n">
        <v>23.95</v>
      </c>
      <c r="P388" s="2" t="n">
        <v>98.13</v>
      </c>
      <c r="Q388" s="2" t="n">
        <v>61.04</v>
      </c>
      <c r="R388" s="1" t="n">
        <v>2</v>
      </c>
      <c r="S388" s="1" t="n">
        <v>0</v>
      </c>
      <c r="T388" s="1" t="s">
        <v>1360</v>
      </c>
      <c r="U388" s="1" t="n">
        <v>3</v>
      </c>
      <c r="V388" s="1" t="n">
        <v>3</v>
      </c>
    </row>
    <row r="389" customFormat="false" ht="18.7" hidden="false" customHeight="true" outlineLevel="0" collapsed="false">
      <c r="A389" s="1" t="n">
        <v>388</v>
      </c>
      <c r="B389" s="7" t="str">
        <f aca="false">HYPERLINK("https://mncourtfraud.com/file/27-CR-22-8378.pdf","27-CR-22-8378")</f>
        <v>27-CR-22-8378</v>
      </c>
      <c r="C389" s="1" t="n">
        <v>1</v>
      </c>
      <c r="D389" s="2" t="s">
        <v>12</v>
      </c>
      <c r="E389" s="8" t="n">
        <v>45412</v>
      </c>
      <c r="F389" s="2" t="s">
        <v>15</v>
      </c>
      <c r="G389" s="7" t="str">
        <f aca="false">HYPERLINK("https://mncourtfraud.com/file/MCRO_27-CR-22-8378_Order-Evaluation for Competency to Proceed (Rule 20.01)_2024-04-30_20251126185849.pdf","MCRO_27-CR-22-8378_Order-Evaluation for Competency to Proceed (Rule 20.01)_2024-04-30_20251126185849.pdf")</f>
        <v>MCRO_27-CR-22-8378_Order-Evaluation for Competency to Proceed (Rule 20.01)_2024-04-30_20251126185849.pdf</v>
      </c>
      <c r="H389" s="1" t="n">
        <v>4</v>
      </c>
      <c r="I389" s="1" t="s">
        <v>1360</v>
      </c>
      <c r="J389" s="1" t="n">
        <v>1</v>
      </c>
      <c r="K389" s="2" t="s">
        <v>1362</v>
      </c>
      <c r="L389" s="2" t="s">
        <v>1364</v>
      </c>
      <c r="M389" s="1" t="s">
        <v>1360</v>
      </c>
      <c r="N389" s="1" t="n">
        <v>0</v>
      </c>
      <c r="O389" s="2" t="n">
        <v>92.54</v>
      </c>
      <c r="P389" s="2" t="n">
        <v>92.54</v>
      </c>
      <c r="Q389" s="2" t="n">
        <v>92.54</v>
      </c>
      <c r="R389" s="1" t="n">
        <v>1</v>
      </c>
      <c r="S389" s="1" t="n">
        <v>0</v>
      </c>
      <c r="T389" s="1" t="s">
        <v>1360</v>
      </c>
      <c r="U389" s="1" t="n">
        <v>4</v>
      </c>
      <c r="V389" s="1" t="n">
        <v>0</v>
      </c>
    </row>
    <row r="390" customFormat="false" ht="18.7" hidden="false" customHeight="true" outlineLevel="0" collapsed="false">
      <c r="A390" s="1" t="n">
        <v>389</v>
      </c>
      <c r="B390" s="7" t="str">
        <f aca="false">HYPERLINK("https://mncourtfraud.com/file/27-CR-22-8378.pdf","27-CR-22-8378")</f>
        <v>27-CR-22-8378</v>
      </c>
      <c r="C390" s="1" t="n">
        <v>1</v>
      </c>
      <c r="D390" s="2" t="s">
        <v>12</v>
      </c>
      <c r="E390" s="8" t="n">
        <v>45412</v>
      </c>
      <c r="F390" s="2" t="s">
        <v>24</v>
      </c>
      <c r="G390" s="7" t="str">
        <f aca="false">HYPERLINK("https://mncourtfraud.com/file/MCRO_27-CR-22-8378_Order for Conditional Release_2024-04-30_20251126185838.pdf","MCRO_27-CR-22-8378_Order for Conditional Release_2024-04-30_20251126185838.pdf")</f>
        <v>MCRO_27-CR-22-8378_Order for Conditional Release_2024-04-30_20251126185838.pdf</v>
      </c>
      <c r="H390" s="1" t="n">
        <v>4</v>
      </c>
      <c r="I390" s="1" t="s">
        <v>1360</v>
      </c>
      <c r="J390" s="1" t="n">
        <v>1</v>
      </c>
      <c r="K390" s="2" t="s">
        <v>1362</v>
      </c>
      <c r="L390" s="2" t="s">
        <v>1364</v>
      </c>
      <c r="M390" s="1" t="s">
        <v>1360</v>
      </c>
      <c r="N390" s="1" t="n">
        <v>0</v>
      </c>
      <c r="O390" s="2" t="n">
        <v>89.11</v>
      </c>
      <c r="P390" s="2" t="n">
        <v>89.11</v>
      </c>
      <c r="Q390" s="2" t="n">
        <v>89.11</v>
      </c>
      <c r="R390" s="1" t="n">
        <v>1</v>
      </c>
      <c r="S390" s="1" t="n">
        <v>0</v>
      </c>
      <c r="T390" s="1" t="s">
        <v>1360</v>
      </c>
      <c r="U390" s="1" t="n">
        <v>4</v>
      </c>
      <c r="V390" s="1" t="n">
        <v>0</v>
      </c>
    </row>
    <row r="391" customFormat="false" ht="18.7" hidden="false" customHeight="true" outlineLevel="0" collapsed="false">
      <c r="A391" s="1" t="n">
        <v>390</v>
      </c>
      <c r="B391" s="7" t="str">
        <f aca="false">HYPERLINK("https://mncourtfraud.com/file/27-CR-22-9930.pdf","27-CR-22-9930")</f>
        <v>27-CR-22-9930</v>
      </c>
      <c r="C391" s="1" t="n">
        <v>1</v>
      </c>
      <c r="D391" s="2" t="s">
        <v>12</v>
      </c>
      <c r="E391" s="8" t="n">
        <v>45048</v>
      </c>
      <c r="F391" s="2" t="s">
        <v>80</v>
      </c>
      <c r="G391" s="7" t="str">
        <f aca="false">HYPERLINK("https://mncourtfraud.com/file/MCRO_27-CR-22-9930_Finding of Incompetency and Order_2023-05-02_20251126185948.pdf","MCRO_27-CR-22-9930_Finding of Incompetency and Order_2023-05-02_20251126185948.pdf")</f>
        <v>MCRO_27-CR-22-9930_Finding of Incompetency and Order_2023-05-02_20251126185948.pdf</v>
      </c>
      <c r="H391" s="1" t="n">
        <v>9</v>
      </c>
      <c r="I391" s="1" t="s">
        <v>1366</v>
      </c>
      <c r="J391" s="1" t="n">
        <v>3</v>
      </c>
      <c r="K391" s="2" t="s">
        <v>2268</v>
      </c>
      <c r="L391" s="2" t="s">
        <v>2269</v>
      </c>
      <c r="M391" s="1" t="s">
        <v>1366</v>
      </c>
      <c r="N391" s="1" t="n">
        <v>2</v>
      </c>
      <c r="O391" s="2" t="n">
        <v>15.21</v>
      </c>
      <c r="P391" s="2" t="n">
        <v>98.32</v>
      </c>
      <c r="Q391" s="2" t="n">
        <v>45.35</v>
      </c>
      <c r="R391" s="1" t="n">
        <v>3</v>
      </c>
      <c r="S391" s="1" t="n">
        <v>0</v>
      </c>
      <c r="T391" s="1" t="s">
        <v>1360</v>
      </c>
      <c r="U391" s="1" t="n">
        <v>5</v>
      </c>
      <c r="V391" s="1" t="n">
        <v>3</v>
      </c>
    </row>
    <row r="392" customFormat="false" ht="18.7" hidden="false" customHeight="true" outlineLevel="0" collapsed="false">
      <c r="A392" s="1" t="n">
        <v>391</v>
      </c>
      <c r="B392" s="7" t="str">
        <f aca="false">HYPERLINK("https://mncourtfraud.com/file/27-CR-22-9930.pdf","27-CR-22-9930")</f>
        <v>27-CR-22-9930</v>
      </c>
      <c r="C392" s="1" t="n">
        <v>1</v>
      </c>
      <c r="D392" s="2" t="s">
        <v>12</v>
      </c>
      <c r="E392" s="8" t="n">
        <v>44761</v>
      </c>
      <c r="F392" s="2" t="s">
        <v>15</v>
      </c>
      <c r="G392" s="7" t="str">
        <f aca="false">HYPERLINK("https://mncourtfraud.com/file/MCRO_27-CR-22-9930_Order-Evaluation for Competency to Proceed (Rule 20.01)_2022-07-19_20251126190007.pdf","MCRO_27-CR-22-9930_Order-Evaluation for Competency to Proceed (Rule 20.01)_2022-07-19_20251126190007.pdf")</f>
        <v>MCRO_27-CR-22-9930_Order-Evaluation for Competency to Proceed (Rule 20.01)_2022-07-19_20251126190007.pdf</v>
      </c>
      <c r="H392" s="1" t="n">
        <v>4</v>
      </c>
      <c r="I392" s="1" t="s">
        <v>1360</v>
      </c>
      <c r="J392" s="1" t="n">
        <v>1</v>
      </c>
      <c r="K392" s="2" t="s">
        <v>1362</v>
      </c>
      <c r="L392" s="2" t="s">
        <v>1364</v>
      </c>
      <c r="M392" s="1" t="s">
        <v>1360</v>
      </c>
      <c r="N392" s="1" t="n">
        <v>0</v>
      </c>
      <c r="O392" s="2" t="n">
        <v>92.57</v>
      </c>
      <c r="P392" s="2" t="n">
        <v>92.57</v>
      </c>
      <c r="Q392" s="2" t="n">
        <v>92.57</v>
      </c>
      <c r="R392" s="1" t="n">
        <v>1</v>
      </c>
      <c r="S392" s="1" t="n">
        <v>0</v>
      </c>
      <c r="T392" s="1" t="s">
        <v>1360</v>
      </c>
      <c r="U392" s="1" t="n">
        <v>4</v>
      </c>
      <c r="V392" s="1" t="n">
        <v>0</v>
      </c>
    </row>
    <row r="393" customFormat="false" ht="18.7" hidden="false" customHeight="true" outlineLevel="0" collapsed="false">
      <c r="A393" s="1" t="n">
        <v>392</v>
      </c>
      <c r="B393" s="7" t="str">
        <f aca="false">HYPERLINK("https://mncourtfraud.com/file/27-CR-22-9930.pdf","27-CR-22-9930")</f>
        <v>27-CR-22-9930</v>
      </c>
      <c r="C393" s="1" t="n">
        <v>1</v>
      </c>
      <c r="D393" s="2" t="s">
        <v>12</v>
      </c>
      <c r="E393" s="8" t="n">
        <v>44895</v>
      </c>
      <c r="F393" s="2" t="s">
        <v>15</v>
      </c>
      <c r="G393" s="7" t="str">
        <f aca="false">HYPERLINK("https://mncourtfraud.com/file/MCRO_27-CR-22-9930_Order-Evaluation for Competency to Proceed (Rule 20.01)_2022-11-30_20251126185959.pdf","MCRO_27-CR-22-9930_Order-Evaluation for Competency to Proceed (Rule 20.01)_2022-11-30_20251126185959.pdf")</f>
        <v>MCRO_27-CR-22-9930_Order-Evaluation for Competency to Proceed (Rule 20.01)_2022-11-30_20251126185959.pdf</v>
      </c>
      <c r="H393" s="1" t="n">
        <v>4</v>
      </c>
      <c r="I393" s="1" t="s">
        <v>1360</v>
      </c>
      <c r="J393" s="1" t="n">
        <v>1</v>
      </c>
      <c r="K393" s="2" t="s">
        <v>1362</v>
      </c>
      <c r="L393" s="2" t="s">
        <v>1364</v>
      </c>
      <c r="M393" s="1" t="s">
        <v>1360</v>
      </c>
      <c r="N393" s="1" t="n">
        <v>0</v>
      </c>
      <c r="O393" s="2" t="n">
        <v>97.99</v>
      </c>
      <c r="P393" s="2" t="n">
        <v>97.99</v>
      </c>
      <c r="Q393" s="2" t="n">
        <v>97.99</v>
      </c>
      <c r="R393" s="1" t="n">
        <v>1</v>
      </c>
      <c r="S393" s="1" t="n">
        <v>0</v>
      </c>
      <c r="T393" s="1" t="s">
        <v>1360</v>
      </c>
      <c r="U393" s="1" t="n">
        <v>4</v>
      </c>
      <c r="V393" s="1" t="n">
        <v>0</v>
      </c>
    </row>
    <row r="394" customFormat="false" ht="18.7" hidden="false" customHeight="true" outlineLevel="0" collapsed="false">
      <c r="A394" s="1" t="n">
        <v>393</v>
      </c>
      <c r="B394" s="7" t="str">
        <f aca="false">HYPERLINK("https://mncourtfraud.com/file/27-CR-23-1583.pdf","27-CR-23-1583")</f>
        <v>27-CR-23-1583</v>
      </c>
      <c r="C394" s="1" t="n">
        <v>1</v>
      </c>
      <c r="D394" s="2" t="s">
        <v>12</v>
      </c>
      <c r="E394" s="8" t="n">
        <v>45048</v>
      </c>
      <c r="F394" s="2" t="s">
        <v>80</v>
      </c>
      <c r="G394" s="7" t="str">
        <f aca="false">HYPERLINK("https://mncourtfraud.com/file/MCRO_27-CR-23-1583_Finding of Incompetency and Order_2023-05-02_20251126190033.pdf","MCRO_27-CR-23-1583_Finding of Incompetency and Order_2023-05-02_20251126190033.pdf")</f>
        <v>MCRO_27-CR-23-1583_Finding of Incompetency and Order_2023-05-02_20251126190033.pdf</v>
      </c>
      <c r="H394" s="1" t="n">
        <v>9</v>
      </c>
      <c r="I394" s="1" t="s">
        <v>1366</v>
      </c>
      <c r="J394" s="1" t="n">
        <v>3</v>
      </c>
      <c r="K394" s="2" t="s">
        <v>2268</v>
      </c>
      <c r="L394" s="2" t="s">
        <v>2269</v>
      </c>
      <c r="M394" s="1" t="s">
        <v>1366</v>
      </c>
      <c r="N394" s="1" t="n">
        <v>2</v>
      </c>
      <c r="O394" s="2" t="n">
        <v>15.21</v>
      </c>
      <c r="P394" s="2" t="n">
        <v>98.32</v>
      </c>
      <c r="Q394" s="2" t="n">
        <v>45.35</v>
      </c>
      <c r="R394" s="1" t="n">
        <v>3</v>
      </c>
      <c r="S394" s="1" t="n">
        <v>0</v>
      </c>
      <c r="T394" s="1" t="s">
        <v>1360</v>
      </c>
      <c r="U394" s="1" t="n">
        <v>5</v>
      </c>
      <c r="V394" s="1" t="n">
        <v>3</v>
      </c>
    </row>
    <row r="395" customFormat="false" ht="18.7" hidden="false" customHeight="true" outlineLevel="0" collapsed="false">
      <c r="A395" s="1" t="n">
        <v>394</v>
      </c>
      <c r="B395" s="7" t="str">
        <f aca="false">HYPERLINK("https://mncourtfraud.com/file/27-CR-23-1583.pdf","27-CR-23-1583")</f>
        <v>27-CR-23-1583</v>
      </c>
      <c r="C395" s="1" t="n">
        <v>1</v>
      </c>
      <c r="D395" s="2" t="s">
        <v>12</v>
      </c>
      <c r="E395" s="8" t="n">
        <v>45093</v>
      </c>
      <c r="F395" s="2" t="s">
        <v>82</v>
      </c>
      <c r="G395" s="7" t="str">
        <f aca="false">HYPERLINK("https://mncourtfraud.com/file/MCRO_27-CR-23-1583_Notice of Case Reassignment_2023-06-16_20251126190045.pdf","MCRO_27-CR-23-1583_Notice of Case Reassignment_2023-06-16_20251126190045.pdf")</f>
        <v>MCRO_27-CR-23-1583_Notice of Case Reassignment_2023-06-16_20251126190045.pdf</v>
      </c>
      <c r="H395" s="1" t="n">
        <v>3</v>
      </c>
      <c r="I395" s="1" t="s">
        <v>1360</v>
      </c>
      <c r="J395" s="1" t="n">
        <v>1</v>
      </c>
      <c r="K395" s="2" t="s">
        <v>1362</v>
      </c>
      <c r="L395" s="2" t="s">
        <v>1364</v>
      </c>
      <c r="M395" s="1" t="s">
        <v>1360</v>
      </c>
      <c r="N395" s="1" t="n">
        <v>0</v>
      </c>
      <c r="O395" s="2" t="n">
        <v>85.58</v>
      </c>
      <c r="P395" s="2" t="n">
        <v>85.58</v>
      </c>
      <c r="Q395" s="2" t="n">
        <v>85.58</v>
      </c>
      <c r="R395" s="1" t="n">
        <v>1</v>
      </c>
      <c r="S395" s="1" t="n">
        <v>0</v>
      </c>
      <c r="T395" s="1" t="s">
        <v>1360</v>
      </c>
      <c r="U395" s="1" t="n">
        <v>3</v>
      </c>
      <c r="V395" s="1" t="n">
        <v>0</v>
      </c>
    </row>
    <row r="396" customFormat="false" ht="18.7" hidden="false" customHeight="true" outlineLevel="0" collapsed="false">
      <c r="A396" s="1" t="n">
        <v>395</v>
      </c>
      <c r="B396" s="7" t="str">
        <f aca="false">HYPERLINK("https://mncourtfraud.com/file/27-CR-23-1583.pdf","27-CR-23-1583")</f>
        <v>27-CR-23-1583</v>
      </c>
      <c r="C396" s="1" t="n">
        <v>1</v>
      </c>
      <c r="D396" s="2" t="s">
        <v>12</v>
      </c>
      <c r="E396" s="8" t="n">
        <v>45160</v>
      </c>
      <c r="F396" s="2" t="s">
        <v>15</v>
      </c>
      <c r="G396" s="7" t="str">
        <f aca="false">HYPERLINK("https://mncourtfraud.com/file/MCRO_27-CR-23-1583_Order-Evaluation for Competency to Proceed (Rule 20.01)_2023-08-22_20251126190123.pdf","MCRO_27-CR-23-1583_Order-Evaluation for Competency to Proceed (Rule 20.01)_2023-08-22_20251126190123.pdf")</f>
        <v>MCRO_27-CR-23-1583_Order-Evaluation for Competency to Proceed (Rule 20.01)_2023-08-22_20251126190123.pdf</v>
      </c>
      <c r="H396" s="1" t="n">
        <v>6</v>
      </c>
      <c r="I396" s="1" t="s">
        <v>1366</v>
      </c>
      <c r="J396" s="1" t="n">
        <v>2</v>
      </c>
      <c r="K396" s="2" t="s">
        <v>2270</v>
      </c>
      <c r="L396" s="2" t="s">
        <v>2269</v>
      </c>
      <c r="M396" s="1" t="s">
        <v>1366</v>
      </c>
      <c r="N396" s="1" t="n">
        <v>1</v>
      </c>
      <c r="O396" s="2" t="n">
        <v>23.95</v>
      </c>
      <c r="P396" s="2" t="n">
        <v>98.13</v>
      </c>
      <c r="Q396" s="2" t="n">
        <v>61.04</v>
      </c>
      <c r="R396" s="1" t="n">
        <v>2</v>
      </c>
      <c r="S396" s="1" t="n">
        <v>0</v>
      </c>
      <c r="T396" s="1" t="s">
        <v>1360</v>
      </c>
      <c r="U396" s="1" t="n">
        <v>3</v>
      </c>
      <c r="V396" s="1" t="n">
        <v>3</v>
      </c>
    </row>
    <row r="397" customFormat="false" ht="18.7" hidden="false" customHeight="true" outlineLevel="0" collapsed="false">
      <c r="A397" s="1" t="n">
        <v>396</v>
      </c>
      <c r="B397" s="7" t="str">
        <f aca="false">HYPERLINK("https://mncourtfraud.com/file/27-CR-23-1583.pdf","27-CR-23-1583")</f>
        <v>27-CR-23-1583</v>
      </c>
      <c r="C397" s="1" t="n">
        <v>1</v>
      </c>
      <c r="D397" s="2" t="s">
        <v>12</v>
      </c>
      <c r="E397" s="8" t="n">
        <v>45412</v>
      </c>
      <c r="F397" s="2" t="s">
        <v>15</v>
      </c>
      <c r="G397" s="7" t="str">
        <f aca="false">HYPERLINK("https://mncourtfraud.com/file/MCRO_27-CR-23-1583_Order-Evaluation for Competency to Proceed (Rule 20.01)_2024-04-30_20251126190111.pdf","MCRO_27-CR-23-1583_Order-Evaluation for Competency to Proceed (Rule 20.01)_2024-04-30_20251126190111.pdf")</f>
        <v>MCRO_27-CR-23-1583_Order-Evaluation for Competency to Proceed (Rule 20.01)_2024-04-30_20251126190111.pdf</v>
      </c>
      <c r="H397" s="1" t="n">
        <v>4</v>
      </c>
      <c r="I397" s="1" t="s">
        <v>1360</v>
      </c>
      <c r="J397" s="1" t="n">
        <v>1</v>
      </c>
      <c r="K397" s="2" t="s">
        <v>1362</v>
      </c>
      <c r="L397" s="2" t="s">
        <v>1364</v>
      </c>
      <c r="M397" s="1" t="s">
        <v>1360</v>
      </c>
      <c r="N397" s="1" t="n">
        <v>0</v>
      </c>
      <c r="O397" s="2" t="n">
        <v>92.54</v>
      </c>
      <c r="P397" s="2" t="n">
        <v>92.54</v>
      </c>
      <c r="Q397" s="2" t="n">
        <v>92.54</v>
      </c>
      <c r="R397" s="1" t="n">
        <v>1</v>
      </c>
      <c r="S397" s="1" t="n">
        <v>0</v>
      </c>
      <c r="T397" s="1" t="s">
        <v>1360</v>
      </c>
      <c r="U397" s="1" t="n">
        <v>4</v>
      </c>
      <c r="V397" s="1" t="n">
        <v>0</v>
      </c>
    </row>
    <row r="398" customFormat="false" ht="18.7" hidden="false" customHeight="true" outlineLevel="0" collapsed="false">
      <c r="A398" s="1" t="n">
        <v>397</v>
      </c>
      <c r="B398" s="7" t="str">
        <f aca="false">HYPERLINK("https://mncourtfraud.com/file/27-CR-23-1583.pdf","27-CR-23-1583")</f>
        <v>27-CR-23-1583</v>
      </c>
      <c r="C398" s="1" t="n">
        <v>1</v>
      </c>
      <c r="D398" s="2" t="s">
        <v>12</v>
      </c>
      <c r="E398" s="8" t="n">
        <v>45412</v>
      </c>
      <c r="F398" s="2" t="s">
        <v>24</v>
      </c>
      <c r="G398" s="7" t="str">
        <f aca="false">HYPERLINK("https://mncourtfraud.com/file/MCRO_27-CR-23-1583_Order for Conditional Release_2024-04-30_20251126190100.pdf","MCRO_27-CR-23-1583_Order for Conditional Release_2024-04-30_20251126190100.pdf")</f>
        <v>MCRO_27-CR-23-1583_Order for Conditional Release_2024-04-30_20251126190100.pdf</v>
      </c>
      <c r="H398" s="1" t="n">
        <v>4</v>
      </c>
      <c r="I398" s="1" t="s">
        <v>1360</v>
      </c>
      <c r="J398" s="1" t="n">
        <v>1</v>
      </c>
      <c r="K398" s="2" t="s">
        <v>1362</v>
      </c>
      <c r="L398" s="2" t="s">
        <v>1364</v>
      </c>
      <c r="M398" s="1" t="s">
        <v>1360</v>
      </c>
      <c r="N398" s="1" t="n">
        <v>0</v>
      </c>
      <c r="O398" s="2" t="n">
        <v>89.11</v>
      </c>
      <c r="P398" s="2" t="n">
        <v>89.11</v>
      </c>
      <c r="Q398" s="2" t="n">
        <v>89.11</v>
      </c>
      <c r="R398" s="1" t="n">
        <v>1</v>
      </c>
      <c r="S398" s="1" t="n">
        <v>0</v>
      </c>
      <c r="T398" s="1" t="s">
        <v>1360</v>
      </c>
      <c r="U398" s="1" t="n">
        <v>4</v>
      </c>
      <c r="V398" s="1" t="n">
        <v>0</v>
      </c>
    </row>
    <row r="399" customFormat="false" ht="18.7" hidden="false" customHeight="true" outlineLevel="0" collapsed="false">
      <c r="A399" s="1" t="n">
        <v>398</v>
      </c>
      <c r="B399" s="7" t="str">
        <f aca="false">HYPERLINK("https://mncourtfraud.com/file/27-CR-23-4900.pdf","27-CR-23-4900")</f>
        <v>27-CR-23-4900</v>
      </c>
      <c r="C399" s="1" t="n">
        <v>1</v>
      </c>
      <c r="D399" s="2" t="s">
        <v>12</v>
      </c>
      <c r="E399" s="8" t="n">
        <v>45048</v>
      </c>
      <c r="F399" s="2" t="s">
        <v>80</v>
      </c>
      <c r="G399" s="7" t="str">
        <f aca="false">HYPERLINK("https://mncourtfraud.com/file/MCRO_27-CR-23-4900_Finding of Incompetency and Order_2023-05-02_20251126190145.pdf","MCRO_27-CR-23-4900_Finding of Incompetency and Order_2023-05-02_20251126190145.pdf")</f>
        <v>MCRO_27-CR-23-4900_Finding of Incompetency and Order_2023-05-02_20251126190145.pdf</v>
      </c>
      <c r="H399" s="1" t="n">
        <v>9</v>
      </c>
      <c r="I399" s="1" t="s">
        <v>1366</v>
      </c>
      <c r="J399" s="1" t="n">
        <v>3</v>
      </c>
      <c r="K399" s="2" t="s">
        <v>2268</v>
      </c>
      <c r="L399" s="2" t="s">
        <v>2269</v>
      </c>
      <c r="M399" s="1" t="s">
        <v>1366</v>
      </c>
      <c r="N399" s="1" t="n">
        <v>2</v>
      </c>
      <c r="O399" s="2" t="n">
        <v>15.21</v>
      </c>
      <c r="P399" s="2" t="n">
        <v>98.32</v>
      </c>
      <c r="Q399" s="2" t="n">
        <v>45.35</v>
      </c>
      <c r="R399" s="1" t="n">
        <v>3</v>
      </c>
      <c r="S399" s="1" t="n">
        <v>0</v>
      </c>
      <c r="T399" s="1" t="s">
        <v>1360</v>
      </c>
      <c r="U399" s="1" t="n">
        <v>5</v>
      </c>
      <c r="V399" s="1" t="n">
        <v>3</v>
      </c>
    </row>
    <row r="400" customFormat="false" ht="18.7" hidden="false" customHeight="true" outlineLevel="0" collapsed="false">
      <c r="A400" s="1" t="n">
        <v>399</v>
      </c>
      <c r="B400" s="7" t="str">
        <f aca="false">HYPERLINK("https://mncourtfraud.com/file/27-CR-23-4900.pdf","27-CR-23-4900")</f>
        <v>27-CR-23-4900</v>
      </c>
      <c r="C400" s="1" t="n">
        <v>1</v>
      </c>
      <c r="D400" s="2" t="s">
        <v>12</v>
      </c>
      <c r="E400" s="8" t="n">
        <v>45093</v>
      </c>
      <c r="F400" s="2" t="s">
        <v>82</v>
      </c>
      <c r="G400" s="7" t="str">
        <f aca="false">HYPERLINK("https://mncourtfraud.com/file/MCRO_27-CR-23-4900_Notice of Case Reassignment_2023-06-16_20251126190156.pdf","MCRO_27-CR-23-4900_Notice of Case Reassignment_2023-06-16_20251126190156.pdf")</f>
        <v>MCRO_27-CR-23-4900_Notice of Case Reassignment_2023-06-16_20251126190156.pdf</v>
      </c>
      <c r="H400" s="1" t="n">
        <v>3</v>
      </c>
      <c r="I400" s="1" t="s">
        <v>1360</v>
      </c>
      <c r="J400" s="1" t="n">
        <v>1</v>
      </c>
      <c r="K400" s="2" t="s">
        <v>1362</v>
      </c>
      <c r="L400" s="2" t="s">
        <v>1364</v>
      </c>
      <c r="M400" s="1" t="s">
        <v>1360</v>
      </c>
      <c r="N400" s="1" t="n">
        <v>0</v>
      </c>
      <c r="O400" s="2" t="n">
        <v>85.58</v>
      </c>
      <c r="P400" s="2" t="n">
        <v>85.58</v>
      </c>
      <c r="Q400" s="2" t="n">
        <v>85.58</v>
      </c>
      <c r="R400" s="1" t="n">
        <v>1</v>
      </c>
      <c r="S400" s="1" t="n">
        <v>0</v>
      </c>
      <c r="T400" s="1" t="s">
        <v>1360</v>
      </c>
      <c r="U400" s="1" t="n">
        <v>3</v>
      </c>
      <c r="V400" s="1" t="n">
        <v>0</v>
      </c>
    </row>
    <row r="401" customFormat="false" ht="18.7" hidden="false" customHeight="true" outlineLevel="0" collapsed="false">
      <c r="A401" s="1" t="n">
        <v>400</v>
      </c>
      <c r="B401" s="7" t="str">
        <f aca="false">HYPERLINK("https://mncourtfraud.com/file/27-CR-23-4900.pdf","27-CR-23-4900")</f>
        <v>27-CR-23-4900</v>
      </c>
      <c r="C401" s="1" t="n">
        <v>1</v>
      </c>
      <c r="D401" s="2" t="s">
        <v>12</v>
      </c>
      <c r="E401" s="8" t="n">
        <v>45160</v>
      </c>
      <c r="F401" s="2" t="s">
        <v>15</v>
      </c>
      <c r="G401" s="7" t="str">
        <f aca="false">HYPERLINK("https://mncourtfraud.com/file/MCRO_27-CR-23-4900_Order-Evaluation for Competency to Proceed (Rule 20.01)_2023-08-22_20251126190217.pdf","MCRO_27-CR-23-4900_Order-Evaluation for Competency to Proceed (Rule 20.01)_2023-08-22_20251126190217.pdf")</f>
        <v>MCRO_27-CR-23-4900_Order-Evaluation for Competency to Proceed (Rule 20.01)_2023-08-22_20251126190217.pdf</v>
      </c>
      <c r="H401" s="1" t="n">
        <v>6</v>
      </c>
      <c r="I401" s="1" t="s">
        <v>1366</v>
      </c>
      <c r="J401" s="1" t="n">
        <v>2</v>
      </c>
      <c r="K401" s="2" t="s">
        <v>2270</v>
      </c>
      <c r="L401" s="2" t="s">
        <v>2269</v>
      </c>
      <c r="M401" s="1" t="s">
        <v>1366</v>
      </c>
      <c r="N401" s="1" t="n">
        <v>1</v>
      </c>
      <c r="O401" s="2" t="n">
        <v>23.95</v>
      </c>
      <c r="P401" s="2" t="n">
        <v>98.13</v>
      </c>
      <c r="Q401" s="2" t="n">
        <v>61.04</v>
      </c>
      <c r="R401" s="1" t="n">
        <v>2</v>
      </c>
      <c r="S401" s="1" t="n">
        <v>0</v>
      </c>
      <c r="T401" s="1" t="s">
        <v>1360</v>
      </c>
      <c r="U401" s="1" t="n">
        <v>3</v>
      </c>
      <c r="V401" s="1" t="n">
        <v>3</v>
      </c>
    </row>
    <row r="402" customFormat="false" ht="18.7" hidden="false" customHeight="true" outlineLevel="0" collapsed="false">
      <c r="A402" s="1" t="n">
        <v>401</v>
      </c>
      <c r="B402" s="7" t="str">
        <f aca="false">HYPERLINK("https://mncourtfraud.com/file/27-CR-23-4900.pdf","27-CR-23-4900")</f>
        <v>27-CR-23-4900</v>
      </c>
      <c r="C402" s="1" t="n">
        <v>1</v>
      </c>
      <c r="D402" s="2" t="s">
        <v>12</v>
      </c>
      <c r="E402" s="8" t="n">
        <v>45412</v>
      </c>
      <c r="F402" s="2" t="s">
        <v>15</v>
      </c>
      <c r="G402" s="7" t="str">
        <f aca="false">HYPERLINK("https://mncourtfraud.com/file/MCRO_27-CR-23-4900_Order-Evaluation for Competency to Proceed (Rule 20.01)_2024-04-30_20251126190224.pdf","MCRO_27-CR-23-4900_Order-Evaluation for Competency to Proceed (Rule 20.01)_2024-04-30_20251126190224.pdf")</f>
        <v>MCRO_27-CR-23-4900_Order-Evaluation for Competency to Proceed (Rule 20.01)_2024-04-30_20251126190224.pdf</v>
      </c>
      <c r="H402" s="1" t="n">
        <v>4</v>
      </c>
      <c r="I402" s="1" t="s">
        <v>1360</v>
      </c>
      <c r="J402" s="1" t="n">
        <v>1</v>
      </c>
      <c r="K402" s="2" t="s">
        <v>1362</v>
      </c>
      <c r="L402" s="2" t="s">
        <v>1364</v>
      </c>
      <c r="M402" s="1" t="s">
        <v>1360</v>
      </c>
      <c r="N402" s="1" t="n">
        <v>0</v>
      </c>
      <c r="O402" s="2" t="n">
        <v>92.54</v>
      </c>
      <c r="P402" s="2" t="n">
        <v>92.54</v>
      </c>
      <c r="Q402" s="2" t="n">
        <v>92.54</v>
      </c>
      <c r="R402" s="1" t="n">
        <v>1</v>
      </c>
      <c r="S402" s="1" t="n">
        <v>0</v>
      </c>
      <c r="T402" s="1" t="s">
        <v>1360</v>
      </c>
      <c r="U402" s="1" t="n">
        <v>4</v>
      </c>
      <c r="V402" s="1" t="n">
        <v>0</v>
      </c>
    </row>
    <row r="403" customFormat="false" ht="18.7" hidden="false" customHeight="true" outlineLevel="0" collapsed="false">
      <c r="A403" s="1" t="n">
        <v>402</v>
      </c>
      <c r="B403" s="7" t="str">
        <f aca="false">HYPERLINK("https://mncourtfraud.com/file/27-CR-23-4900.pdf","27-CR-23-4900")</f>
        <v>27-CR-23-4900</v>
      </c>
      <c r="C403" s="1" t="n">
        <v>1</v>
      </c>
      <c r="D403" s="2" t="s">
        <v>12</v>
      </c>
      <c r="E403" s="8" t="n">
        <v>45412</v>
      </c>
      <c r="F403" s="2" t="s">
        <v>24</v>
      </c>
      <c r="G403" s="7" t="str">
        <f aca="false">HYPERLINK("https://mncourtfraud.com/file/MCRO_27-CR-23-4900_Order for Conditional Release_2024-04-30_20251126190206.pdf","MCRO_27-CR-23-4900_Order for Conditional Release_2024-04-30_20251126190206.pdf")</f>
        <v>MCRO_27-CR-23-4900_Order for Conditional Release_2024-04-30_20251126190206.pdf</v>
      </c>
      <c r="H403" s="1" t="n">
        <v>4</v>
      </c>
      <c r="I403" s="1" t="s">
        <v>1360</v>
      </c>
      <c r="J403" s="1" t="n">
        <v>1</v>
      </c>
      <c r="K403" s="2" t="s">
        <v>1362</v>
      </c>
      <c r="L403" s="2" t="s">
        <v>1364</v>
      </c>
      <c r="M403" s="1" t="s">
        <v>1360</v>
      </c>
      <c r="N403" s="1" t="n">
        <v>0</v>
      </c>
      <c r="O403" s="2" t="n">
        <v>89.11</v>
      </c>
      <c r="P403" s="2" t="n">
        <v>89.11</v>
      </c>
      <c r="Q403" s="2" t="n">
        <v>89.11</v>
      </c>
      <c r="R403" s="1" t="n">
        <v>1</v>
      </c>
      <c r="S403" s="1" t="n">
        <v>0</v>
      </c>
      <c r="T403" s="1" t="s">
        <v>1360</v>
      </c>
      <c r="U403" s="1" t="n">
        <v>4</v>
      </c>
      <c r="V403" s="1" t="n">
        <v>0</v>
      </c>
    </row>
    <row r="404" customFormat="false" ht="18.7" hidden="false" customHeight="true" outlineLevel="0" collapsed="false">
      <c r="A404" s="1" t="n">
        <v>403</v>
      </c>
      <c r="B404" s="7" t="str">
        <f aca="false">HYPERLINK("https://mncourtfraud.com/file/27-CR-23-4904.pdf","27-CR-23-4904")</f>
        <v>27-CR-23-4904</v>
      </c>
      <c r="C404" s="1" t="n">
        <v>1</v>
      </c>
      <c r="D404" s="2" t="s">
        <v>12</v>
      </c>
      <c r="E404" s="8" t="n">
        <v>45048</v>
      </c>
      <c r="F404" s="2" t="s">
        <v>80</v>
      </c>
      <c r="G404" s="7" t="str">
        <f aca="false">HYPERLINK("https://mncourtfraud.com/file/MCRO_27-CR-23-4904_Finding of Incompetency and Order_2023-05-02_20251126190244.pdf","MCRO_27-CR-23-4904_Finding of Incompetency and Order_2023-05-02_20251126190244.pdf")</f>
        <v>MCRO_27-CR-23-4904_Finding of Incompetency and Order_2023-05-02_20251126190244.pdf</v>
      </c>
      <c r="H404" s="1" t="n">
        <v>9</v>
      </c>
      <c r="I404" s="1" t="s">
        <v>1366</v>
      </c>
      <c r="J404" s="1" t="n">
        <v>3</v>
      </c>
      <c r="K404" s="2" t="s">
        <v>2268</v>
      </c>
      <c r="L404" s="2" t="s">
        <v>2269</v>
      </c>
      <c r="M404" s="1" t="s">
        <v>1366</v>
      </c>
      <c r="N404" s="1" t="n">
        <v>2</v>
      </c>
      <c r="O404" s="2" t="n">
        <v>15.21</v>
      </c>
      <c r="P404" s="2" t="n">
        <v>98.32</v>
      </c>
      <c r="Q404" s="2" t="n">
        <v>45.35</v>
      </c>
      <c r="R404" s="1" t="n">
        <v>3</v>
      </c>
      <c r="S404" s="1" t="n">
        <v>0</v>
      </c>
      <c r="T404" s="1" t="s">
        <v>1360</v>
      </c>
      <c r="U404" s="1" t="n">
        <v>5</v>
      </c>
      <c r="V404" s="1" t="n">
        <v>3</v>
      </c>
    </row>
    <row r="405" customFormat="false" ht="18.7" hidden="false" customHeight="true" outlineLevel="0" collapsed="false">
      <c r="A405" s="1" t="n">
        <v>404</v>
      </c>
      <c r="B405" s="7" t="str">
        <f aca="false">HYPERLINK("https://mncourtfraud.com/file/27-CR-23-4904.pdf","27-CR-23-4904")</f>
        <v>27-CR-23-4904</v>
      </c>
      <c r="C405" s="1" t="n">
        <v>1</v>
      </c>
      <c r="D405" s="2" t="s">
        <v>12</v>
      </c>
      <c r="E405" s="8" t="n">
        <v>45093</v>
      </c>
      <c r="F405" s="2" t="s">
        <v>82</v>
      </c>
      <c r="G405" s="7" t="str">
        <f aca="false">HYPERLINK("https://mncourtfraud.com/file/MCRO_27-CR-23-4904_Notice of Case Reassignment_2023-06-16_20251126190256.pdf","MCRO_27-CR-23-4904_Notice of Case Reassignment_2023-06-16_20251126190256.pdf")</f>
        <v>MCRO_27-CR-23-4904_Notice of Case Reassignment_2023-06-16_20251126190256.pdf</v>
      </c>
      <c r="H405" s="1" t="n">
        <v>3</v>
      </c>
      <c r="I405" s="1" t="s">
        <v>1360</v>
      </c>
      <c r="J405" s="1" t="n">
        <v>1</v>
      </c>
      <c r="K405" s="2" t="s">
        <v>1362</v>
      </c>
      <c r="L405" s="2" t="s">
        <v>1364</v>
      </c>
      <c r="M405" s="1" t="s">
        <v>1360</v>
      </c>
      <c r="N405" s="1" t="n">
        <v>0</v>
      </c>
      <c r="O405" s="2" t="n">
        <v>85.58</v>
      </c>
      <c r="P405" s="2" t="n">
        <v>85.58</v>
      </c>
      <c r="Q405" s="2" t="n">
        <v>85.58</v>
      </c>
      <c r="R405" s="1" t="n">
        <v>1</v>
      </c>
      <c r="S405" s="1" t="n">
        <v>0</v>
      </c>
      <c r="T405" s="1" t="s">
        <v>1360</v>
      </c>
      <c r="U405" s="1" t="n">
        <v>3</v>
      </c>
      <c r="V405" s="1" t="n">
        <v>0</v>
      </c>
    </row>
    <row r="406" customFormat="false" ht="18.7" hidden="false" customHeight="true" outlineLevel="0" collapsed="false">
      <c r="A406" s="1" t="n">
        <v>405</v>
      </c>
      <c r="B406" s="7" t="str">
        <f aca="false">HYPERLINK("https://mncourtfraud.com/file/27-CR-23-4904.pdf","27-CR-23-4904")</f>
        <v>27-CR-23-4904</v>
      </c>
      <c r="C406" s="1" t="n">
        <v>1</v>
      </c>
      <c r="D406" s="2" t="s">
        <v>12</v>
      </c>
      <c r="E406" s="8" t="n">
        <v>45160</v>
      </c>
      <c r="F406" s="2" t="s">
        <v>15</v>
      </c>
      <c r="G406" s="7" t="str">
        <f aca="false">HYPERLINK("https://mncourtfraud.com/file/MCRO_27-CR-23-4904_Order-Evaluation for Competency to Proceed (Rule 20.01)_2023-08-22_20251126190323.pdf","MCRO_27-CR-23-4904_Order-Evaluation for Competency to Proceed (Rule 20.01)_2023-08-22_20251126190323.pdf")</f>
        <v>MCRO_27-CR-23-4904_Order-Evaluation for Competency to Proceed (Rule 20.01)_2023-08-22_20251126190323.pdf</v>
      </c>
      <c r="H406" s="1" t="n">
        <v>6</v>
      </c>
      <c r="I406" s="1" t="s">
        <v>1366</v>
      </c>
      <c r="J406" s="1" t="n">
        <v>2</v>
      </c>
      <c r="K406" s="2" t="s">
        <v>2270</v>
      </c>
      <c r="L406" s="2" t="s">
        <v>2269</v>
      </c>
      <c r="M406" s="1" t="s">
        <v>1366</v>
      </c>
      <c r="N406" s="1" t="n">
        <v>1</v>
      </c>
      <c r="O406" s="2" t="n">
        <v>23.95</v>
      </c>
      <c r="P406" s="2" t="n">
        <v>98.13</v>
      </c>
      <c r="Q406" s="2" t="n">
        <v>61.04</v>
      </c>
      <c r="R406" s="1" t="n">
        <v>2</v>
      </c>
      <c r="S406" s="1" t="n">
        <v>0</v>
      </c>
      <c r="T406" s="1" t="s">
        <v>1360</v>
      </c>
      <c r="U406" s="1" t="n">
        <v>3</v>
      </c>
      <c r="V406" s="1" t="n">
        <v>3</v>
      </c>
    </row>
    <row r="407" customFormat="false" ht="18.7" hidden="false" customHeight="true" outlineLevel="0" collapsed="false">
      <c r="A407" s="1" t="n">
        <v>406</v>
      </c>
      <c r="B407" s="7" t="str">
        <f aca="false">HYPERLINK("https://mncourtfraud.com/file/27-CR-23-4904.pdf","27-CR-23-4904")</f>
        <v>27-CR-23-4904</v>
      </c>
      <c r="C407" s="1" t="n">
        <v>1</v>
      </c>
      <c r="D407" s="2" t="s">
        <v>12</v>
      </c>
      <c r="E407" s="8" t="n">
        <v>45412</v>
      </c>
      <c r="F407" s="2" t="s">
        <v>15</v>
      </c>
      <c r="G407" s="7" t="str">
        <f aca="false">HYPERLINK("https://mncourtfraud.com/file/MCRO_27-CR-23-4904_Order-Evaluation for Competency to Proceed (Rule 20.01)_2024-04-30_20251126190319.pdf","MCRO_27-CR-23-4904_Order-Evaluation for Competency to Proceed (Rule 20.01)_2024-04-30_20251126190319.pdf")</f>
        <v>MCRO_27-CR-23-4904_Order-Evaluation for Competency to Proceed (Rule 20.01)_2024-04-30_20251126190319.pdf</v>
      </c>
      <c r="H407" s="1" t="n">
        <v>4</v>
      </c>
      <c r="I407" s="1" t="s">
        <v>1360</v>
      </c>
      <c r="J407" s="1" t="n">
        <v>1</v>
      </c>
      <c r="K407" s="2" t="s">
        <v>1362</v>
      </c>
      <c r="L407" s="2" t="s">
        <v>1364</v>
      </c>
      <c r="M407" s="1" t="s">
        <v>1360</v>
      </c>
      <c r="N407" s="1" t="n">
        <v>0</v>
      </c>
      <c r="O407" s="2" t="n">
        <v>92.54</v>
      </c>
      <c r="P407" s="2" t="n">
        <v>92.54</v>
      </c>
      <c r="Q407" s="2" t="n">
        <v>92.54</v>
      </c>
      <c r="R407" s="1" t="n">
        <v>1</v>
      </c>
      <c r="S407" s="1" t="n">
        <v>0</v>
      </c>
      <c r="T407" s="1" t="s">
        <v>1360</v>
      </c>
      <c r="U407" s="1" t="n">
        <v>4</v>
      </c>
      <c r="V407" s="1" t="n">
        <v>0</v>
      </c>
    </row>
    <row r="408" customFormat="false" ht="18.7" hidden="false" customHeight="true" outlineLevel="0" collapsed="false">
      <c r="A408" s="1" t="n">
        <v>407</v>
      </c>
      <c r="B408" s="7" t="str">
        <f aca="false">HYPERLINK("https://mncourtfraud.com/file/27-CR-23-4904.pdf","27-CR-23-4904")</f>
        <v>27-CR-23-4904</v>
      </c>
      <c r="C408" s="1" t="n">
        <v>1</v>
      </c>
      <c r="D408" s="2" t="s">
        <v>12</v>
      </c>
      <c r="E408" s="8" t="n">
        <v>45412</v>
      </c>
      <c r="F408" s="2" t="s">
        <v>24</v>
      </c>
      <c r="G408" s="7" t="str">
        <f aca="false">HYPERLINK("https://mncourtfraud.com/file/MCRO_27-CR-23-4904_Order for Conditional Release_2024-04-30_20251126190306.pdf","MCRO_27-CR-23-4904_Order for Conditional Release_2024-04-30_20251126190306.pdf")</f>
        <v>MCRO_27-CR-23-4904_Order for Conditional Release_2024-04-30_20251126190306.pdf</v>
      </c>
      <c r="H408" s="1" t="n">
        <v>4</v>
      </c>
      <c r="I408" s="1" t="s">
        <v>1360</v>
      </c>
      <c r="J408" s="1" t="n">
        <v>1</v>
      </c>
      <c r="K408" s="2" t="s">
        <v>1362</v>
      </c>
      <c r="L408" s="2" t="s">
        <v>1364</v>
      </c>
      <c r="M408" s="1" t="s">
        <v>1360</v>
      </c>
      <c r="N408" s="1" t="n">
        <v>0</v>
      </c>
      <c r="O408" s="2" t="n">
        <v>89.11</v>
      </c>
      <c r="P408" s="2" t="n">
        <v>89.11</v>
      </c>
      <c r="Q408" s="2" t="n">
        <v>89.11</v>
      </c>
      <c r="R408" s="1" t="n">
        <v>1</v>
      </c>
      <c r="S408" s="1" t="n">
        <v>0</v>
      </c>
      <c r="T408" s="1" t="s">
        <v>1360</v>
      </c>
      <c r="U408" s="1" t="n">
        <v>4</v>
      </c>
      <c r="V408" s="1" t="n">
        <v>0</v>
      </c>
    </row>
    <row r="409" customFormat="false" ht="18.7" hidden="false" customHeight="true" outlineLevel="0" collapsed="false">
      <c r="A409" s="1" t="n">
        <v>408</v>
      </c>
      <c r="B409" s="7" t="str">
        <f aca="false">HYPERLINK("https://mncourtfraud.com/file/27-CR-23-7087.pdf","27-CR-23-7087")</f>
        <v>27-CR-23-7087</v>
      </c>
      <c r="C409" s="1" t="n">
        <v>1</v>
      </c>
      <c r="D409" s="2" t="s">
        <v>12</v>
      </c>
      <c r="E409" s="8" t="n">
        <v>45048</v>
      </c>
      <c r="F409" s="2" t="s">
        <v>80</v>
      </c>
      <c r="G409" s="7" t="str">
        <f aca="false">HYPERLINK("https://mncourtfraud.com/file/MCRO_27-CR-23-7087_Finding of Incompetency and Order_2023-05-02_20251126190352.pdf","MCRO_27-CR-23-7087_Finding of Incompetency and Order_2023-05-02_20251126190352.pdf")</f>
        <v>MCRO_27-CR-23-7087_Finding of Incompetency and Order_2023-05-02_20251126190352.pdf</v>
      </c>
      <c r="H409" s="1" t="n">
        <v>9</v>
      </c>
      <c r="I409" s="1" t="s">
        <v>1366</v>
      </c>
      <c r="J409" s="1" t="n">
        <v>3</v>
      </c>
      <c r="K409" s="2" t="s">
        <v>2268</v>
      </c>
      <c r="L409" s="2" t="s">
        <v>2269</v>
      </c>
      <c r="M409" s="1" t="s">
        <v>1366</v>
      </c>
      <c r="N409" s="1" t="n">
        <v>2</v>
      </c>
      <c r="O409" s="2" t="n">
        <v>15.21</v>
      </c>
      <c r="P409" s="2" t="n">
        <v>98.32</v>
      </c>
      <c r="Q409" s="2" t="n">
        <v>45.35</v>
      </c>
      <c r="R409" s="1" t="n">
        <v>3</v>
      </c>
      <c r="S409" s="1" t="n">
        <v>0</v>
      </c>
      <c r="T409" s="1" t="s">
        <v>1360</v>
      </c>
      <c r="U409" s="1" t="n">
        <v>5</v>
      </c>
      <c r="V409" s="1" t="n">
        <v>3</v>
      </c>
    </row>
    <row r="410" customFormat="false" ht="18.7" hidden="false" customHeight="true" outlineLevel="0" collapsed="false">
      <c r="A410" s="1" t="n">
        <v>409</v>
      </c>
      <c r="B410" s="7" t="str">
        <f aca="false">HYPERLINK("https://mncourtfraud.com/file/27-CR-23-7087.pdf","27-CR-23-7087")</f>
        <v>27-CR-23-7087</v>
      </c>
      <c r="C410" s="1" t="n">
        <v>1</v>
      </c>
      <c r="D410" s="2" t="s">
        <v>12</v>
      </c>
      <c r="E410" s="8" t="n">
        <v>45160</v>
      </c>
      <c r="F410" s="2" t="s">
        <v>15</v>
      </c>
      <c r="G410" s="7" t="str">
        <f aca="false">HYPERLINK("https://mncourtfraud.com/file/MCRO_27-CR-23-7087_Order-Evaluation for Competency to Proceed (Rule 20.01)_2023-08-22_20251126190421.pdf","MCRO_27-CR-23-7087_Order-Evaluation for Competency to Proceed (Rule 20.01)_2023-08-22_20251126190421.pdf")</f>
        <v>MCRO_27-CR-23-7087_Order-Evaluation for Competency to Proceed (Rule 20.01)_2023-08-22_20251126190421.pdf</v>
      </c>
      <c r="H410" s="1" t="n">
        <v>6</v>
      </c>
      <c r="I410" s="1" t="s">
        <v>1366</v>
      </c>
      <c r="J410" s="1" t="n">
        <v>2</v>
      </c>
      <c r="K410" s="2" t="s">
        <v>2270</v>
      </c>
      <c r="L410" s="2" t="s">
        <v>2269</v>
      </c>
      <c r="M410" s="1" t="s">
        <v>1366</v>
      </c>
      <c r="N410" s="1" t="n">
        <v>1</v>
      </c>
      <c r="O410" s="2" t="n">
        <v>23.95</v>
      </c>
      <c r="P410" s="2" t="n">
        <v>98.13</v>
      </c>
      <c r="Q410" s="2" t="n">
        <v>61.04</v>
      </c>
      <c r="R410" s="1" t="n">
        <v>2</v>
      </c>
      <c r="S410" s="1" t="n">
        <v>0</v>
      </c>
      <c r="T410" s="1" t="s">
        <v>1360</v>
      </c>
      <c r="U410" s="1" t="n">
        <v>3</v>
      </c>
      <c r="V410" s="1" t="n">
        <v>3</v>
      </c>
    </row>
    <row r="411" customFormat="false" ht="18.7" hidden="false" customHeight="true" outlineLevel="0" collapsed="false">
      <c r="A411" s="1" t="n">
        <v>410</v>
      </c>
      <c r="B411" s="7" t="str">
        <f aca="false">HYPERLINK("https://mncourtfraud.com/file/27-CR-23-7087.pdf","27-CR-23-7087")</f>
        <v>27-CR-23-7087</v>
      </c>
      <c r="C411" s="1" t="n">
        <v>1</v>
      </c>
      <c r="D411" s="2" t="s">
        <v>12</v>
      </c>
      <c r="E411" s="8" t="n">
        <v>45412</v>
      </c>
      <c r="F411" s="2" t="s">
        <v>15</v>
      </c>
      <c r="G411" s="7" t="str">
        <f aca="false">HYPERLINK("https://mncourtfraud.com/file/MCRO_27-CR-23-7087_Order-Evaluation for Competency to Proceed (Rule 20.01)_2024-04-30_20251126190428.pdf","MCRO_27-CR-23-7087_Order-Evaluation for Competency to Proceed (Rule 20.01)_2024-04-30_20251126190428.pdf")</f>
        <v>MCRO_27-CR-23-7087_Order-Evaluation for Competency to Proceed (Rule 20.01)_2024-04-30_20251126190428.pdf</v>
      </c>
      <c r="H411" s="1" t="n">
        <v>4</v>
      </c>
      <c r="I411" s="1" t="s">
        <v>1360</v>
      </c>
      <c r="J411" s="1" t="n">
        <v>1</v>
      </c>
      <c r="K411" s="2" t="s">
        <v>1362</v>
      </c>
      <c r="L411" s="2" t="s">
        <v>1364</v>
      </c>
      <c r="M411" s="1" t="s">
        <v>1360</v>
      </c>
      <c r="N411" s="1" t="n">
        <v>0</v>
      </c>
      <c r="O411" s="2" t="n">
        <v>92.54</v>
      </c>
      <c r="P411" s="2" t="n">
        <v>92.54</v>
      </c>
      <c r="Q411" s="2" t="n">
        <v>92.54</v>
      </c>
      <c r="R411" s="1" t="n">
        <v>1</v>
      </c>
      <c r="S411" s="1" t="n">
        <v>0</v>
      </c>
      <c r="T411" s="1" t="s">
        <v>1360</v>
      </c>
      <c r="U411" s="1" t="n">
        <v>4</v>
      </c>
      <c r="V411" s="1" t="n">
        <v>0</v>
      </c>
    </row>
    <row r="412" customFormat="false" ht="18.7" hidden="false" customHeight="true" outlineLevel="0" collapsed="false">
      <c r="A412" s="1" t="n">
        <v>411</v>
      </c>
      <c r="B412" s="7" t="str">
        <f aca="false">HYPERLINK("https://mncourtfraud.com/file/27-CR-23-7087.pdf","27-CR-23-7087")</f>
        <v>27-CR-23-7087</v>
      </c>
      <c r="C412" s="1" t="n">
        <v>1</v>
      </c>
      <c r="D412" s="2" t="s">
        <v>12</v>
      </c>
      <c r="E412" s="8" t="n">
        <v>45412</v>
      </c>
      <c r="F412" s="2" t="s">
        <v>24</v>
      </c>
      <c r="G412" s="7" t="str">
        <f aca="false">HYPERLINK("https://mncourtfraud.com/file/MCRO_27-CR-23-7087_Order for Conditional Release_2024-04-30_20251126190403.pdf","MCRO_27-CR-23-7087_Order for Conditional Release_2024-04-30_20251126190403.pdf")</f>
        <v>MCRO_27-CR-23-7087_Order for Conditional Release_2024-04-30_20251126190403.pdf</v>
      </c>
      <c r="H412" s="1" t="n">
        <v>4</v>
      </c>
      <c r="I412" s="1" t="s">
        <v>1360</v>
      </c>
      <c r="J412" s="1" t="n">
        <v>1</v>
      </c>
      <c r="K412" s="2" t="s">
        <v>1362</v>
      </c>
      <c r="L412" s="2" t="s">
        <v>1364</v>
      </c>
      <c r="M412" s="1" t="s">
        <v>1360</v>
      </c>
      <c r="N412" s="1" t="n">
        <v>0</v>
      </c>
      <c r="O412" s="2" t="n">
        <v>89.11</v>
      </c>
      <c r="P412" s="2" t="n">
        <v>89.11</v>
      </c>
      <c r="Q412" s="2" t="n">
        <v>89.11</v>
      </c>
      <c r="R412" s="1" t="n">
        <v>1</v>
      </c>
      <c r="S412" s="1" t="n">
        <v>0</v>
      </c>
      <c r="T412" s="1" t="s">
        <v>1360</v>
      </c>
      <c r="U412" s="1" t="n">
        <v>4</v>
      </c>
      <c r="V412" s="1" t="n">
        <v>0</v>
      </c>
    </row>
    <row r="413" customFormat="false" ht="18.7" hidden="false" customHeight="true" outlineLevel="0" collapsed="false">
      <c r="A413" s="1" t="n">
        <v>412</v>
      </c>
      <c r="B413" s="7" t="str">
        <f aca="false">HYPERLINK("https://mncourtfraud.com/file/27-CR-23-7088.pdf","27-CR-23-7088")</f>
        <v>27-CR-23-7088</v>
      </c>
      <c r="C413" s="1" t="n">
        <v>1</v>
      </c>
      <c r="D413" s="2" t="s">
        <v>12</v>
      </c>
      <c r="E413" s="8" t="n">
        <v>45048</v>
      </c>
      <c r="F413" s="2" t="s">
        <v>80</v>
      </c>
      <c r="G413" s="7" t="str">
        <f aca="false">HYPERLINK("https://mncourtfraud.com/file/MCRO_27-CR-23-7088_Finding of Incompetency and Order_2023-05-02_20251126190457.pdf","MCRO_27-CR-23-7088_Finding of Incompetency and Order_2023-05-02_20251126190457.pdf")</f>
        <v>MCRO_27-CR-23-7088_Finding of Incompetency and Order_2023-05-02_20251126190457.pdf</v>
      </c>
      <c r="H413" s="1" t="n">
        <v>9</v>
      </c>
      <c r="I413" s="1" t="s">
        <v>1366</v>
      </c>
      <c r="J413" s="1" t="n">
        <v>3</v>
      </c>
      <c r="K413" s="2" t="s">
        <v>2268</v>
      </c>
      <c r="L413" s="2" t="s">
        <v>2269</v>
      </c>
      <c r="M413" s="1" t="s">
        <v>1366</v>
      </c>
      <c r="N413" s="1" t="n">
        <v>2</v>
      </c>
      <c r="O413" s="2" t="n">
        <v>15.21</v>
      </c>
      <c r="P413" s="2" t="n">
        <v>98.32</v>
      </c>
      <c r="Q413" s="2" t="n">
        <v>45.35</v>
      </c>
      <c r="R413" s="1" t="n">
        <v>3</v>
      </c>
      <c r="S413" s="1" t="n">
        <v>0</v>
      </c>
      <c r="T413" s="1" t="s">
        <v>1360</v>
      </c>
      <c r="U413" s="1" t="n">
        <v>5</v>
      </c>
      <c r="V413" s="1" t="n">
        <v>3</v>
      </c>
    </row>
    <row r="414" customFormat="false" ht="18.7" hidden="false" customHeight="true" outlineLevel="0" collapsed="false">
      <c r="A414" s="1" t="n">
        <v>413</v>
      </c>
      <c r="B414" s="7" t="str">
        <f aca="false">HYPERLINK("https://mncourtfraud.com/file/27-CR-23-7088.pdf","27-CR-23-7088")</f>
        <v>27-CR-23-7088</v>
      </c>
      <c r="C414" s="1" t="n">
        <v>1</v>
      </c>
      <c r="D414" s="2" t="s">
        <v>12</v>
      </c>
      <c r="E414" s="8" t="n">
        <v>45160</v>
      </c>
      <c r="F414" s="2" t="s">
        <v>15</v>
      </c>
      <c r="G414" s="7" t="str">
        <f aca="false">HYPERLINK("https://mncourtfraud.com/file/MCRO_27-CR-23-7088_Order-Evaluation for Competency to Proceed (Rule 20.01)_2023-08-22_20251126190533.pdf","MCRO_27-CR-23-7088_Order-Evaluation for Competency to Proceed (Rule 20.01)_2023-08-22_20251126190533.pdf")</f>
        <v>MCRO_27-CR-23-7088_Order-Evaluation for Competency to Proceed (Rule 20.01)_2023-08-22_20251126190533.pdf</v>
      </c>
      <c r="H414" s="1" t="n">
        <v>6</v>
      </c>
      <c r="I414" s="1" t="s">
        <v>1366</v>
      </c>
      <c r="J414" s="1" t="n">
        <v>2</v>
      </c>
      <c r="K414" s="2" t="s">
        <v>2270</v>
      </c>
      <c r="L414" s="2" t="s">
        <v>2269</v>
      </c>
      <c r="M414" s="1" t="s">
        <v>1366</v>
      </c>
      <c r="N414" s="1" t="n">
        <v>1</v>
      </c>
      <c r="O414" s="2" t="n">
        <v>23.95</v>
      </c>
      <c r="P414" s="2" t="n">
        <v>98.13</v>
      </c>
      <c r="Q414" s="2" t="n">
        <v>61.04</v>
      </c>
      <c r="R414" s="1" t="n">
        <v>2</v>
      </c>
      <c r="S414" s="1" t="n">
        <v>0</v>
      </c>
      <c r="T414" s="1" t="s">
        <v>1360</v>
      </c>
      <c r="U414" s="1" t="n">
        <v>3</v>
      </c>
      <c r="V414" s="1" t="n">
        <v>3</v>
      </c>
    </row>
    <row r="415" customFormat="false" ht="18.7" hidden="false" customHeight="true" outlineLevel="0" collapsed="false">
      <c r="A415" s="1" t="n">
        <v>414</v>
      </c>
      <c r="B415" s="7" t="str">
        <f aca="false">HYPERLINK("https://mncourtfraud.com/file/27-CR-23-7088.pdf","27-CR-23-7088")</f>
        <v>27-CR-23-7088</v>
      </c>
      <c r="C415" s="1" t="n">
        <v>1</v>
      </c>
      <c r="D415" s="2" t="s">
        <v>12</v>
      </c>
      <c r="E415" s="8" t="n">
        <v>45412</v>
      </c>
      <c r="F415" s="2" t="s">
        <v>15</v>
      </c>
      <c r="G415" s="7" t="str">
        <f aca="false">HYPERLINK("https://mncourtfraud.com/file/MCRO_27-CR-23-7088_Order-Evaluation for Competency to Proceed (Rule 20.01)_2024-04-30_20251126190522.pdf","MCRO_27-CR-23-7088_Order-Evaluation for Competency to Proceed (Rule 20.01)_2024-04-30_20251126190522.pdf")</f>
        <v>MCRO_27-CR-23-7088_Order-Evaluation for Competency to Proceed (Rule 20.01)_2024-04-30_20251126190522.pdf</v>
      </c>
      <c r="H415" s="1" t="n">
        <v>4</v>
      </c>
      <c r="I415" s="1" t="s">
        <v>1360</v>
      </c>
      <c r="J415" s="1" t="n">
        <v>1</v>
      </c>
      <c r="K415" s="2" t="s">
        <v>1362</v>
      </c>
      <c r="L415" s="2" t="s">
        <v>1364</v>
      </c>
      <c r="M415" s="1" t="s">
        <v>1360</v>
      </c>
      <c r="N415" s="1" t="n">
        <v>0</v>
      </c>
      <c r="O415" s="2" t="n">
        <v>92.54</v>
      </c>
      <c r="P415" s="2" t="n">
        <v>92.54</v>
      </c>
      <c r="Q415" s="2" t="n">
        <v>92.54</v>
      </c>
      <c r="R415" s="1" t="n">
        <v>1</v>
      </c>
      <c r="S415" s="1" t="n">
        <v>0</v>
      </c>
      <c r="T415" s="1" t="s">
        <v>1360</v>
      </c>
      <c r="U415" s="1" t="n">
        <v>4</v>
      </c>
      <c r="V415" s="1" t="n">
        <v>0</v>
      </c>
    </row>
    <row r="416" customFormat="false" ht="18.7" hidden="false" customHeight="true" outlineLevel="0" collapsed="false">
      <c r="A416" s="1" t="n">
        <v>415</v>
      </c>
      <c r="B416" s="7" t="str">
        <f aca="false">HYPERLINK("https://mncourtfraud.com/file/27-CR-23-7088.pdf","27-CR-23-7088")</f>
        <v>27-CR-23-7088</v>
      </c>
      <c r="C416" s="1" t="n">
        <v>1</v>
      </c>
      <c r="D416" s="2" t="s">
        <v>12</v>
      </c>
      <c r="E416" s="8" t="n">
        <v>45412</v>
      </c>
      <c r="F416" s="2" t="s">
        <v>24</v>
      </c>
      <c r="G416" s="7" t="str">
        <f aca="false">HYPERLINK("https://mncourtfraud.com/file/MCRO_27-CR-23-7088_Order for Conditional Release_2024-04-30_20251126190516.pdf","MCRO_27-CR-23-7088_Order for Conditional Release_2024-04-30_20251126190516.pdf")</f>
        <v>MCRO_27-CR-23-7088_Order for Conditional Release_2024-04-30_20251126190516.pdf</v>
      </c>
      <c r="H416" s="1" t="n">
        <v>4</v>
      </c>
      <c r="I416" s="1" t="s">
        <v>1360</v>
      </c>
      <c r="J416" s="1" t="n">
        <v>1</v>
      </c>
      <c r="K416" s="2" t="s">
        <v>1362</v>
      </c>
      <c r="L416" s="2" t="s">
        <v>1364</v>
      </c>
      <c r="M416" s="1" t="s">
        <v>1360</v>
      </c>
      <c r="N416" s="1" t="n">
        <v>0</v>
      </c>
      <c r="O416" s="2" t="n">
        <v>89.11</v>
      </c>
      <c r="P416" s="2" t="n">
        <v>89.11</v>
      </c>
      <c r="Q416" s="2" t="n">
        <v>89.11</v>
      </c>
      <c r="R416" s="1" t="n">
        <v>1</v>
      </c>
      <c r="S416" s="1" t="n">
        <v>0</v>
      </c>
      <c r="T416" s="1" t="s">
        <v>1360</v>
      </c>
      <c r="U416" s="1" t="n">
        <v>4</v>
      </c>
      <c r="V416" s="1" t="n">
        <v>0</v>
      </c>
    </row>
    <row r="417" customFormat="false" ht="18.7" hidden="false" customHeight="true" outlineLevel="0" collapsed="false">
      <c r="A417" s="1" t="n">
        <v>416</v>
      </c>
      <c r="B417" s="7" t="str">
        <f aca="false">HYPERLINK("https://mncourtfraud.com/file/27-CR-23-7089.pdf","27-CR-23-7089")</f>
        <v>27-CR-23-7089</v>
      </c>
      <c r="C417" s="1" t="n">
        <v>1</v>
      </c>
      <c r="D417" s="2" t="s">
        <v>12</v>
      </c>
      <c r="E417" s="8" t="n">
        <v>45048</v>
      </c>
      <c r="F417" s="2" t="s">
        <v>80</v>
      </c>
      <c r="G417" s="7" t="str">
        <f aca="false">HYPERLINK("https://mncourtfraud.com/file/MCRO_27-CR-23-7089_Finding of Incompetency and Order_2023-05-02_20251126190557.pdf","MCRO_27-CR-23-7089_Finding of Incompetency and Order_2023-05-02_20251126190557.pdf")</f>
        <v>MCRO_27-CR-23-7089_Finding of Incompetency and Order_2023-05-02_20251126190557.pdf</v>
      </c>
      <c r="H417" s="1" t="n">
        <v>9</v>
      </c>
      <c r="I417" s="1" t="s">
        <v>1366</v>
      </c>
      <c r="J417" s="1" t="n">
        <v>3</v>
      </c>
      <c r="K417" s="2" t="s">
        <v>2268</v>
      </c>
      <c r="L417" s="2" t="s">
        <v>2269</v>
      </c>
      <c r="M417" s="1" t="s">
        <v>1366</v>
      </c>
      <c r="N417" s="1" t="n">
        <v>2</v>
      </c>
      <c r="O417" s="2" t="n">
        <v>15.21</v>
      </c>
      <c r="P417" s="2" t="n">
        <v>98.32</v>
      </c>
      <c r="Q417" s="2" t="n">
        <v>45.35</v>
      </c>
      <c r="R417" s="1" t="n">
        <v>3</v>
      </c>
      <c r="S417" s="1" t="n">
        <v>0</v>
      </c>
      <c r="T417" s="1" t="s">
        <v>1360</v>
      </c>
      <c r="U417" s="1" t="n">
        <v>5</v>
      </c>
      <c r="V417" s="1" t="n">
        <v>3</v>
      </c>
    </row>
    <row r="418" customFormat="false" ht="18.7" hidden="false" customHeight="true" outlineLevel="0" collapsed="false">
      <c r="A418" s="1" t="n">
        <v>417</v>
      </c>
      <c r="B418" s="7" t="str">
        <f aca="false">HYPERLINK("https://mncourtfraud.com/file/27-CR-23-7089.pdf","27-CR-23-7089")</f>
        <v>27-CR-23-7089</v>
      </c>
      <c r="C418" s="1" t="n">
        <v>1</v>
      </c>
      <c r="D418" s="2" t="s">
        <v>12</v>
      </c>
      <c r="E418" s="8" t="n">
        <v>45160</v>
      </c>
      <c r="F418" s="2" t="s">
        <v>15</v>
      </c>
      <c r="G418" s="7" t="str">
        <f aca="false">HYPERLINK("https://mncourtfraud.com/file/MCRO_27-CR-23-7089_Order-Evaluation for Competency to Proceed (Rule 20.01)_2023-08-22_20251126190622.pdf","MCRO_27-CR-23-7089_Order-Evaluation for Competency to Proceed (Rule 20.01)_2023-08-22_20251126190622.pdf")</f>
        <v>MCRO_27-CR-23-7089_Order-Evaluation for Competency to Proceed (Rule 20.01)_2023-08-22_20251126190622.pdf</v>
      </c>
      <c r="H418" s="1" t="n">
        <v>6</v>
      </c>
      <c r="I418" s="1" t="s">
        <v>1366</v>
      </c>
      <c r="J418" s="1" t="n">
        <v>2</v>
      </c>
      <c r="K418" s="2" t="s">
        <v>2270</v>
      </c>
      <c r="L418" s="2" t="s">
        <v>2269</v>
      </c>
      <c r="M418" s="1" t="s">
        <v>1366</v>
      </c>
      <c r="N418" s="1" t="n">
        <v>1</v>
      </c>
      <c r="O418" s="2" t="n">
        <v>23.95</v>
      </c>
      <c r="P418" s="2" t="n">
        <v>98.13</v>
      </c>
      <c r="Q418" s="2" t="n">
        <v>61.04</v>
      </c>
      <c r="R418" s="1" t="n">
        <v>2</v>
      </c>
      <c r="S418" s="1" t="n">
        <v>0</v>
      </c>
      <c r="T418" s="1" t="s">
        <v>1360</v>
      </c>
      <c r="U418" s="1" t="n">
        <v>3</v>
      </c>
      <c r="V418" s="1" t="n">
        <v>3</v>
      </c>
    </row>
    <row r="419" customFormat="false" ht="18.7" hidden="false" customHeight="true" outlineLevel="0" collapsed="false">
      <c r="A419" s="1" t="n">
        <v>418</v>
      </c>
      <c r="B419" s="7" t="str">
        <f aca="false">HYPERLINK("https://mncourtfraud.com/file/27-CR-23-7089.pdf","27-CR-23-7089")</f>
        <v>27-CR-23-7089</v>
      </c>
      <c r="C419" s="1" t="n">
        <v>1</v>
      </c>
      <c r="D419" s="2" t="s">
        <v>12</v>
      </c>
      <c r="E419" s="8" t="n">
        <v>45412</v>
      </c>
      <c r="F419" s="2" t="s">
        <v>15</v>
      </c>
      <c r="G419" s="7" t="str">
        <f aca="false">HYPERLINK("https://mncourtfraud.com/file/MCRO_27-CR-23-7089_Order-Evaluation for Competency to Proceed (Rule 20.01)_2024-04-30_20251126190615.pdf","MCRO_27-CR-23-7089_Order-Evaluation for Competency to Proceed (Rule 20.01)_2024-04-30_20251126190615.pdf")</f>
        <v>MCRO_27-CR-23-7089_Order-Evaluation for Competency to Proceed (Rule 20.01)_2024-04-30_20251126190615.pdf</v>
      </c>
      <c r="H419" s="1" t="n">
        <v>4</v>
      </c>
      <c r="I419" s="1" t="s">
        <v>1360</v>
      </c>
      <c r="J419" s="1" t="n">
        <v>1</v>
      </c>
      <c r="K419" s="2" t="s">
        <v>1362</v>
      </c>
      <c r="L419" s="2" t="s">
        <v>1364</v>
      </c>
      <c r="M419" s="1" t="s">
        <v>1360</v>
      </c>
      <c r="N419" s="1" t="n">
        <v>0</v>
      </c>
      <c r="O419" s="2" t="n">
        <v>92.54</v>
      </c>
      <c r="P419" s="2" t="n">
        <v>92.54</v>
      </c>
      <c r="Q419" s="2" t="n">
        <v>92.54</v>
      </c>
      <c r="R419" s="1" t="n">
        <v>1</v>
      </c>
      <c r="S419" s="1" t="n">
        <v>0</v>
      </c>
      <c r="T419" s="1" t="s">
        <v>1360</v>
      </c>
      <c r="U419" s="1" t="n">
        <v>4</v>
      </c>
      <c r="V419" s="1" t="n">
        <v>0</v>
      </c>
    </row>
    <row r="420" customFormat="false" ht="18.7" hidden="false" customHeight="true" outlineLevel="0" collapsed="false">
      <c r="A420" s="1" t="n">
        <v>419</v>
      </c>
      <c r="B420" s="7" t="str">
        <f aca="false">HYPERLINK("https://mncourtfraud.com/file/27-CR-23-7089.pdf","27-CR-23-7089")</f>
        <v>27-CR-23-7089</v>
      </c>
      <c r="C420" s="1" t="n">
        <v>1</v>
      </c>
      <c r="D420" s="2" t="s">
        <v>12</v>
      </c>
      <c r="E420" s="8" t="n">
        <v>45412</v>
      </c>
      <c r="F420" s="2" t="s">
        <v>24</v>
      </c>
      <c r="G420" s="7" t="str">
        <f aca="false">HYPERLINK("https://mncourtfraud.com/file/MCRO_27-CR-23-7089_Order for Conditional Release_2024-04-30_20251126190607.pdf","MCRO_27-CR-23-7089_Order for Conditional Release_2024-04-30_20251126190607.pdf")</f>
        <v>MCRO_27-CR-23-7089_Order for Conditional Release_2024-04-30_20251126190607.pdf</v>
      </c>
      <c r="H420" s="1" t="n">
        <v>4</v>
      </c>
      <c r="I420" s="1" t="s">
        <v>1360</v>
      </c>
      <c r="J420" s="1" t="n">
        <v>1</v>
      </c>
      <c r="K420" s="2" t="s">
        <v>1362</v>
      </c>
      <c r="L420" s="2" t="s">
        <v>1364</v>
      </c>
      <c r="M420" s="1" t="s">
        <v>1360</v>
      </c>
      <c r="N420" s="1" t="n">
        <v>0</v>
      </c>
      <c r="O420" s="2" t="n">
        <v>89.11</v>
      </c>
      <c r="P420" s="2" t="n">
        <v>89.11</v>
      </c>
      <c r="Q420" s="2" t="n">
        <v>89.11</v>
      </c>
      <c r="R420" s="1" t="n">
        <v>1</v>
      </c>
      <c r="S420" s="1" t="n">
        <v>0</v>
      </c>
      <c r="T420" s="1" t="s">
        <v>1360</v>
      </c>
      <c r="U420" s="1" t="n">
        <v>4</v>
      </c>
      <c r="V420" s="1" t="n">
        <v>0</v>
      </c>
    </row>
    <row r="421" customFormat="false" ht="18.7" hidden="false" customHeight="true" outlineLevel="0" collapsed="false">
      <c r="A421" s="1" t="n">
        <v>420</v>
      </c>
      <c r="B421" s="7" t="str">
        <f aca="false">HYPERLINK("https://mncourtfraud.com/file/27-CR-23-7275.pdf","27-CR-23-7275")</f>
        <v>27-CR-23-7275</v>
      </c>
      <c r="C421" s="1" t="n">
        <v>1</v>
      </c>
      <c r="D421" s="2" t="s">
        <v>12</v>
      </c>
      <c r="E421" s="8" t="n">
        <v>45048</v>
      </c>
      <c r="F421" s="2" t="s">
        <v>80</v>
      </c>
      <c r="G421" s="7" t="str">
        <f aca="false">HYPERLINK("https://mncourtfraud.com/file/MCRO_27-CR-23-7275_Finding of Incompetency and Order_2023-05-02_20251126190643.pdf","MCRO_27-CR-23-7275_Finding of Incompetency and Order_2023-05-02_20251126190643.pdf")</f>
        <v>MCRO_27-CR-23-7275_Finding of Incompetency and Order_2023-05-02_20251126190643.pdf</v>
      </c>
      <c r="H421" s="1" t="n">
        <v>9</v>
      </c>
      <c r="I421" s="1" t="s">
        <v>1366</v>
      </c>
      <c r="J421" s="1" t="n">
        <v>3</v>
      </c>
      <c r="K421" s="2" t="s">
        <v>2268</v>
      </c>
      <c r="L421" s="2" t="s">
        <v>2269</v>
      </c>
      <c r="M421" s="1" t="s">
        <v>1366</v>
      </c>
      <c r="N421" s="1" t="n">
        <v>2</v>
      </c>
      <c r="O421" s="2" t="n">
        <v>15.21</v>
      </c>
      <c r="P421" s="2" t="n">
        <v>98.32</v>
      </c>
      <c r="Q421" s="2" t="n">
        <v>45.35</v>
      </c>
      <c r="R421" s="1" t="n">
        <v>3</v>
      </c>
      <c r="S421" s="1" t="n">
        <v>0</v>
      </c>
      <c r="T421" s="1" t="s">
        <v>1360</v>
      </c>
      <c r="U421" s="1" t="n">
        <v>5</v>
      </c>
      <c r="V421" s="1" t="n">
        <v>3</v>
      </c>
    </row>
    <row r="422" customFormat="false" ht="18.7" hidden="false" customHeight="true" outlineLevel="0" collapsed="false">
      <c r="A422" s="1" t="n">
        <v>421</v>
      </c>
      <c r="B422" s="7" t="str">
        <f aca="false">HYPERLINK("https://mncourtfraud.com/file/27-CR-23-7275.pdf","27-CR-23-7275")</f>
        <v>27-CR-23-7275</v>
      </c>
      <c r="C422" s="1" t="n">
        <v>1</v>
      </c>
      <c r="D422" s="2" t="s">
        <v>12</v>
      </c>
      <c r="E422" s="8" t="n">
        <v>45160</v>
      </c>
      <c r="F422" s="2" t="s">
        <v>15</v>
      </c>
      <c r="G422" s="7" t="str">
        <f aca="false">HYPERLINK("https://mncourtfraud.com/file/MCRO_27-CR-23-7275_Order-Evaluation for Competency to Proceed (Rule 20.01)_2023-08-22_20251126190704.pdf","MCRO_27-CR-23-7275_Order-Evaluation for Competency to Proceed (Rule 20.01)_2023-08-22_20251126190704.pdf")</f>
        <v>MCRO_27-CR-23-7275_Order-Evaluation for Competency to Proceed (Rule 20.01)_2023-08-22_20251126190704.pdf</v>
      </c>
      <c r="H422" s="1" t="n">
        <v>6</v>
      </c>
      <c r="I422" s="1" t="s">
        <v>1366</v>
      </c>
      <c r="J422" s="1" t="n">
        <v>2</v>
      </c>
      <c r="K422" s="2" t="s">
        <v>2270</v>
      </c>
      <c r="L422" s="2" t="s">
        <v>2269</v>
      </c>
      <c r="M422" s="1" t="s">
        <v>1366</v>
      </c>
      <c r="N422" s="1" t="n">
        <v>1</v>
      </c>
      <c r="O422" s="2" t="n">
        <v>23.95</v>
      </c>
      <c r="P422" s="2" t="n">
        <v>98.13</v>
      </c>
      <c r="Q422" s="2" t="n">
        <v>61.04</v>
      </c>
      <c r="R422" s="1" t="n">
        <v>2</v>
      </c>
      <c r="S422" s="1" t="n">
        <v>0</v>
      </c>
      <c r="T422" s="1" t="s">
        <v>1360</v>
      </c>
      <c r="U422" s="1" t="n">
        <v>3</v>
      </c>
      <c r="V422" s="1" t="n">
        <v>3</v>
      </c>
    </row>
    <row r="423" customFormat="false" ht="18.7" hidden="false" customHeight="true" outlineLevel="0" collapsed="false">
      <c r="A423" s="1" t="n">
        <v>422</v>
      </c>
      <c r="B423" s="7" t="str">
        <f aca="false">HYPERLINK("https://mncourtfraud.com/file/27-CR-23-7275.pdf","27-CR-23-7275")</f>
        <v>27-CR-23-7275</v>
      </c>
      <c r="C423" s="1" t="n">
        <v>1</v>
      </c>
      <c r="D423" s="2" t="s">
        <v>12</v>
      </c>
      <c r="E423" s="8" t="n">
        <v>45412</v>
      </c>
      <c r="F423" s="2" t="s">
        <v>24</v>
      </c>
      <c r="G423" s="7" t="str">
        <f aca="false">HYPERLINK("https://mncourtfraud.com/file/MCRO_27-CR-23-7275_Order for Conditional Release_2024-04-30_20251126190652.pdf","MCRO_27-CR-23-7275_Order for Conditional Release_2024-04-30_20251126190652.pdf")</f>
        <v>MCRO_27-CR-23-7275_Order for Conditional Release_2024-04-30_20251126190652.pdf</v>
      </c>
      <c r="H423" s="1" t="n">
        <v>4</v>
      </c>
      <c r="I423" s="1" t="s">
        <v>1360</v>
      </c>
      <c r="J423" s="1" t="n">
        <v>1</v>
      </c>
      <c r="K423" s="2" t="s">
        <v>1362</v>
      </c>
      <c r="L423" s="2" t="s">
        <v>1364</v>
      </c>
      <c r="M423" s="1" t="s">
        <v>1360</v>
      </c>
      <c r="N423" s="1" t="n">
        <v>0</v>
      </c>
      <c r="O423" s="2" t="n">
        <v>89.11</v>
      </c>
      <c r="P423" s="2" t="n">
        <v>89.11</v>
      </c>
      <c r="Q423" s="2" t="n">
        <v>89.11</v>
      </c>
      <c r="R423" s="1" t="n">
        <v>1</v>
      </c>
      <c r="S423" s="1" t="n">
        <v>0</v>
      </c>
      <c r="T423" s="1" t="s">
        <v>1360</v>
      </c>
      <c r="U423" s="1" t="n">
        <v>4</v>
      </c>
      <c r="V423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V4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9.72"/>
    <col collapsed="false" customWidth="true" hidden="false" outlineLevel="0" max="2" min="2" style="2" width="21.38"/>
    <col collapsed="false" customWidth="true" hidden="false" outlineLevel="0" max="3" min="3" style="1" width="14.31"/>
    <col collapsed="false" customWidth="true" hidden="false" outlineLevel="0" max="4" min="4" style="2" width="27.23"/>
    <col collapsed="false" customWidth="true" hidden="false" outlineLevel="0" max="5" min="5" style="1" width="16.2"/>
    <col collapsed="false" customWidth="true" hidden="false" outlineLevel="0" max="6" min="6" style="2" width="64.05"/>
    <col collapsed="false" customWidth="true" hidden="false" outlineLevel="0" max="7" min="7" style="2" width="124.35"/>
    <col collapsed="false" customWidth="true" hidden="false" outlineLevel="0" max="8" min="8" style="2" width="57.38"/>
    <col collapsed="false" customWidth="true" hidden="false" outlineLevel="0" max="9" min="9" style="1" width="25.98"/>
    <col collapsed="false" customWidth="true" hidden="false" outlineLevel="0" max="10" min="10" style="2" width="38.9"/>
    <col collapsed="false" customWidth="true" hidden="false" outlineLevel="0" max="11" min="11" style="2" width="57.28"/>
    <col collapsed="false" customWidth="true" hidden="false" outlineLevel="0" max="12" min="12" style="1" width="25.92"/>
    <col collapsed="false" customWidth="true" hidden="false" outlineLevel="0" max="13" min="13" style="2" width="38.88"/>
    <col collapsed="false" customWidth="true" hidden="false" outlineLevel="0" max="14" min="14" style="2" width="57.28"/>
    <col collapsed="false" customWidth="true" hidden="false" outlineLevel="0" max="15" min="15" style="1" width="25.92"/>
    <col collapsed="false" customWidth="true" hidden="false" outlineLevel="0" max="16" min="16" style="2" width="38.88"/>
    <col collapsed="false" customWidth="false" hidden="false" outlineLevel="0" max="18" min="17" style="2" width="11.52"/>
    <col collapsed="false" customWidth="true" hidden="false" outlineLevel="0" max="19" min="19" style="0" width="21.38"/>
    <col collapsed="false" customWidth="true" hidden="false" outlineLevel="0" max="20" min="20" style="0" width="16.2"/>
    <col collapsed="false" customWidth="true" hidden="false" outlineLevel="0" max="21" min="21" style="0" width="64.05"/>
    <col collapsed="false" customWidth="false" hidden="false" outlineLevel="0" max="1017" min="23" style="2" width="11.52"/>
  </cols>
  <sheetData>
    <row r="1" customFormat="false" ht="23.05" hidden="false" customHeight="true" outlineLevel="0" collapsed="false">
      <c r="A1" s="3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2271</v>
      </c>
      <c r="I1" s="3" t="s">
        <v>2272</v>
      </c>
      <c r="J1" s="3" t="s">
        <v>2273</v>
      </c>
      <c r="K1" s="3" t="s">
        <v>2274</v>
      </c>
      <c r="L1" s="3" t="s">
        <v>2275</v>
      </c>
      <c r="M1" s="3" t="s">
        <v>2276</v>
      </c>
      <c r="N1" s="3" t="s">
        <v>2277</v>
      </c>
      <c r="O1" s="3" t="s">
        <v>2278</v>
      </c>
      <c r="P1" s="3" t="s">
        <v>2279</v>
      </c>
      <c r="V1" s="2"/>
    </row>
    <row r="2" customFormat="false" ht="18.7" hidden="false" customHeight="true" outlineLevel="0" collapsed="false">
      <c r="A2" s="1" t="n">
        <v>1</v>
      </c>
      <c r="B2" s="7" t="str">
        <f aca="false">HYPERLINK("https://mncourtfraud.com/file/27-CR-19-26893.pdf","27-CR-19-26893")</f>
        <v>27-CR-19-26893</v>
      </c>
      <c r="C2" s="1" t="n">
        <v>1</v>
      </c>
      <c r="D2" s="2" t="s">
        <v>12</v>
      </c>
      <c r="E2" s="8" t="n">
        <v>43844</v>
      </c>
      <c r="F2" s="2" t="s">
        <v>13</v>
      </c>
      <c r="G2" s="7" t="str">
        <f aca="false">HYPERLINK("https://mncourtfraud.com/file/MCRO_27-CR-19-26893_Find of Fact-Order, Pet Commitment-Dfd Found Incompetent_2020-01-14_20251126174653.pdf","MCRO_27-CR-19-26893_Find of Fact-Order, Pet Commitment-Dfd Found Incompetent_2020-01-14_20251126174653.pdf")</f>
        <v>MCRO_27-CR-19-26893_Find of Fact-Order, Pet Commitment-Dfd Found Incompetent_2020-01-14_20251126174653.pdf</v>
      </c>
      <c r="H2" s="2" t="s">
        <v>1362</v>
      </c>
      <c r="I2" s="9" t="s">
        <v>2280</v>
      </c>
      <c r="J2" s="2" t="s">
        <v>2281</v>
      </c>
    </row>
    <row r="3" customFormat="false" ht="18.7" hidden="false" customHeight="true" outlineLevel="0" collapsed="false">
      <c r="A3" s="1" t="n">
        <v>2</v>
      </c>
      <c r="B3" s="7" t="str">
        <f aca="false">HYPERLINK("https://mncourtfraud.com/file/27-CR-19-26893.pdf","27-CR-19-26893")</f>
        <v>27-CR-19-26893</v>
      </c>
      <c r="C3" s="1" t="n">
        <v>1</v>
      </c>
      <c r="D3" s="2" t="s">
        <v>12</v>
      </c>
      <c r="E3" s="8" t="n">
        <v>44103</v>
      </c>
      <c r="F3" s="2" t="s">
        <v>19</v>
      </c>
      <c r="G3" s="7" t="str">
        <f aca="false">HYPERLINK("https://mncourtfraud.com/file/MCRO_27-CR-19-26893_Findings and Order_2020-09-29_20251126174721.pdf","MCRO_27-CR-19-26893_Findings and Order_2020-09-29_20251126174721.pdf")</f>
        <v>MCRO_27-CR-19-26893_Findings and Order_2020-09-29_20251126174721.pdf</v>
      </c>
      <c r="H3" s="2" t="s">
        <v>1362</v>
      </c>
      <c r="I3" s="9" t="s">
        <v>2282</v>
      </c>
      <c r="J3" s="2" t="s">
        <v>2283</v>
      </c>
    </row>
    <row r="4" customFormat="false" ht="18.7" hidden="false" customHeight="true" outlineLevel="0" collapsed="false">
      <c r="A4" s="1" t="n">
        <v>3</v>
      </c>
      <c r="B4" s="7" t="str">
        <f aca="false">HYPERLINK("https://mncourtfraud.com/file/27-CR-19-26893.pdf","27-CR-19-26893")</f>
        <v>27-CR-19-26893</v>
      </c>
      <c r="C4" s="1" t="n">
        <v>1</v>
      </c>
      <c r="D4" s="2" t="s">
        <v>12</v>
      </c>
      <c r="E4" s="8" t="n">
        <v>44439</v>
      </c>
      <c r="F4" s="2" t="s">
        <v>19</v>
      </c>
      <c r="G4" s="7" t="str">
        <f aca="false">HYPERLINK("https://mncourtfraud.com/file/MCRO_27-CR-19-26893_Findings and Order_2021-08-31_20251126174732.pdf","MCRO_27-CR-19-26893_Findings and Order_2021-08-31_20251126174732.pdf")</f>
        <v>MCRO_27-CR-19-26893_Findings and Order_2021-08-31_20251126174732.pdf</v>
      </c>
      <c r="H4" s="2" t="s">
        <v>1368</v>
      </c>
      <c r="I4" s="9" t="s">
        <v>2284</v>
      </c>
      <c r="J4" s="2" t="s">
        <v>2285</v>
      </c>
      <c r="K4" s="2" t="s">
        <v>1362</v>
      </c>
      <c r="L4" s="9" t="s">
        <v>2286</v>
      </c>
      <c r="M4" s="2" t="s">
        <v>2287</v>
      </c>
    </row>
    <row r="5" customFormat="false" ht="18.7" hidden="false" customHeight="true" outlineLevel="0" collapsed="false">
      <c r="A5" s="1" t="n">
        <v>4</v>
      </c>
      <c r="B5" s="7" t="str">
        <f aca="false">HYPERLINK("https://mncourtfraud.com/file/27-CR-19-26893.pdf","27-CR-19-26893")</f>
        <v>27-CR-19-26893</v>
      </c>
      <c r="C5" s="1" t="n">
        <v>1</v>
      </c>
      <c r="D5" s="2" t="s">
        <v>12</v>
      </c>
      <c r="E5" s="8" t="n">
        <v>44593</v>
      </c>
      <c r="F5" s="2" t="s">
        <v>19</v>
      </c>
      <c r="G5" s="7" t="str">
        <f aca="false">HYPERLINK("https://mncourtfraud.com/file/MCRO_27-CR-19-26893_Findings and Order_2022-02-01_20251126174710.pdf","MCRO_27-CR-19-26893_Findings and Order_2022-02-01_20251126174710.pdf")</f>
        <v>MCRO_27-CR-19-26893_Findings and Order_2022-02-01_20251126174710.pdf</v>
      </c>
      <c r="H5" s="2" t="s">
        <v>1368</v>
      </c>
      <c r="I5" s="9" t="s">
        <v>2288</v>
      </c>
      <c r="J5" s="2" t="s">
        <v>2289</v>
      </c>
      <c r="K5" s="2" t="s">
        <v>1362</v>
      </c>
      <c r="L5" s="9" t="s">
        <v>2290</v>
      </c>
      <c r="M5" s="2" t="s">
        <v>2291</v>
      </c>
    </row>
    <row r="6" customFormat="false" ht="18.7" hidden="false" customHeight="true" outlineLevel="0" collapsed="false">
      <c r="A6" s="1" t="n">
        <v>5</v>
      </c>
      <c r="B6" s="7" t="str">
        <f aca="false">HYPERLINK("https://mncourtfraud.com/file/27-CR-19-26893.pdf","27-CR-19-26893")</f>
        <v>27-CR-19-26893</v>
      </c>
      <c r="C6" s="1" t="n">
        <v>1</v>
      </c>
      <c r="D6" s="2" t="s">
        <v>12</v>
      </c>
      <c r="E6" s="8" t="n">
        <v>44460</v>
      </c>
      <c r="F6" s="2" t="s">
        <v>24</v>
      </c>
      <c r="G6" s="7" t="str">
        <f aca="false">HYPERLINK("https://mncourtfraud.com/file/MCRO_27-CR-19-26893_Order for Conditional Release_2021-09-21_20251126174758.pdf","MCRO_27-CR-19-26893_Order for Conditional Release_2021-09-21_20251126174758.pdf")</f>
        <v>MCRO_27-CR-19-26893_Order for Conditional Release_2021-09-21_20251126174758.pdf</v>
      </c>
      <c r="H6" s="2" t="s">
        <v>1362</v>
      </c>
      <c r="I6" s="9" t="s">
        <v>2292</v>
      </c>
      <c r="J6" s="2" t="s">
        <v>2293</v>
      </c>
    </row>
    <row r="7" customFormat="false" ht="18.7" hidden="false" customHeight="true" outlineLevel="0" collapsed="false">
      <c r="A7" s="1" t="n">
        <v>6</v>
      </c>
      <c r="B7" s="7" t="str">
        <f aca="false">HYPERLINK("https://mncourtfraud.com/file/27-CR-19-26893.pdf","27-CR-19-26893")</f>
        <v>27-CR-19-26893</v>
      </c>
      <c r="C7" s="1" t="n">
        <v>1</v>
      </c>
      <c r="D7" s="2" t="s">
        <v>12</v>
      </c>
      <c r="E7" s="8" t="n">
        <v>44468</v>
      </c>
      <c r="F7" s="2" t="s">
        <v>24</v>
      </c>
      <c r="G7" s="7" t="str">
        <f aca="false">HYPERLINK("https://mncourtfraud.com/file/MCRO_27-CR-19-26893_Order for Conditional Release_2021-09-29_20251126174746.pdf","MCRO_27-CR-19-26893_Order for Conditional Release_2021-09-29_20251126174746.pdf")</f>
        <v>MCRO_27-CR-19-26893_Order for Conditional Release_2021-09-29_20251126174746.pdf</v>
      </c>
      <c r="H7" s="2" t="s">
        <v>1362</v>
      </c>
      <c r="I7" s="9" t="s">
        <v>2294</v>
      </c>
      <c r="J7" s="2" t="s">
        <v>2295</v>
      </c>
    </row>
    <row r="8" customFormat="false" ht="18.7" hidden="false" customHeight="true" outlineLevel="0" collapsed="false">
      <c r="A8" s="1" t="n">
        <v>7</v>
      </c>
      <c r="B8" s="7" t="str">
        <f aca="false">HYPERLINK("https://mncourtfraud.com/file/27-CR-19-26893.pdf","27-CR-19-26893")</f>
        <v>27-CR-19-26893</v>
      </c>
      <c r="C8" s="1" t="n">
        <v>1</v>
      </c>
      <c r="D8" s="2" t="s">
        <v>12</v>
      </c>
      <c r="E8" s="8" t="n">
        <v>43902</v>
      </c>
      <c r="F8" s="2" t="s">
        <v>15</v>
      </c>
      <c r="G8" s="7" t="str">
        <f aca="false">HYPERLINK("https://mncourtfraud.com/file/MCRO_27-CR-19-26893_Order-Evaluation for Competency to Proceed (Rule 20.01)_2020-03-12_20251126174914.pdf","MCRO_27-CR-19-26893_Order-Evaluation for Competency to Proceed (Rule 20.01)_2020-03-12_20251126174914.pdf")</f>
        <v>MCRO_27-CR-19-26893_Order-Evaluation for Competency to Proceed (Rule 20.01)_2020-03-12_20251126174914.pdf</v>
      </c>
      <c r="H8" s="2" t="s">
        <v>1362</v>
      </c>
      <c r="I8" s="9" t="s">
        <v>2296</v>
      </c>
      <c r="J8" s="2" t="s">
        <v>2297</v>
      </c>
    </row>
    <row r="9" customFormat="false" ht="18.7" hidden="false" customHeight="true" outlineLevel="0" collapsed="false">
      <c r="A9" s="1" t="n">
        <v>8</v>
      </c>
      <c r="B9" s="7" t="str">
        <f aca="false">HYPERLINK("https://mncourtfraud.com/file/27-CR-19-26893.pdf","27-CR-19-26893")</f>
        <v>27-CR-19-26893</v>
      </c>
      <c r="C9" s="1" t="n">
        <v>1</v>
      </c>
      <c r="D9" s="2" t="s">
        <v>12</v>
      </c>
      <c r="E9" s="8" t="n">
        <v>44225</v>
      </c>
      <c r="F9" s="2" t="s">
        <v>15</v>
      </c>
      <c r="G9" s="7" t="str">
        <f aca="false">HYPERLINK("https://mncourtfraud.com/file/MCRO_27-CR-19-26893_Order-Evaluation for Competency to Proceed (Rule 20.01)_2021-01-29_20251126174927.pdf","MCRO_27-CR-19-26893_Order-Evaluation for Competency to Proceed (Rule 20.01)_2021-01-29_20251126174927.pdf")</f>
        <v>MCRO_27-CR-19-26893_Order-Evaluation for Competency to Proceed (Rule 20.01)_2021-01-29_20251126174927.pdf</v>
      </c>
      <c r="H9" s="2" t="s">
        <v>1362</v>
      </c>
      <c r="I9" s="9" t="s">
        <v>2298</v>
      </c>
      <c r="J9" s="2" t="s">
        <v>2299</v>
      </c>
    </row>
    <row r="10" customFormat="false" ht="18.7" hidden="false" customHeight="true" outlineLevel="0" collapsed="false">
      <c r="A10" s="1" t="n">
        <v>9</v>
      </c>
      <c r="B10" s="7" t="str">
        <f aca="false">HYPERLINK("https://mncourtfraud.com/file/27-CR-19-26893.pdf","27-CR-19-26893")</f>
        <v>27-CR-19-26893</v>
      </c>
      <c r="C10" s="1" t="n">
        <v>1</v>
      </c>
      <c r="D10" s="2" t="s">
        <v>12</v>
      </c>
      <c r="E10" s="8" t="n">
        <v>44396</v>
      </c>
      <c r="F10" s="2" t="s">
        <v>15</v>
      </c>
      <c r="G10" s="7" t="str">
        <f aca="false">HYPERLINK("https://mncourtfraud.com/file/MCRO_27-CR-19-26893_Order-Evaluation for Competency to Proceed (Rule 20.01)_2021-07-19_20251126174939.pdf","MCRO_27-CR-19-26893_Order-Evaluation for Competency to Proceed (Rule 20.01)_2021-07-19_20251126174939.pdf")</f>
        <v>MCRO_27-CR-19-26893_Order-Evaluation for Competency to Proceed (Rule 20.01)_2021-07-19_20251126174939.pdf</v>
      </c>
      <c r="H10" s="2" t="s">
        <v>1362</v>
      </c>
      <c r="I10" s="9" t="s">
        <v>2300</v>
      </c>
      <c r="J10" s="2" t="s">
        <v>2301</v>
      </c>
    </row>
    <row r="11" customFormat="false" ht="18.7" hidden="false" customHeight="true" outlineLevel="0" collapsed="false">
      <c r="A11" s="1" t="n">
        <v>10</v>
      </c>
      <c r="B11" s="7" t="str">
        <f aca="false">HYPERLINK("https://mncourtfraud.com/file/27-CR-19-26893.pdf","27-CR-19-26893")</f>
        <v>27-CR-19-26893</v>
      </c>
      <c r="C11" s="1" t="n">
        <v>1</v>
      </c>
      <c r="D11" s="2" t="s">
        <v>12</v>
      </c>
      <c r="E11" s="8" t="n">
        <v>44543</v>
      </c>
      <c r="F11" s="2" t="s">
        <v>15</v>
      </c>
      <c r="G11" s="7" t="str">
        <f aca="false">HYPERLINK("https://mncourtfraud.com/file/MCRO_27-CR-19-26893_Order-Evaluation for Competency to Proceed (Rule 20.01)_2021-12-13_20251126174821.pdf","MCRO_27-CR-19-26893_Order-Evaluation for Competency to Proceed (Rule 20.01)_2021-12-13_20251126174821.pdf")</f>
        <v>MCRO_27-CR-19-26893_Order-Evaluation for Competency to Proceed (Rule 20.01)_2021-12-13_20251126174821.pdf</v>
      </c>
      <c r="H11" s="2" t="s">
        <v>1362</v>
      </c>
      <c r="I11" s="9" t="s">
        <v>2302</v>
      </c>
      <c r="J11" s="2" t="s">
        <v>2303</v>
      </c>
    </row>
    <row r="12" customFormat="false" ht="18.7" hidden="false" customHeight="true" outlineLevel="0" collapsed="false">
      <c r="A12" s="1" t="n">
        <v>11</v>
      </c>
      <c r="B12" s="7" t="str">
        <f aca="false">HYPERLINK("https://mncourtfraud.com/file/27-CR-19-26893.pdf","27-CR-19-26893")</f>
        <v>27-CR-19-26893</v>
      </c>
      <c r="C12" s="1" t="n">
        <v>1</v>
      </c>
      <c r="D12" s="2" t="s">
        <v>12</v>
      </c>
      <c r="E12" s="8" t="n">
        <v>44558</v>
      </c>
      <c r="F12" s="2" t="s">
        <v>15</v>
      </c>
      <c r="G12" s="7" t="str">
        <f aca="false">HYPERLINK("https://mncourtfraud.com/file/MCRO_27-CR-19-26893_Order-Evaluation for Competency to Proceed (Rule 20.01)_2021-12-28_20251126174832.pdf","MCRO_27-CR-19-26893_Order-Evaluation for Competency to Proceed (Rule 20.01)_2021-12-28_20251126174832.pdf")</f>
        <v>MCRO_27-CR-19-26893_Order-Evaluation for Competency to Proceed (Rule 20.01)_2021-12-28_20251126174832.pdf</v>
      </c>
      <c r="H12" s="2" t="s">
        <v>1362</v>
      </c>
      <c r="I12" s="9" t="s">
        <v>2304</v>
      </c>
      <c r="J12" s="2" t="s">
        <v>2305</v>
      </c>
    </row>
    <row r="13" customFormat="false" ht="18.7" hidden="false" customHeight="true" outlineLevel="0" collapsed="false">
      <c r="A13" s="1" t="n">
        <v>12</v>
      </c>
      <c r="B13" s="7" t="str">
        <f aca="false">HYPERLINK("https://mncourtfraud.com/file/27-CR-19-26893.pdf","27-CR-19-26893")</f>
        <v>27-CR-19-26893</v>
      </c>
      <c r="C13" s="1" t="n">
        <v>1</v>
      </c>
      <c r="D13" s="2" t="s">
        <v>12</v>
      </c>
      <c r="E13" s="8" t="n">
        <v>44692</v>
      </c>
      <c r="F13" s="2" t="s">
        <v>15</v>
      </c>
      <c r="G13" s="7" t="str">
        <f aca="false">HYPERLINK("https://mncourtfraud.com/file/MCRO_27-CR-19-26893_Order-Evaluation for Competency to Proceed (Rule 20.01)_2022-05-11_20251126174846.pdf","MCRO_27-CR-19-26893_Order-Evaluation for Competency to Proceed (Rule 20.01)_2022-05-11_20251126174846.pdf")</f>
        <v>MCRO_27-CR-19-26893_Order-Evaluation for Competency to Proceed (Rule 20.01)_2022-05-11_20251126174846.pdf</v>
      </c>
      <c r="H13" s="2" t="s">
        <v>1362</v>
      </c>
      <c r="I13" s="9" t="s">
        <v>2306</v>
      </c>
      <c r="J13" s="2" t="s">
        <v>2307</v>
      </c>
    </row>
    <row r="14" customFormat="false" ht="18.7" hidden="false" customHeight="true" outlineLevel="0" collapsed="false">
      <c r="A14" s="1" t="n">
        <v>13</v>
      </c>
      <c r="B14" s="7" t="str">
        <f aca="false">HYPERLINK("https://mncourtfraud.com/file/27-CR-19-26893.pdf","27-CR-19-26893")</f>
        <v>27-CR-19-26893</v>
      </c>
      <c r="C14" s="1" t="n">
        <v>1</v>
      </c>
      <c r="D14" s="2" t="s">
        <v>12</v>
      </c>
      <c r="E14" s="8" t="n">
        <v>44895</v>
      </c>
      <c r="F14" s="2" t="s">
        <v>15</v>
      </c>
      <c r="G14" s="7" t="str">
        <f aca="false">HYPERLINK("https://mncourtfraud.com/file/MCRO_27-CR-19-26893_Order-Evaluation for Competency to Proceed (Rule 20.01)_2022-11-30_20251126174859.pdf","MCRO_27-CR-19-26893_Order-Evaluation for Competency to Proceed (Rule 20.01)_2022-11-30_20251126174859.pdf")</f>
        <v>MCRO_27-CR-19-26893_Order-Evaluation for Competency to Proceed (Rule 20.01)_2022-11-30_20251126174859.pdf</v>
      </c>
      <c r="H14" s="2" t="s">
        <v>1362</v>
      </c>
      <c r="I14" s="9" t="s">
        <v>2308</v>
      </c>
      <c r="J14" s="2" t="s">
        <v>2309</v>
      </c>
    </row>
    <row r="15" customFormat="false" ht="18.7" hidden="false" customHeight="true" outlineLevel="0" collapsed="false">
      <c r="A15" s="1" t="n">
        <v>14</v>
      </c>
      <c r="B15" s="7" t="str">
        <f aca="false">HYPERLINK("https://mncourtfraud.com/file/27-CR-19-26893.pdf","27-CR-19-26893")</f>
        <v>27-CR-19-26893</v>
      </c>
      <c r="C15" s="1" t="n">
        <v>1</v>
      </c>
      <c r="D15" s="2" t="s">
        <v>12</v>
      </c>
      <c r="E15" s="8" t="n">
        <v>43970</v>
      </c>
      <c r="F15" s="2" t="s">
        <v>17</v>
      </c>
      <c r="G15" s="7" t="str">
        <f aca="false">HYPERLINK("https://mncourtfraud.com/file/MCRO_27-CR-19-26893_Returned Mail_2020-05-19_20251126174953.pdf","MCRO_27-CR-19-26893_Returned Mail_2020-05-19_20251126174953.pdf")</f>
        <v>MCRO_27-CR-19-26893_Returned Mail_2020-05-19_20251126174953.pdf</v>
      </c>
      <c r="H15" s="2" t="s">
        <v>1362</v>
      </c>
      <c r="I15" s="9" t="s">
        <v>2310</v>
      </c>
      <c r="J15" s="2" t="s">
        <v>2311</v>
      </c>
    </row>
    <row r="16" customFormat="false" ht="18.7" hidden="false" customHeight="true" outlineLevel="0" collapsed="false">
      <c r="A16" s="1" t="n">
        <v>15</v>
      </c>
      <c r="B16" s="7" t="str">
        <f aca="false">HYPERLINK("https://mncourtfraud.com/file/27-CR-19-4578.pdf","27-CR-19-4578")</f>
        <v>27-CR-19-4578</v>
      </c>
      <c r="C16" s="1" t="n">
        <v>1</v>
      </c>
      <c r="D16" s="2" t="s">
        <v>12</v>
      </c>
      <c r="E16" s="8" t="n">
        <v>43844</v>
      </c>
      <c r="F16" s="2" t="s">
        <v>13</v>
      </c>
      <c r="G16" s="7" t="str">
        <f aca="false">HYPERLINK("https://mncourtfraud.com/file/MCRO_27-CR-19-4578_Find of Fact-Order, Pet Commitment-Dfd Found Incompetent_2020-01-14_20251126175028.pdf","MCRO_27-CR-19-4578_Find of Fact-Order, Pet Commitment-Dfd Found Incompetent_2020-01-14_20251126175028.pdf")</f>
        <v>MCRO_27-CR-19-4578_Find of Fact-Order, Pet Commitment-Dfd Found Incompetent_2020-01-14_20251126175028.pdf</v>
      </c>
      <c r="H16" s="2" t="s">
        <v>1362</v>
      </c>
      <c r="I16" s="9" t="s">
        <v>2312</v>
      </c>
      <c r="J16" s="2" t="s">
        <v>2313</v>
      </c>
    </row>
    <row r="17" customFormat="false" ht="18.7" hidden="false" customHeight="true" outlineLevel="0" collapsed="false">
      <c r="A17" s="1" t="n">
        <v>16</v>
      </c>
      <c r="B17" s="7" t="str">
        <f aca="false">HYPERLINK("https://mncourtfraud.com/file/27-CR-19-4578.pdf","27-CR-19-4578")</f>
        <v>27-CR-19-4578</v>
      </c>
      <c r="C17" s="1" t="n">
        <v>1</v>
      </c>
      <c r="D17" s="2" t="s">
        <v>12</v>
      </c>
      <c r="E17" s="8" t="n">
        <v>44103</v>
      </c>
      <c r="F17" s="2" t="s">
        <v>19</v>
      </c>
      <c r="G17" s="7" t="str">
        <f aca="false">HYPERLINK("https://mncourtfraud.com/file/MCRO_27-CR-19-4578_Findings and Order_2020-09-29_20251126175057.pdf","MCRO_27-CR-19-4578_Findings and Order_2020-09-29_20251126175057.pdf")</f>
        <v>MCRO_27-CR-19-4578_Findings and Order_2020-09-29_20251126175057.pdf</v>
      </c>
      <c r="H17" s="2" t="s">
        <v>1362</v>
      </c>
      <c r="I17" s="9" t="s">
        <v>2314</v>
      </c>
      <c r="J17" s="2" t="s">
        <v>2315</v>
      </c>
    </row>
    <row r="18" customFormat="false" ht="18.7" hidden="false" customHeight="true" outlineLevel="0" collapsed="false">
      <c r="A18" s="1" t="n">
        <v>17</v>
      </c>
      <c r="B18" s="7" t="str">
        <f aca="false">HYPERLINK("https://mncourtfraud.com/file/27-CR-19-4578.pdf","27-CR-19-4578")</f>
        <v>27-CR-19-4578</v>
      </c>
      <c r="C18" s="1" t="n">
        <v>1</v>
      </c>
      <c r="D18" s="2" t="s">
        <v>12</v>
      </c>
      <c r="E18" s="8" t="n">
        <v>44439</v>
      </c>
      <c r="F18" s="2" t="s">
        <v>19</v>
      </c>
      <c r="G18" s="7" t="str">
        <f aca="false">HYPERLINK("https://mncourtfraud.com/file/MCRO_27-CR-19-4578_Findings and Order_2021-08-31_20251126175106.pdf","MCRO_27-CR-19-4578_Findings and Order_2021-08-31_20251126175106.pdf")</f>
        <v>MCRO_27-CR-19-4578_Findings and Order_2021-08-31_20251126175106.pdf</v>
      </c>
      <c r="H18" s="2" t="s">
        <v>1368</v>
      </c>
      <c r="I18" s="9" t="s">
        <v>2284</v>
      </c>
      <c r="J18" s="2" t="s">
        <v>2285</v>
      </c>
      <c r="K18" s="2" t="s">
        <v>1362</v>
      </c>
      <c r="L18" s="9" t="s">
        <v>2316</v>
      </c>
      <c r="M18" s="2" t="s">
        <v>2317</v>
      </c>
    </row>
    <row r="19" customFormat="false" ht="18.7" hidden="false" customHeight="true" outlineLevel="0" collapsed="false">
      <c r="A19" s="1" t="n">
        <v>18</v>
      </c>
      <c r="B19" s="7" t="str">
        <f aca="false">HYPERLINK("https://mncourtfraud.com/file/27-CR-19-4578.pdf","27-CR-19-4578")</f>
        <v>27-CR-19-4578</v>
      </c>
      <c r="C19" s="1" t="n">
        <v>1</v>
      </c>
      <c r="D19" s="2" t="s">
        <v>12</v>
      </c>
      <c r="E19" s="8" t="n">
        <v>44593</v>
      </c>
      <c r="F19" s="2" t="s">
        <v>19</v>
      </c>
      <c r="G19" s="7" t="str">
        <f aca="false">HYPERLINK("https://mncourtfraud.com/file/MCRO_27-CR-19-4578_Findings and Order_2022-02-01_20251126175043.pdf","MCRO_27-CR-19-4578_Findings and Order_2022-02-01_20251126175043.pdf")</f>
        <v>MCRO_27-CR-19-4578_Findings and Order_2022-02-01_20251126175043.pdf</v>
      </c>
      <c r="H19" s="2" t="s">
        <v>1368</v>
      </c>
      <c r="I19" s="9" t="s">
        <v>2288</v>
      </c>
      <c r="J19" s="2" t="s">
        <v>2289</v>
      </c>
      <c r="K19" s="2" t="s">
        <v>1362</v>
      </c>
      <c r="L19" s="9" t="s">
        <v>2318</v>
      </c>
      <c r="M19" s="2" t="s">
        <v>2319</v>
      </c>
    </row>
    <row r="20" customFormat="false" ht="18.7" hidden="false" customHeight="true" outlineLevel="0" collapsed="false">
      <c r="A20" s="1" t="n">
        <v>19</v>
      </c>
      <c r="B20" s="7" t="str">
        <f aca="false">HYPERLINK("https://mncourtfraud.com/file/27-CR-19-4578.pdf","27-CR-19-4578")</f>
        <v>27-CR-19-4578</v>
      </c>
      <c r="C20" s="1" t="n">
        <v>1</v>
      </c>
      <c r="D20" s="2" t="s">
        <v>12</v>
      </c>
      <c r="E20" s="8" t="n">
        <v>44460</v>
      </c>
      <c r="F20" s="2" t="s">
        <v>24</v>
      </c>
      <c r="G20" s="7" t="str">
        <f aca="false">HYPERLINK("https://mncourtfraud.com/file/MCRO_27-CR-19-4578_Order for Conditional Release_2021-09-21_20251126175125.pdf","MCRO_27-CR-19-4578_Order for Conditional Release_2021-09-21_20251126175125.pdf")</f>
        <v>MCRO_27-CR-19-4578_Order for Conditional Release_2021-09-21_20251126175125.pdf</v>
      </c>
      <c r="H20" s="2" t="s">
        <v>1362</v>
      </c>
      <c r="I20" s="9" t="s">
        <v>2320</v>
      </c>
      <c r="J20" s="2" t="s">
        <v>2321</v>
      </c>
    </row>
    <row r="21" customFormat="false" ht="18.7" hidden="false" customHeight="true" outlineLevel="0" collapsed="false">
      <c r="A21" s="1" t="n">
        <v>20</v>
      </c>
      <c r="B21" s="7" t="str">
        <f aca="false">HYPERLINK("https://mncourtfraud.com/file/27-CR-19-4578.pdf","27-CR-19-4578")</f>
        <v>27-CR-19-4578</v>
      </c>
      <c r="C21" s="1" t="n">
        <v>1</v>
      </c>
      <c r="D21" s="2" t="s">
        <v>12</v>
      </c>
      <c r="E21" s="8" t="n">
        <v>44468</v>
      </c>
      <c r="F21" s="2" t="s">
        <v>24</v>
      </c>
      <c r="G21" s="7" t="str">
        <f aca="false">HYPERLINK("https://mncourtfraud.com/file/MCRO_27-CR-19-4578_Order for Conditional Release_2021-09-29_20251126175138.pdf","MCRO_27-CR-19-4578_Order for Conditional Release_2021-09-29_20251126175138.pdf")</f>
        <v>MCRO_27-CR-19-4578_Order for Conditional Release_2021-09-29_20251126175138.pdf</v>
      </c>
      <c r="H21" s="2" t="s">
        <v>1362</v>
      </c>
      <c r="I21" s="9" t="s">
        <v>2322</v>
      </c>
      <c r="J21" s="2" t="s">
        <v>2323</v>
      </c>
    </row>
    <row r="22" customFormat="false" ht="18.7" hidden="false" customHeight="true" outlineLevel="0" collapsed="false">
      <c r="A22" s="1" t="n">
        <v>21</v>
      </c>
      <c r="B22" s="7" t="str">
        <f aca="false">HYPERLINK("https://mncourtfraud.com/file/27-CR-19-4578.pdf","27-CR-19-4578")</f>
        <v>27-CR-19-4578</v>
      </c>
      <c r="C22" s="1" t="n">
        <v>1</v>
      </c>
      <c r="D22" s="2" t="s">
        <v>12</v>
      </c>
      <c r="E22" s="8" t="n">
        <v>43902</v>
      </c>
      <c r="F22" s="2" t="s">
        <v>15</v>
      </c>
      <c r="G22" s="7" t="str">
        <f aca="false">HYPERLINK("https://mncourtfraud.com/file/MCRO_27-CR-19-4578_Order-Evaluation for Competency to Proceed (Rule 20.01)_2020-03-12_20251126175310.pdf","MCRO_27-CR-19-4578_Order-Evaluation for Competency to Proceed (Rule 20.01)_2020-03-12_20251126175310.pdf")</f>
        <v>MCRO_27-CR-19-4578_Order-Evaluation for Competency to Proceed (Rule 20.01)_2020-03-12_20251126175310.pdf</v>
      </c>
      <c r="H22" s="2" t="s">
        <v>1362</v>
      </c>
      <c r="I22" s="9" t="s">
        <v>2324</v>
      </c>
      <c r="J22" s="2" t="s">
        <v>2325</v>
      </c>
    </row>
    <row r="23" customFormat="false" ht="18.7" hidden="false" customHeight="true" outlineLevel="0" collapsed="false">
      <c r="A23" s="1" t="n">
        <v>22</v>
      </c>
      <c r="B23" s="7" t="str">
        <f aca="false">HYPERLINK("https://mncourtfraud.com/file/27-CR-19-4578.pdf","27-CR-19-4578")</f>
        <v>27-CR-19-4578</v>
      </c>
      <c r="C23" s="1" t="n">
        <v>1</v>
      </c>
      <c r="D23" s="2" t="s">
        <v>12</v>
      </c>
      <c r="E23" s="8" t="n">
        <v>44225</v>
      </c>
      <c r="F23" s="2" t="s">
        <v>15</v>
      </c>
      <c r="G23" s="7" t="str">
        <f aca="false">HYPERLINK("https://mncourtfraud.com/file/MCRO_27-CR-19-4578_Order-Evaluation for Competency to Proceed (Rule 20.01)_2021-01-29_20251126175321.pdf","MCRO_27-CR-19-4578_Order-Evaluation for Competency to Proceed (Rule 20.01)_2021-01-29_20251126175321.pdf")</f>
        <v>MCRO_27-CR-19-4578_Order-Evaluation for Competency to Proceed (Rule 20.01)_2021-01-29_20251126175321.pdf</v>
      </c>
      <c r="H23" s="2" t="s">
        <v>1362</v>
      </c>
      <c r="I23" s="9" t="s">
        <v>2326</v>
      </c>
      <c r="J23" s="2" t="s">
        <v>2327</v>
      </c>
    </row>
    <row r="24" customFormat="false" ht="18.7" hidden="false" customHeight="true" outlineLevel="0" collapsed="false">
      <c r="A24" s="1" t="n">
        <v>23</v>
      </c>
      <c r="B24" s="7" t="str">
        <f aca="false">HYPERLINK("https://mncourtfraud.com/file/27-CR-19-4578.pdf","27-CR-19-4578")</f>
        <v>27-CR-19-4578</v>
      </c>
      <c r="C24" s="1" t="n">
        <v>1</v>
      </c>
      <c r="D24" s="2" t="s">
        <v>12</v>
      </c>
      <c r="E24" s="8" t="n">
        <v>44396</v>
      </c>
      <c r="F24" s="2" t="s">
        <v>15</v>
      </c>
      <c r="G24" s="7" t="str">
        <f aca="false">HYPERLINK("https://mncourtfraud.com/file/MCRO_27-CR-19-4578_Order-Evaluation for Competency to Proceed (Rule 20.01)_2021-07-19_20251126175155.pdf","MCRO_27-CR-19-4578_Order-Evaluation for Competency to Proceed (Rule 20.01)_2021-07-19_20251126175155.pdf")</f>
        <v>MCRO_27-CR-19-4578_Order-Evaluation for Competency to Proceed (Rule 20.01)_2021-07-19_20251126175155.pdf</v>
      </c>
      <c r="H24" s="2" t="s">
        <v>1362</v>
      </c>
      <c r="I24" s="9" t="s">
        <v>2328</v>
      </c>
      <c r="J24" s="2" t="s">
        <v>2329</v>
      </c>
    </row>
    <row r="25" customFormat="false" ht="18.7" hidden="false" customHeight="true" outlineLevel="0" collapsed="false">
      <c r="A25" s="1" t="n">
        <v>24</v>
      </c>
      <c r="B25" s="7" t="str">
        <f aca="false">HYPERLINK("https://mncourtfraud.com/file/27-CR-19-4578.pdf","27-CR-19-4578")</f>
        <v>27-CR-19-4578</v>
      </c>
      <c r="C25" s="1" t="n">
        <v>1</v>
      </c>
      <c r="D25" s="2" t="s">
        <v>12</v>
      </c>
      <c r="E25" s="8" t="n">
        <v>44543</v>
      </c>
      <c r="F25" s="2" t="s">
        <v>15</v>
      </c>
      <c r="G25" s="7" t="str">
        <f aca="false">HYPERLINK("https://mncourtfraud.com/file/MCRO_27-CR-19-4578_Order-Evaluation for Competency to Proceed (Rule 20.01)_2021-12-13_20251126175209.pdf","MCRO_27-CR-19-4578_Order-Evaluation for Competency to Proceed (Rule 20.01)_2021-12-13_20251126175209.pdf")</f>
        <v>MCRO_27-CR-19-4578_Order-Evaluation for Competency to Proceed (Rule 20.01)_2021-12-13_20251126175209.pdf</v>
      </c>
      <c r="H25" s="2" t="s">
        <v>1362</v>
      </c>
      <c r="I25" s="9" t="s">
        <v>2330</v>
      </c>
      <c r="J25" s="2" t="s">
        <v>2331</v>
      </c>
    </row>
    <row r="26" customFormat="false" ht="18.7" hidden="false" customHeight="true" outlineLevel="0" collapsed="false">
      <c r="A26" s="1" t="n">
        <v>25</v>
      </c>
      <c r="B26" s="7" t="str">
        <f aca="false">HYPERLINK("https://mncourtfraud.com/file/27-CR-19-4578.pdf","27-CR-19-4578")</f>
        <v>27-CR-19-4578</v>
      </c>
      <c r="C26" s="1" t="n">
        <v>1</v>
      </c>
      <c r="D26" s="2" t="s">
        <v>12</v>
      </c>
      <c r="E26" s="8" t="n">
        <v>44558</v>
      </c>
      <c r="F26" s="2" t="s">
        <v>15</v>
      </c>
      <c r="G26" s="7" t="str">
        <f aca="false">HYPERLINK("https://mncourtfraud.com/file/MCRO_27-CR-19-4578_Order-Evaluation for Competency to Proceed (Rule 20.01)_2021-12-28_20251126175221.pdf","MCRO_27-CR-19-4578_Order-Evaluation for Competency to Proceed (Rule 20.01)_2021-12-28_20251126175221.pdf")</f>
        <v>MCRO_27-CR-19-4578_Order-Evaluation for Competency to Proceed (Rule 20.01)_2021-12-28_20251126175221.pdf</v>
      </c>
      <c r="H26" s="2" t="s">
        <v>1362</v>
      </c>
      <c r="I26" s="9" t="s">
        <v>2332</v>
      </c>
      <c r="J26" s="2" t="s">
        <v>2333</v>
      </c>
    </row>
    <row r="27" customFormat="false" ht="18.7" hidden="false" customHeight="true" outlineLevel="0" collapsed="false">
      <c r="A27" s="1" t="n">
        <v>26</v>
      </c>
      <c r="B27" s="7" t="str">
        <f aca="false">HYPERLINK("https://mncourtfraud.com/file/27-CR-19-4578.pdf","27-CR-19-4578")</f>
        <v>27-CR-19-4578</v>
      </c>
      <c r="C27" s="1" t="n">
        <v>1</v>
      </c>
      <c r="D27" s="2" t="s">
        <v>12</v>
      </c>
      <c r="E27" s="8" t="n">
        <v>44692</v>
      </c>
      <c r="F27" s="2" t="s">
        <v>15</v>
      </c>
      <c r="G27" s="7" t="str">
        <f aca="false">HYPERLINK("https://mncourtfraud.com/file/MCRO_27-CR-19-4578_Order-Evaluation for Competency to Proceed (Rule 20.01)_2022-05-11_20251126175233.pdf","MCRO_27-CR-19-4578_Order-Evaluation for Competency to Proceed (Rule 20.01)_2022-05-11_20251126175233.pdf")</f>
        <v>MCRO_27-CR-19-4578_Order-Evaluation for Competency to Proceed (Rule 20.01)_2022-05-11_20251126175233.pdf</v>
      </c>
      <c r="H27" s="2" t="s">
        <v>1362</v>
      </c>
      <c r="I27" s="9" t="s">
        <v>2334</v>
      </c>
      <c r="J27" s="2" t="s">
        <v>2307</v>
      </c>
    </row>
    <row r="28" customFormat="false" ht="18.7" hidden="false" customHeight="true" outlineLevel="0" collapsed="false">
      <c r="A28" s="1" t="n">
        <v>27</v>
      </c>
      <c r="B28" s="7" t="str">
        <f aca="false">HYPERLINK("https://mncourtfraud.com/file/27-CR-19-4578.pdf","27-CR-19-4578")</f>
        <v>27-CR-19-4578</v>
      </c>
      <c r="C28" s="1" t="n">
        <v>1</v>
      </c>
      <c r="D28" s="2" t="s">
        <v>12</v>
      </c>
      <c r="E28" s="8" t="n">
        <v>44895</v>
      </c>
      <c r="F28" s="2" t="s">
        <v>15</v>
      </c>
      <c r="G28" s="7" t="str">
        <f aca="false">HYPERLINK("https://mncourtfraud.com/file/MCRO_27-CR-19-4578_Order-Evaluation for Competency to Proceed (Rule 20.01)_2022-11-30_20251126175245.pdf","MCRO_27-CR-19-4578_Order-Evaluation for Competency to Proceed (Rule 20.01)_2022-11-30_20251126175245.pdf")</f>
        <v>MCRO_27-CR-19-4578_Order-Evaluation for Competency to Proceed (Rule 20.01)_2022-11-30_20251126175245.pdf</v>
      </c>
      <c r="H28" s="2" t="s">
        <v>1362</v>
      </c>
      <c r="I28" s="9" t="s">
        <v>2335</v>
      </c>
      <c r="J28" s="2" t="s">
        <v>2336</v>
      </c>
    </row>
    <row r="29" customFormat="false" ht="18.7" hidden="false" customHeight="true" outlineLevel="0" collapsed="false">
      <c r="A29" s="1" t="n">
        <v>28</v>
      </c>
      <c r="B29" s="7" t="str">
        <f aca="false">HYPERLINK("https://mncourtfraud.com/file/27-CR-19-4578.pdf","27-CR-19-4578")</f>
        <v>27-CR-19-4578</v>
      </c>
      <c r="C29" s="1" t="n">
        <v>1</v>
      </c>
      <c r="D29" s="2" t="s">
        <v>12</v>
      </c>
      <c r="E29" s="8" t="n">
        <v>43970</v>
      </c>
      <c r="F29" s="2" t="s">
        <v>17</v>
      </c>
      <c r="G29" s="7" t="str">
        <f aca="false">HYPERLINK("https://mncourtfraud.com/file/MCRO_27-CR-19-4578_Returned Mail_2020-05-19_20251126175340.pdf","MCRO_27-CR-19-4578_Returned Mail_2020-05-19_20251126175340.pdf")</f>
        <v>MCRO_27-CR-19-4578_Returned Mail_2020-05-19_20251126175340.pdf</v>
      </c>
      <c r="H29" s="2" t="s">
        <v>1362</v>
      </c>
      <c r="I29" s="9" t="s">
        <v>2337</v>
      </c>
      <c r="J29" s="2" t="s">
        <v>2338</v>
      </c>
    </row>
    <row r="30" customFormat="false" ht="18.7" hidden="false" customHeight="true" outlineLevel="0" collapsed="false">
      <c r="A30" s="1" t="n">
        <v>29</v>
      </c>
      <c r="B30" s="7" t="str">
        <f aca="false">HYPERLINK("https://mncourtfraud.com/file/27-CR-19-5875.pdf","27-CR-19-5875")</f>
        <v>27-CR-19-5875</v>
      </c>
      <c r="C30" s="1" t="n">
        <v>1</v>
      </c>
      <c r="D30" s="2" t="s">
        <v>12</v>
      </c>
      <c r="E30" s="8" t="n">
        <v>43844</v>
      </c>
      <c r="F30" s="2" t="s">
        <v>13</v>
      </c>
      <c r="G30" s="7" t="str">
        <f aca="false">HYPERLINK("https://mncourtfraud.com/file/MCRO_27-CR-19-5875_Find of Fact-Order, Pet Commitment-Dfd Found Incompetent_2020-01-14_20251126175409.pdf","MCRO_27-CR-19-5875_Find of Fact-Order, Pet Commitment-Dfd Found Incompetent_2020-01-14_20251126175409.pdf")</f>
        <v>MCRO_27-CR-19-5875_Find of Fact-Order, Pet Commitment-Dfd Found Incompetent_2020-01-14_20251126175409.pdf</v>
      </c>
      <c r="H30" s="2" t="s">
        <v>1362</v>
      </c>
      <c r="I30" s="9" t="s">
        <v>2339</v>
      </c>
      <c r="J30" s="2" t="s">
        <v>2340</v>
      </c>
    </row>
    <row r="31" customFormat="false" ht="18.7" hidden="false" customHeight="true" outlineLevel="0" collapsed="false">
      <c r="A31" s="1" t="n">
        <v>30</v>
      </c>
      <c r="B31" s="7" t="str">
        <f aca="false">HYPERLINK("https://mncourtfraud.com/file/27-CR-19-5875.pdf","27-CR-19-5875")</f>
        <v>27-CR-19-5875</v>
      </c>
      <c r="C31" s="1" t="n">
        <v>1</v>
      </c>
      <c r="D31" s="2" t="s">
        <v>12</v>
      </c>
      <c r="E31" s="8" t="n">
        <v>44103</v>
      </c>
      <c r="F31" s="2" t="s">
        <v>19</v>
      </c>
      <c r="G31" s="7" t="str">
        <f aca="false">HYPERLINK("https://mncourtfraud.com/file/MCRO_27-CR-19-5875_Findings and Order_2020-09-29_20251126175434.pdf","MCRO_27-CR-19-5875_Findings and Order_2020-09-29_20251126175434.pdf")</f>
        <v>MCRO_27-CR-19-5875_Findings and Order_2020-09-29_20251126175434.pdf</v>
      </c>
      <c r="H31" s="2" t="s">
        <v>1362</v>
      </c>
      <c r="I31" s="9" t="s">
        <v>2341</v>
      </c>
      <c r="J31" s="2" t="s">
        <v>2342</v>
      </c>
    </row>
    <row r="32" customFormat="false" ht="18.7" hidden="false" customHeight="true" outlineLevel="0" collapsed="false">
      <c r="A32" s="1" t="n">
        <v>31</v>
      </c>
      <c r="B32" s="7" t="str">
        <f aca="false">HYPERLINK("https://mncourtfraud.com/file/27-CR-19-5875.pdf","27-CR-19-5875")</f>
        <v>27-CR-19-5875</v>
      </c>
      <c r="C32" s="1" t="n">
        <v>1</v>
      </c>
      <c r="D32" s="2" t="s">
        <v>12</v>
      </c>
      <c r="E32" s="8" t="n">
        <v>44439</v>
      </c>
      <c r="F32" s="2" t="s">
        <v>19</v>
      </c>
      <c r="G32" s="7" t="str">
        <f aca="false">HYPERLINK("https://mncourtfraud.com/file/MCRO_27-CR-19-5875_Findings and Order_2021-08-31_20251126175446.pdf","MCRO_27-CR-19-5875_Findings and Order_2021-08-31_20251126175446.pdf")</f>
        <v>MCRO_27-CR-19-5875_Findings and Order_2021-08-31_20251126175446.pdf</v>
      </c>
      <c r="H32" s="2" t="s">
        <v>1368</v>
      </c>
      <c r="I32" s="9" t="s">
        <v>2284</v>
      </c>
      <c r="J32" s="2" t="s">
        <v>2285</v>
      </c>
      <c r="K32" s="2" t="s">
        <v>1362</v>
      </c>
      <c r="L32" s="9" t="s">
        <v>2343</v>
      </c>
      <c r="M32" s="2" t="s">
        <v>2344</v>
      </c>
    </row>
    <row r="33" customFormat="false" ht="18.7" hidden="false" customHeight="true" outlineLevel="0" collapsed="false">
      <c r="A33" s="1" t="n">
        <v>32</v>
      </c>
      <c r="B33" s="7" t="str">
        <f aca="false">HYPERLINK("https://mncourtfraud.com/file/27-CR-19-5875.pdf","27-CR-19-5875")</f>
        <v>27-CR-19-5875</v>
      </c>
      <c r="C33" s="1" t="n">
        <v>1</v>
      </c>
      <c r="D33" s="2" t="s">
        <v>12</v>
      </c>
      <c r="E33" s="8" t="n">
        <v>44593</v>
      </c>
      <c r="F33" s="2" t="s">
        <v>19</v>
      </c>
      <c r="G33" s="7" t="str">
        <f aca="false">HYPERLINK("https://mncourtfraud.com/file/MCRO_27-CR-19-5875_Findings and Order_2022-02-01_20251126175424.pdf","MCRO_27-CR-19-5875_Findings and Order_2022-02-01_20251126175424.pdf")</f>
        <v>MCRO_27-CR-19-5875_Findings and Order_2022-02-01_20251126175424.pdf</v>
      </c>
      <c r="H33" s="2" t="s">
        <v>1368</v>
      </c>
      <c r="I33" s="9" t="s">
        <v>2288</v>
      </c>
      <c r="J33" s="2" t="s">
        <v>2289</v>
      </c>
      <c r="K33" s="2" t="s">
        <v>1362</v>
      </c>
      <c r="L33" s="9" t="s">
        <v>2345</v>
      </c>
      <c r="M33" s="2" t="s">
        <v>2346</v>
      </c>
    </row>
    <row r="34" customFormat="false" ht="18.7" hidden="false" customHeight="true" outlineLevel="0" collapsed="false">
      <c r="A34" s="1" t="n">
        <v>33</v>
      </c>
      <c r="B34" s="7" t="str">
        <f aca="false">HYPERLINK("https://mncourtfraud.com/file/27-CR-19-5875.pdf","27-CR-19-5875")</f>
        <v>27-CR-19-5875</v>
      </c>
      <c r="C34" s="1" t="n">
        <v>1</v>
      </c>
      <c r="D34" s="2" t="s">
        <v>12</v>
      </c>
      <c r="E34" s="8" t="n">
        <v>44460</v>
      </c>
      <c r="F34" s="2" t="s">
        <v>24</v>
      </c>
      <c r="G34" s="7" t="str">
        <f aca="false">HYPERLINK("https://mncourtfraud.com/file/MCRO_27-CR-19-5875_Order for Conditional Release_2021-09-21_20251126175513.pdf","MCRO_27-CR-19-5875_Order for Conditional Release_2021-09-21_20251126175513.pdf")</f>
        <v>MCRO_27-CR-19-5875_Order for Conditional Release_2021-09-21_20251126175513.pdf</v>
      </c>
      <c r="H34" s="2" t="s">
        <v>1362</v>
      </c>
      <c r="I34" s="9" t="s">
        <v>2347</v>
      </c>
      <c r="J34" s="2" t="s">
        <v>2293</v>
      </c>
    </row>
    <row r="35" customFormat="false" ht="18.7" hidden="false" customHeight="true" outlineLevel="0" collapsed="false">
      <c r="A35" s="1" t="n">
        <v>34</v>
      </c>
      <c r="B35" s="7" t="str">
        <f aca="false">HYPERLINK("https://mncourtfraud.com/file/27-CR-19-5875.pdf","27-CR-19-5875")</f>
        <v>27-CR-19-5875</v>
      </c>
      <c r="C35" s="1" t="n">
        <v>1</v>
      </c>
      <c r="D35" s="2" t="s">
        <v>12</v>
      </c>
      <c r="E35" s="8" t="n">
        <v>44468</v>
      </c>
      <c r="F35" s="2" t="s">
        <v>24</v>
      </c>
      <c r="G35" s="7" t="str">
        <f aca="false">HYPERLINK("https://mncourtfraud.com/file/MCRO_27-CR-19-5875_Order for Conditional Release_2021-09-29_20251126175502.pdf","MCRO_27-CR-19-5875_Order for Conditional Release_2021-09-29_20251126175502.pdf")</f>
        <v>MCRO_27-CR-19-5875_Order for Conditional Release_2021-09-29_20251126175502.pdf</v>
      </c>
      <c r="H35" s="2" t="s">
        <v>1362</v>
      </c>
      <c r="I35" s="9" t="s">
        <v>2348</v>
      </c>
      <c r="J35" s="2" t="s">
        <v>2295</v>
      </c>
    </row>
    <row r="36" customFormat="false" ht="18.7" hidden="false" customHeight="true" outlineLevel="0" collapsed="false">
      <c r="A36" s="1" t="n">
        <v>35</v>
      </c>
      <c r="B36" s="7" t="str">
        <f aca="false">HYPERLINK("https://mncourtfraud.com/file/27-CR-19-5875.pdf","27-CR-19-5875")</f>
        <v>27-CR-19-5875</v>
      </c>
      <c r="C36" s="1" t="n">
        <v>1</v>
      </c>
      <c r="D36" s="2" t="s">
        <v>12</v>
      </c>
      <c r="E36" s="8" t="n">
        <v>43902</v>
      </c>
      <c r="F36" s="2" t="s">
        <v>15</v>
      </c>
      <c r="G36" s="7" t="str">
        <f aca="false">HYPERLINK("https://mncourtfraud.com/file/MCRO_27-CR-19-5875_Order-Evaluation for Competency to Proceed (Rule 20.01)_2020-03-12_20251126175636.pdf","MCRO_27-CR-19-5875_Order-Evaluation for Competency to Proceed (Rule 20.01)_2020-03-12_20251126175636.pdf")</f>
        <v>MCRO_27-CR-19-5875_Order-Evaluation for Competency to Proceed (Rule 20.01)_2020-03-12_20251126175636.pdf</v>
      </c>
      <c r="H36" s="2" t="s">
        <v>1362</v>
      </c>
      <c r="I36" s="9" t="s">
        <v>2349</v>
      </c>
      <c r="J36" s="2" t="s">
        <v>2350</v>
      </c>
    </row>
    <row r="37" customFormat="false" ht="18.7" hidden="false" customHeight="true" outlineLevel="0" collapsed="false">
      <c r="A37" s="1" t="n">
        <v>36</v>
      </c>
      <c r="B37" s="7" t="str">
        <f aca="false">HYPERLINK("https://mncourtfraud.com/file/27-CR-19-5875.pdf","27-CR-19-5875")</f>
        <v>27-CR-19-5875</v>
      </c>
      <c r="C37" s="1" t="n">
        <v>1</v>
      </c>
      <c r="D37" s="2" t="s">
        <v>12</v>
      </c>
      <c r="E37" s="8" t="n">
        <v>44225</v>
      </c>
      <c r="F37" s="2" t="s">
        <v>15</v>
      </c>
      <c r="G37" s="7" t="str">
        <f aca="false">HYPERLINK("https://mncourtfraud.com/file/MCRO_27-CR-19-5875_Order-Evaluation for Competency to Proceed (Rule 20.01)_2021-01-29_20251126175645.pdf","MCRO_27-CR-19-5875_Order-Evaluation for Competency to Proceed (Rule 20.01)_2021-01-29_20251126175645.pdf")</f>
        <v>MCRO_27-CR-19-5875_Order-Evaluation for Competency to Proceed (Rule 20.01)_2021-01-29_20251126175645.pdf</v>
      </c>
      <c r="H37" s="2" t="s">
        <v>1362</v>
      </c>
      <c r="I37" s="9" t="s">
        <v>2351</v>
      </c>
      <c r="J37" s="2" t="s">
        <v>2352</v>
      </c>
    </row>
    <row r="38" customFormat="false" ht="18.7" hidden="false" customHeight="true" outlineLevel="0" collapsed="false">
      <c r="A38" s="1" t="n">
        <v>37</v>
      </c>
      <c r="B38" s="7" t="str">
        <f aca="false">HYPERLINK("https://mncourtfraud.com/file/27-CR-19-5875.pdf","27-CR-19-5875")</f>
        <v>27-CR-19-5875</v>
      </c>
      <c r="C38" s="1" t="n">
        <v>1</v>
      </c>
      <c r="D38" s="2" t="s">
        <v>12</v>
      </c>
      <c r="E38" s="8" t="n">
        <v>44396</v>
      </c>
      <c r="F38" s="2" t="s">
        <v>15</v>
      </c>
      <c r="G38" s="7" t="str">
        <f aca="false">HYPERLINK("https://mncourtfraud.com/file/MCRO_27-CR-19-5875_Order-Evaluation for Competency to Proceed (Rule 20.01)_2021-07-19_20251126175529.pdf","MCRO_27-CR-19-5875_Order-Evaluation for Competency to Proceed (Rule 20.01)_2021-07-19_20251126175529.pdf")</f>
        <v>MCRO_27-CR-19-5875_Order-Evaluation for Competency to Proceed (Rule 20.01)_2021-07-19_20251126175529.pdf</v>
      </c>
      <c r="H38" s="2" t="s">
        <v>1362</v>
      </c>
      <c r="I38" s="9" t="s">
        <v>2353</v>
      </c>
      <c r="J38" s="2" t="s">
        <v>2354</v>
      </c>
    </row>
    <row r="39" customFormat="false" ht="18.7" hidden="false" customHeight="true" outlineLevel="0" collapsed="false">
      <c r="A39" s="1" t="n">
        <v>38</v>
      </c>
      <c r="B39" s="7" t="str">
        <f aca="false">HYPERLINK("https://mncourtfraud.com/file/27-CR-19-5875.pdf","27-CR-19-5875")</f>
        <v>27-CR-19-5875</v>
      </c>
      <c r="C39" s="1" t="n">
        <v>1</v>
      </c>
      <c r="D39" s="2" t="s">
        <v>12</v>
      </c>
      <c r="E39" s="8" t="n">
        <v>44543</v>
      </c>
      <c r="F39" s="2" t="s">
        <v>15</v>
      </c>
      <c r="G39" s="7" t="str">
        <f aca="false">HYPERLINK("https://mncourtfraud.com/file/MCRO_27-CR-19-5875_Order-Evaluation for Competency to Proceed (Rule 20.01)_2021-12-13_20251126175541.pdf","MCRO_27-CR-19-5875_Order-Evaluation for Competency to Proceed (Rule 20.01)_2021-12-13_20251126175541.pdf")</f>
        <v>MCRO_27-CR-19-5875_Order-Evaluation for Competency to Proceed (Rule 20.01)_2021-12-13_20251126175541.pdf</v>
      </c>
      <c r="H39" s="2" t="s">
        <v>1362</v>
      </c>
      <c r="I39" s="9" t="s">
        <v>2355</v>
      </c>
      <c r="J39" s="2" t="s">
        <v>2356</v>
      </c>
    </row>
    <row r="40" customFormat="false" ht="18.7" hidden="false" customHeight="true" outlineLevel="0" collapsed="false">
      <c r="A40" s="1" t="n">
        <v>39</v>
      </c>
      <c r="B40" s="7" t="str">
        <f aca="false">HYPERLINK("https://mncourtfraud.com/file/27-CR-19-5875.pdf","27-CR-19-5875")</f>
        <v>27-CR-19-5875</v>
      </c>
      <c r="C40" s="1" t="n">
        <v>1</v>
      </c>
      <c r="D40" s="2" t="s">
        <v>12</v>
      </c>
      <c r="E40" s="8" t="n">
        <v>44558</v>
      </c>
      <c r="F40" s="2" t="s">
        <v>15</v>
      </c>
      <c r="G40" s="7" t="str">
        <f aca="false">HYPERLINK("https://mncourtfraud.com/file/MCRO_27-CR-19-5875_Order-Evaluation for Competency to Proceed (Rule 20.01)_2021-12-28_20251126175553.pdf","MCRO_27-CR-19-5875_Order-Evaluation for Competency to Proceed (Rule 20.01)_2021-12-28_20251126175553.pdf")</f>
        <v>MCRO_27-CR-19-5875_Order-Evaluation for Competency to Proceed (Rule 20.01)_2021-12-28_20251126175553.pdf</v>
      </c>
      <c r="H40" s="2" t="s">
        <v>1362</v>
      </c>
      <c r="I40" s="9" t="s">
        <v>2357</v>
      </c>
      <c r="J40" s="2" t="s">
        <v>2358</v>
      </c>
    </row>
    <row r="41" customFormat="false" ht="18.7" hidden="false" customHeight="true" outlineLevel="0" collapsed="false">
      <c r="A41" s="1" t="n">
        <v>40</v>
      </c>
      <c r="B41" s="7" t="str">
        <f aca="false">HYPERLINK("https://mncourtfraud.com/file/27-CR-19-5875.pdf","27-CR-19-5875")</f>
        <v>27-CR-19-5875</v>
      </c>
      <c r="C41" s="1" t="n">
        <v>1</v>
      </c>
      <c r="D41" s="2" t="s">
        <v>12</v>
      </c>
      <c r="E41" s="8" t="n">
        <v>44692</v>
      </c>
      <c r="F41" s="2" t="s">
        <v>15</v>
      </c>
      <c r="G41" s="7" t="str">
        <f aca="false">HYPERLINK("https://mncourtfraud.com/file/MCRO_27-CR-19-5875_Order-Evaluation for Competency to Proceed (Rule 20.01)_2022-05-11_20251126175604.pdf","MCRO_27-CR-19-5875_Order-Evaluation for Competency to Proceed (Rule 20.01)_2022-05-11_20251126175604.pdf")</f>
        <v>MCRO_27-CR-19-5875_Order-Evaluation for Competency to Proceed (Rule 20.01)_2022-05-11_20251126175604.pdf</v>
      </c>
      <c r="H41" s="2" t="s">
        <v>1362</v>
      </c>
      <c r="I41" s="9" t="s">
        <v>2359</v>
      </c>
      <c r="J41" s="2" t="s">
        <v>2360</v>
      </c>
    </row>
    <row r="42" customFormat="false" ht="18.7" hidden="false" customHeight="true" outlineLevel="0" collapsed="false">
      <c r="A42" s="1" t="n">
        <v>41</v>
      </c>
      <c r="B42" s="7" t="str">
        <f aca="false">HYPERLINK("https://mncourtfraud.com/file/27-CR-19-5875.pdf","27-CR-19-5875")</f>
        <v>27-CR-19-5875</v>
      </c>
      <c r="C42" s="1" t="n">
        <v>1</v>
      </c>
      <c r="D42" s="2" t="s">
        <v>12</v>
      </c>
      <c r="E42" s="8" t="n">
        <v>44895</v>
      </c>
      <c r="F42" s="2" t="s">
        <v>15</v>
      </c>
      <c r="G42" s="7" t="str">
        <f aca="false">HYPERLINK("https://mncourtfraud.com/file/MCRO_27-CR-19-5875_Order-Evaluation for Competency to Proceed (Rule 20.01)_2022-11-30_20251126175616.pdf","MCRO_27-CR-19-5875_Order-Evaluation for Competency to Proceed (Rule 20.01)_2022-11-30_20251126175616.pdf")</f>
        <v>MCRO_27-CR-19-5875_Order-Evaluation for Competency to Proceed (Rule 20.01)_2022-11-30_20251126175616.pdf</v>
      </c>
      <c r="H42" s="2" t="s">
        <v>1362</v>
      </c>
      <c r="I42" s="9" t="s">
        <v>2361</v>
      </c>
      <c r="J42" s="2" t="s">
        <v>2362</v>
      </c>
    </row>
    <row r="43" customFormat="false" ht="18.7" hidden="false" customHeight="true" outlineLevel="0" collapsed="false">
      <c r="A43" s="1" t="n">
        <v>42</v>
      </c>
      <c r="B43" s="7" t="str">
        <f aca="false">HYPERLINK("https://mncourtfraud.com/file/27-CR-19-5875.pdf","27-CR-19-5875")</f>
        <v>27-CR-19-5875</v>
      </c>
      <c r="C43" s="1" t="n">
        <v>1</v>
      </c>
      <c r="D43" s="2" t="s">
        <v>12</v>
      </c>
      <c r="E43" s="8" t="n">
        <v>43970</v>
      </c>
      <c r="F43" s="2" t="s">
        <v>17</v>
      </c>
      <c r="G43" s="7" t="str">
        <f aca="false">HYPERLINK("https://mncourtfraud.com/file/MCRO_27-CR-19-5875_Returned Mail_2020-05-19_20251126175700.pdf","MCRO_27-CR-19-5875_Returned Mail_2020-05-19_20251126175700.pdf")</f>
        <v>MCRO_27-CR-19-5875_Returned Mail_2020-05-19_20251126175700.pdf</v>
      </c>
      <c r="H43" s="2" t="s">
        <v>1362</v>
      </c>
      <c r="I43" s="9" t="s">
        <v>2363</v>
      </c>
      <c r="J43" s="2" t="s">
        <v>2364</v>
      </c>
    </row>
    <row r="44" customFormat="false" ht="18.7" hidden="false" customHeight="true" outlineLevel="0" collapsed="false">
      <c r="A44" s="1" t="n">
        <v>43</v>
      </c>
      <c r="B44" s="7" t="str">
        <f aca="false">HYPERLINK("https://mncourtfraud.com/file/27-CR-20-14626.pdf","27-CR-20-14626")</f>
        <v>27-CR-20-14626</v>
      </c>
      <c r="C44" s="1" t="n">
        <v>1</v>
      </c>
      <c r="D44" s="2" t="s">
        <v>12</v>
      </c>
      <c r="E44" s="8" t="n">
        <v>44103</v>
      </c>
      <c r="F44" s="2" t="s">
        <v>19</v>
      </c>
      <c r="G44" s="7" t="str">
        <f aca="false">HYPERLINK("https://mncourtfraud.com/file/MCRO_27-CR-20-14626_Findings and Order_2020-09-29_20251126175748.pdf","MCRO_27-CR-20-14626_Findings and Order_2020-09-29_20251126175748.pdf")</f>
        <v>MCRO_27-CR-20-14626_Findings and Order_2020-09-29_20251126175748.pdf</v>
      </c>
      <c r="H44" s="2" t="s">
        <v>1362</v>
      </c>
      <c r="I44" s="9" t="s">
        <v>2365</v>
      </c>
      <c r="J44" s="2" t="s">
        <v>2366</v>
      </c>
    </row>
    <row r="45" customFormat="false" ht="18.7" hidden="false" customHeight="true" outlineLevel="0" collapsed="false">
      <c r="A45" s="1" t="n">
        <v>44</v>
      </c>
      <c r="B45" s="7" t="str">
        <f aca="false">HYPERLINK("https://mncourtfraud.com/file/27-CR-20-14626.pdf","27-CR-20-14626")</f>
        <v>27-CR-20-14626</v>
      </c>
      <c r="C45" s="1" t="n">
        <v>1</v>
      </c>
      <c r="D45" s="2" t="s">
        <v>12</v>
      </c>
      <c r="E45" s="8" t="n">
        <v>44439</v>
      </c>
      <c r="F45" s="2" t="s">
        <v>19</v>
      </c>
      <c r="G45" s="7" t="str">
        <f aca="false">HYPERLINK("https://mncourtfraud.com/file/MCRO_27-CR-20-14626_Findings and Order_2021-08-31_20251126175800.pdf","MCRO_27-CR-20-14626_Findings and Order_2021-08-31_20251126175800.pdf")</f>
        <v>MCRO_27-CR-20-14626_Findings and Order_2021-08-31_20251126175800.pdf</v>
      </c>
      <c r="H45" s="2" t="s">
        <v>1368</v>
      </c>
      <c r="I45" s="9" t="s">
        <v>2284</v>
      </c>
      <c r="J45" s="2" t="s">
        <v>2285</v>
      </c>
      <c r="K45" s="2" t="s">
        <v>1362</v>
      </c>
      <c r="L45" s="9" t="s">
        <v>2367</v>
      </c>
      <c r="M45" s="2" t="s">
        <v>2368</v>
      </c>
    </row>
    <row r="46" customFormat="false" ht="18.7" hidden="false" customHeight="true" outlineLevel="0" collapsed="false">
      <c r="A46" s="1" t="n">
        <v>45</v>
      </c>
      <c r="B46" s="7" t="str">
        <f aca="false">HYPERLINK("https://mncourtfraud.com/file/27-CR-20-14626.pdf","27-CR-20-14626")</f>
        <v>27-CR-20-14626</v>
      </c>
      <c r="C46" s="1" t="n">
        <v>1</v>
      </c>
      <c r="D46" s="2" t="s">
        <v>12</v>
      </c>
      <c r="E46" s="8" t="n">
        <v>44593</v>
      </c>
      <c r="F46" s="2" t="s">
        <v>19</v>
      </c>
      <c r="G46" s="7" t="str">
        <f aca="false">HYPERLINK("https://mncourtfraud.com/file/MCRO_27-CR-20-14626_Findings and Order_2022-02-01_20251126175736.pdf","MCRO_27-CR-20-14626_Findings and Order_2022-02-01_20251126175736.pdf")</f>
        <v>MCRO_27-CR-20-14626_Findings and Order_2022-02-01_20251126175736.pdf</v>
      </c>
      <c r="H46" s="2" t="s">
        <v>1368</v>
      </c>
      <c r="I46" s="9" t="s">
        <v>2288</v>
      </c>
      <c r="J46" s="2" t="s">
        <v>2289</v>
      </c>
      <c r="K46" s="2" t="s">
        <v>1362</v>
      </c>
      <c r="L46" s="9" t="s">
        <v>2369</v>
      </c>
      <c r="M46" s="2" t="s">
        <v>2370</v>
      </c>
    </row>
    <row r="47" customFormat="false" ht="18.7" hidden="false" customHeight="true" outlineLevel="0" collapsed="false">
      <c r="A47" s="1" t="n">
        <v>46</v>
      </c>
      <c r="B47" s="7" t="str">
        <f aca="false">HYPERLINK("https://mncourtfraud.com/file/27-CR-20-14626.pdf","27-CR-20-14626")</f>
        <v>27-CR-20-14626</v>
      </c>
      <c r="C47" s="1" t="n">
        <v>1</v>
      </c>
      <c r="D47" s="2" t="s">
        <v>12</v>
      </c>
      <c r="E47" s="8" t="n">
        <v>44460</v>
      </c>
      <c r="F47" s="2" t="s">
        <v>24</v>
      </c>
      <c r="G47" s="7" t="str">
        <f aca="false">HYPERLINK("https://mncourtfraud.com/file/MCRO_27-CR-20-14626_Order for Conditional Release_2021-09-21_20251126175819.pdf","MCRO_27-CR-20-14626_Order for Conditional Release_2021-09-21_20251126175819.pdf")</f>
        <v>MCRO_27-CR-20-14626_Order for Conditional Release_2021-09-21_20251126175819.pdf</v>
      </c>
      <c r="H47" s="2" t="s">
        <v>1362</v>
      </c>
      <c r="I47" s="9" t="s">
        <v>2371</v>
      </c>
      <c r="J47" s="2" t="s">
        <v>2293</v>
      </c>
    </row>
    <row r="48" customFormat="false" ht="18.7" hidden="false" customHeight="true" outlineLevel="0" collapsed="false">
      <c r="A48" s="1" t="n">
        <v>47</v>
      </c>
      <c r="B48" s="7" t="str">
        <f aca="false">HYPERLINK("https://mncourtfraud.com/file/27-CR-20-14626.pdf","27-CR-20-14626")</f>
        <v>27-CR-20-14626</v>
      </c>
      <c r="C48" s="1" t="n">
        <v>1</v>
      </c>
      <c r="D48" s="2" t="s">
        <v>12</v>
      </c>
      <c r="E48" s="8" t="n">
        <v>44468</v>
      </c>
      <c r="F48" s="2" t="s">
        <v>24</v>
      </c>
      <c r="G48" s="7" t="str">
        <f aca="false">HYPERLINK("https://mncourtfraud.com/file/MCRO_27-CR-20-14626_Order for Conditional Release_2021-09-29_20251126175828.pdf","MCRO_27-CR-20-14626_Order for Conditional Release_2021-09-29_20251126175828.pdf")</f>
        <v>MCRO_27-CR-20-14626_Order for Conditional Release_2021-09-29_20251126175828.pdf</v>
      </c>
      <c r="H48" s="2" t="s">
        <v>1362</v>
      </c>
      <c r="I48" s="9" t="s">
        <v>2372</v>
      </c>
      <c r="J48" s="2" t="s">
        <v>2373</v>
      </c>
    </row>
    <row r="49" customFormat="false" ht="18.7" hidden="false" customHeight="true" outlineLevel="0" collapsed="false">
      <c r="A49" s="1" t="n">
        <v>48</v>
      </c>
      <c r="B49" s="7" t="str">
        <f aca="false">HYPERLINK("https://mncourtfraud.com/file/27-CR-20-14626.pdf","27-CR-20-14626")</f>
        <v>27-CR-20-14626</v>
      </c>
      <c r="C49" s="1" t="n">
        <v>1</v>
      </c>
      <c r="D49" s="2" t="s">
        <v>12</v>
      </c>
      <c r="E49" s="8" t="n">
        <v>44225</v>
      </c>
      <c r="F49" s="2" t="s">
        <v>15</v>
      </c>
      <c r="G49" s="7" t="str">
        <f aca="false">HYPERLINK("https://mncourtfraud.com/file/MCRO_27-CR-20-14626_Order-Evaluation for Competency to Proceed (Rule 20.01)_2021-01-29_20251126175944.pdf","MCRO_27-CR-20-14626_Order-Evaluation for Competency to Proceed (Rule 20.01)_2021-01-29_20251126175944.pdf")</f>
        <v>MCRO_27-CR-20-14626_Order-Evaluation for Competency to Proceed (Rule 20.01)_2021-01-29_20251126175944.pdf</v>
      </c>
      <c r="H49" s="2" t="s">
        <v>1362</v>
      </c>
      <c r="I49" s="9" t="s">
        <v>2374</v>
      </c>
      <c r="J49" s="2" t="s">
        <v>2375</v>
      </c>
    </row>
    <row r="50" customFormat="false" ht="18.7" hidden="false" customHeight="true" outlineLevel="0" collapsed="false">
      <c r="A50" s="1" t="n">
        <v>49</v>
      </c>
      <c r="B50" s="7" t="str">
        <f aca="false">HYPERLINK("https://mncourtfraud.com/file/27-CR-20-14626.pdf","27-CR-20-14626")</f>
        <v>27-CR-20-14626</v>
      </c>
      <c r="C50" s="1" t="n">
        <v>1</v>
      </c>
      <c r="D50" s="2" t="s">
        <v>12</v>
      </c>
      <c r="E50" s="8" t="n">
        <v>44396</v>
      </c>
      <c r="F50" s="2" t="s">
        <v>15</v>
      </c>
      <c r="G50" s="7" t="str">
        <f aca="false">HYPERLINK("https://mncourtfraud.com/file/MCRO_27-CR-20-14626_Order-Evaluation for Competency to Proceed (Rule 20.01)_2021-07-19_20251126175844.pdf","MCRO_27-CR-20-14626_Order-Evaluation for Competency to Proceed (Rule 20.01)_2021-07-19_20251126175844.pdf")</f>
        <v>MCRO_27-CR-20-14626_Order-Evaluation for Competency to Proceed (Rule 20.01)_2021-07-19_20251126175844.pdf</v>
      </c>
      <c r="H50" s="2" t="s">
        <v>1362</v>
      </c>
      <c r="I50" s="9" t="s">
        <v>2376</v>
      </c>
      <c r="J50" s="2" t="s">
        <v>2377</v>
      </c>
    </row>
    <row r="51" customFormat="false" ht="18.7" hidden="false" customHeight="true" outlineLevel="0" collapsed="false">
      <c r="A51" s="1" t="n">
        <v>50</v>
      </c>
      <c r="B51" s="7" t="str">
        <f aca="false">HYPERLINK("https://mncourtfraud.com/file/27-CR-20-14626.pdf","27-CR-20-14626")</f>
        <v>27-CR-20-14626</v>
      </c>
      <c r="C51" s="1" t="n">
        <v>1</v>
      </c>
      <c r="D51" s="2" t="s">
        <v>12</v>
      </c>
      <c r="E51" s="8" t="n">
        <v>44543</v>
      </c>
      <c r="F51" s="2" t="s">
        <v>15</v>
      </c>
      <c r="G51" s="7" t="str">
        <f aca="false">HYPERLINK("https://mncourtfraud.com/file/MCRO_27-CR-20-14626_Order-Evaluation for Competency to Proceed (Rule 20.01)_2021-12-13_20251126175855.pdf","MCRO_27-CR-20-14626_Order-Evaluation for Competency to Proceed (Rule 20.01)_2021-12-13_20251126175855.pdf")</f>
        <v>MCRO_27-CR-20-14626_Order-Evaluation for Competency to Proceed (Rule 20.01)_2021-12-13_20251126175855.pdf</v>
      </c>
      <c r="H51" s="2" t="s">
        <v>1362</v>
      </c>
      <c r="I51" s="9" t="s">
        <v>2378</v>
      </c>
      <c r="J51" s="2" t="s">
        <v>2379</v>
      </c>
    </row>
    <row r="52" customFormat="false" ht="18.7" hidden="false" customHeight="true" outlineLevel="0" collapsed="false">
      <c r="A52" s="1" t="n">
        <v>51</v>
      </c>
      <c r="B52" s="7" t="str">
        <f aca="false">HYPERLINK("https://mncourtfraud.com/file/27-CR-20-14626.pdf","27-CR-20-14626")</f>
        <v>27-CR-20-14626</v>
      </c>
      <c r="C52" s="1" t="n">
        <v>1</v>
      </c>
      <c r="D52" s="2" t="s">
        <v>12</v>
      </c>
      <c r="E52" s="8" t="n">
        <v>44558</v>
      </c>
      <c r="F52" s="2" t="s">
        <v>15</v>
      </c>
      <c r="G52" s="7" t="str">
        <f aca="false">HYPERLINK("https://mncourtfraud.com/file/MCRO_27-CR-20-14626_Order-Evaluation for Competency to Proceed (Rule 20.01)_2021-12-28_20251126175907.pdf","MCRO_27-CR-20-14626_Order-Evaluation for Competency to Proceed (Rule 20.01)_2021-12-28_20251126175907.pdf")</f>
        <v>MCRO_27-CR-20-14626_Order-Evaluation for Competency to Proceed (Rule 20.01)_2021-12-28_20251126175907.pdf</v>
      </c>
      <c r="H52" s="2" t="s">
        <v>1362</v>
      </c>
      <c r="I52" s="9" t="s">
        <v>2380</v>
      </c>
      <c r="J52" s="2" t="s">
        <v>2381</v>
      </c>
    </row>
    <row r="53" customFormat="false" ht="18.7" hidden="false" customHeight="true" outlineLevel="0" collapsed="false">
      <c r="A53" s="1" t="n">
        <v>52</v>
      </c>
      <c r="B53" s="7" t="str">
        <f aca="false">HYPERLINK("https://mncourtfraud.com/file/27-CR-20-14626.pdf","27-CR-20-14626")</f>
        <v>27-CR-20-14626</v>
      </c>
      <c r="C53" s="1" t="n">
        <v>1</v>
      </c>
      <c r="D53" s="2" t="s">
        <v>12</v>
      </c>
      <c r="E53" s="8" t="n">
        <v>44692</v>
      </c>
      <c r="F53" s="2" t="s">
        <v>15</v>
      </c>
      <c r="G53" s="7" t="str">
        <f aca="false">HYPERLINK("https://mncourtfraud.com/file/MCRO_27-CR-20-14626_Order-Evaluation for Competency to Proceed (Rule 20.01)_2022-05-11_20251126175918.pdf","MCRO_27-CR-20-14626_Order-Evaluation for Competency to Proceed (Rule 20.01)_2022-05-11_20251126175918.pdf")</f>
        <v>MCRO_27-CR-20-14626_Order-Evaluation for Competency to Proceed (Rule 20.01)_2022-05-11_20251126175918.pdf</v>
      </c>
      <c r="H53" s="2" t="s">
        <v>1362</v>
      </c>
      <c r="I53" s="9" t="s">
        <v>2382</v>
      </c>
      <c r="J53" s="2" t="s">
        <v>2383</v>
      </c>
    </row>
    <row r="54" customFormat="false" ht="18.7" hidden="false" customHeight="true" outlineLevel="0" collapsed="false">
      <c r="A54" s="1" t="n">
        <v>53</v>
      </c>
      <c r="B54" s="7" t="str">
        <f aca="false">HYPERLINK("https://mncourtfraud.com/file/27-CR-20-14626.pdf","27-CR-20-14626")</f>
        <v>27-CR-20-14626</v>
      </c>
      <c r="C54" s="1" t="n">
        <v>1</v>
      </c>
      <c r="D54" s="2" t="s">
        <v>12</v>
      </c>
      <c r="E54" s="8" t="n">
        <v>44895</v>
      </c>
      <c r="F54" s="2" t="s">
        <v>15</v>
      </c>
      <c r="G54" s="7" t="str">
        <f aca="false">HYPERLINK("https://mncourtfraud.com/file/MCRO_27-CR-20-14626_Order-Evaluation for Competency to Proceed (Rule 20.01)_2022-11-30_20251126175928.pdf","MCRO_27-CR-20-14626_Order-Evaluation for Competency to Proceed (Rule 20.01)_2022-11-30_20251126175928.pdf")</f>
        <v>MCRO_27-CR-20-14626_Order-Evaluation for Competency to Proceed (Rule 20.01)_2022-11-30_20251126175928.pdf</v>
      </c>
      <c r="H54" s="2" t="s">
        <v>1362</v>
      </c>
      <c r="I54" s="9" t="s">
        <v>2384</v>
      </c>
      <c r="J54" s="2" t="s">
        <v>2336</v>
      </c>
    </row>
    <row r="55" customFormat="false" ht="18.7" hidden="false" customHeight="true" outlineLevel="0" collapsed="false">
      <c r="A55" s="1" t="n">
        <v>54</v>
      </c>
      <c r="B55" s="7" t="str">
        <f aca="false">HYPERLINK("https://mncourtfraud.com/file/27-CR-20-25524.pdf","27-CR-20-25524")</f>
        <v>27-CR-20-25524</v>
      </c>
      <c r="C55" s="1" t="n">
        <v>1</v>
      </c>
      <c r="D55" s="2" t="s">
        <v>12</v>
      </c>
      <c r="E55" s="8" t="n">
        <v>45048</v>
      </c>
      <c r="F55" s="2" t="s">
        <v>80</v>
      </c>
      <c r="G55" s="7" t="str">
        <f aca="false">HYPERLINK("https://mncourtfraud.com/file/MCRO_27-CR-20-25524_Finding of Incompetency and Order_2023-05-02_20251126180022.pdf","MCRO_27-CR-20-25524_Finding of Incompetency and Order_2023-05-02_20251126180022.pdf")</f>
        <v>MCRO_27-CR-20-25524_Finding of Incompetency and Order_2023-05-02_20251126180022.pdf</v>
      </c>
      <c r="H55" s="2" t="s">
        <v>1492</v>
      </c>
      <c r="I55" s="9" t="s">
        <v>2385</v>
      </c>
      <c r="J55" s="2" t="s">
        <v>2386</v>
      </c>
      <c r="K55" s="2" t="s">
        <v>1496</v>
      </c>
      <c r="L55" s="9" t="s">
        <v>2387</v>
      </c>
      <c r="M55" s="2" t="s">
        <v>2388</v>
      </c>
      <c r="N55" s="2" t="s">
        <v>1362</v>
      </c>
      <c r="O55" s="9" t="s">
        <v>2389</v>
      </c>
      <c r="P55" s="2" t="s">
        <v>2390</v>
      </c>
    </row>
    <row r="56" customFormat="false" ht="18.7" hidden="false" customHeight="true" outlineLevel="0" collapsed="false">
      <c r="A56" s="1" t="n">
        <v>55</v>
      </c>
      <c r="B56" s="7" t="str">
        <f aca="false">HYPERLINK("https://mncourtfraud.com/file/27-CR-20-25524.pdf","27-CR-20-25524")</f>
        <v>27-CR-20-25524</v>
      </c>
      <c r="C56" s="1" t="n">
        <v>1</v>
      </c>
      <c r="D56" s="2" t="s">
        <v>12</v>
      </c>
      <c r="E56" s="8" t="n">
        <v>44439</v>
      </c>
      <c r="F56" s="2" t="s">
        <v>19</v>
      </c>
      <c r="G56" s="7" t="str">
        <f aca="false">HYPERLINK("https://mncourtfraud.com/file/MCRO_27-CR-20-25524_Findings and Order_2021-08-31_20251126180048.pdf","MCRO_27-CR-20-25524_Findings and Order_2021-08-31_20251126180048.pdf")</f>
        <v>MCRO_27-CR-20-25524_Findings and Order_2021-08-31_20251126180048.pdf</v>
      </c>
      <c r="H56" s="2" t="s">
        <v>1368</v>
      </c>
      <c r="I56" s="9" t="s">
        <v>2284</v>
      </c>
      <c r="J56" s="2" t="s">
        <v>2285</v>
      </c>
      <c r="K56" s="2" t="s">
        <v>1362</v>
      </c>
      <c r="L56" s="9" t="s">
        <v>2391</v>
      </c>
      <c r="M56" s="2" t="s">
        <v>2392</v>
      </c>
    </row>
    <row r="57" customFormat="false" ht="18.7" hidden="false" customHeight="true" outlineLevel="0" collapsed="false">
      <c r="A57" s="1" t="n">
        <v>56</v>
      </c>
      <c r="B57" s="7" t="str">
        <f aca="false">HYPERLINK("https://mncourtfraud.com/file/27-CR-20-25524.pdf","27-CR-20-25524")</f>
        <v>27-CR-20-25524</v>
      </c>
      <c r="C57" s="1" t="n">
        <v>1</v>
      </c>
      <c r="D57" s="2" t="s">
        <v>12</v>
      </c>
      <c r="E57" s="8" t="n">
        <v>44593</v>
      </c>
      <c r="F57" s="2" t="s">
        <v>19</v>
      </c>
      <c r="G57" s="7" t="str">
        <f aca="false">HYPERLINK("https://mncourtfraud.com/file/MCRO_27-CR-20-25524_Findings and Order_2022-02-01_20251126180037.pdf","MCRO_27-CR-20-25524_Findings and Order_2022-02-01_20251126180037.pdf")</f>
        <v>MCRO_27-CR-20-25524_Findings and Order_2022-02-01_20251126180037.pdf</v>
      </c>
      <c r="H57" s="2" t="s">
        <v>1368</v>
      </c>
      <c r="I57" s="9" t="s">
        <v>2288</v>
      </c>
      <c r="J57" s="2" t="s">
        <v>2289</v>
      </c>
      <c r="K57" s="2" t="s">
        <v>1362</v>
      </c>
      <c r="L57" s="9" t="s">
        <v>2393</v>
      </c>
      <c r="M57" s="2" t="s">
        <v>2370</v>
      </c>
    </row>
    <row r="58" customFormat="false" ht="18.7" hidden="false" customHeight="true" outlineLevel="0" collapsed="false">
      <c r="A58" s="1" t="n">
        <v>57</v>
      </c>
      <c r="B58" s="7" t="str">
        <f aca="false">HYPERLINK("https://mncourtfraud.com/file/27-CR-20-25524.pdf","27-CR-20-25524")</f>
        <v>27-CR-20-25524</v>
      </c>
      <c r="C58" s="1" t="n">
        <v>1</v>
      </c>
      <c r="D58" s="2" t="s">
        <v>12</v>
      </c>
      <c r="E58" s="8" t="n">
        <v>45093</v>
      </c>
      <c r="F58" s="2" t="s">
        <v>82</v>
      </c>
      <c r="G58" s="7" t="str">
        <f aca="false">HYPERLINK("https://mncourtfraud.com/file/MCRO_27-CR-20-25524_Notice of Case Reassignment_2023-06-16_20251126180103.pdf","MCRO_27-CR-20-25524_Notice of Case Reassignment_2023-06-16_20251126180103.pdf")</f>
        <v>MCRO_27-CR-20-25524_Notice of Case Reassignment_2023-06-16_20251126180103.pdf</v>
      </c>
      <c r="H58" s="2" t="s">
        <v>1362</v>
      </c>
      <c r="I58" s="9" t="s">
        <v>2394</v>
      </c>
      <c r="J58" s="2" t="s">
        <v>2395</v>
      </c>
    </row>
    <row r="59" customFormat="false" ht="18.7" hidden="false" customHeight="true" outlineLevel="0" collapsed="false">
      <c r="A59" s="1" t="n">
        <v>58</v>
      </c>
      <c r="B59" s="7" t="str">
        <f aca="false">HYPERLINK("https://mncourtfraud.com/file/27-CR-20-25524.pdf","27-CR-20-25524")</f>
        <v>27-CR-20-25524</v>
      </c>
      <c r="C59" s="1" t="n">
        <v>1</v>
      </c>
      <c r="D59" s="2" t="s">
        <v>12</v>
      </c>
      <c r="E59" s="8" t="n">
        <v>44460</v>
      </c>
      <c r="F59" s="2" t="s">
        <v>24</v>
      </c>
      <c r="G59" s="7" t="str">
        <f aca="false">HYPERLINK("https://mncourtfraud.com/file/MCRO_27-CR-20-25524_Order for Conditional Release_2021-09-21_20251126180139.pdf","MCRO_27-CR-20-25524_Order for Conditional Release_2021-09-21_20251126180139.pdf")</f>
        <v>MCRO_27-CR-20-25524_Order for Conditional Release_2021-09-21_20251126180139.pdf</v>
      </c>
      <c r="H59" s="2" t="s">
        <v>1362</v>
      </c>
      <c r="I59" s="9" t="s">
        <v>2396</v>
      </c>
      <c r="J59" s="2" t="s">
        <v>2293</v>
      </c>
    </row>
    <row r="60" customFormat="false" ht="18.7" hidden="false" customHeight="true" outlineLevel="0" collapsed="false">
      <c r="A60" s="1" t="n">
        <v>59</v>
      </c>
      <c r="B60" s="7" t="str">
        <f aca="false">HYPERLINK("https://mncourtfraud.com/file/27-CR-20-25524.pdf","27-CR-20-25524")</f>
        <v>27-CR-20-25524</v>
      </c>
      <c r="C60" s="1" t="n">
        <v>1</v>
      </c>
      <c r="D60" s="2" t="s">
        <v>12</v>
      </c>
      <c r="E60" s="8" t="n">
        <v>44468</v>
      </c>
      <c r="F60" s="2" t="s">
        <v>24</v>
      </c>
      <c r="G60" s="7" t="str">
        <f aca="false">HYPERLINK("https://mncourtfraud.com/file/MCRO_27-CR-20-25524_Order for Conditional Release_2021-09-29_20251126180115.pdf","MCRO_27-CR-20-25524_Order for Conditional Release_2021-09-29_20251126180115.pdf")</f>
        <v>MCRO_27-CR-20-25524_Order for Conditional Release_2021-09-29_20251126180115.pdf</v>
      </c>
      <c r="H60" s="2" t="s">
        <v>1362</v>
      </c>
      <c r="I60" s="9" t="s">
        <v>2397</v>
      </c>
      <c r="J60" s="2" t="s">
        <v>2398</v>
      </c>
    </row>
    <row r="61" customFormat="false" ht="18.7" hidden="false" customHeight="true" outlineLevel="0" collapsed="false">
      <c r="A61" s="1" t="n">
        <v>60</v>
      </c>
      <c r="B61" s="7" t="str">
        <f aca="false">HYPERLINK("https://mncourtfraud.com/file/27-CR-20-25524.pdf","27-CR-20-25524")</f>
        <v>27-CR-20-25524</v>
      </c>
      <c r="C61" s="1" t="n">
        <v>1</v>
      </c>
      <c r="D61" s="2" t="s">
        <v>12</v>
      </c>
      <c r="E61" s="8" t="n">
        <v>45412</v>
      </c>
      <c r="F61" s="2" t="s">
        <v>24</v>
      </c>
      <c r="G61" s="7" t="str">
        <f aca="false">HYPERLINK("https://mncourtfraud.com/file/MCRO_27-CR-20-25524_Order for Conditional Release_2024-04-30_20251126180129.pdf","MCRO_27-CR-20-25524_Order for Conditional Release_2024-04-30_20251126180129.pdf")</f>
        <v>MCRO_27-CR-20-25524_Order for Conditional Release_2024-04-30_20251126180129.pdf</v>
      </c>
      <c r="H61" s="2" t="s">
        <v>1362</v>
      </c>
      <c r="I61" s="9" t="s">
        <v>2399</v>
      </c>
      <c r="J61" s="2" t="s">
        <v>2400</v>
      </c>
    </row>
    <row r="62" customFormat="false" ht="18.7" hidden="false" customHeight="true" outlineLevel="0" collapsed="false">
      <c r="A62" s="1" t="n">
        <v>61</v>
      </c>
      <c r="B62" s="7" t="str">
        <f aca="false">HYPERLINK("https://mncourtfraud.com/file/27-CR-20-25524.pdf","27-CR-20-25524")</f>
        <v>27-CR-20-25524</v>
      </c>
      <c r="C62" s="1" t="n">
        <v>1</v>
      </c>
      <c r="D62" s="2" t="s">
        <v>12</v>
      </c>
      <c r="E62" s="8" t="n">
        <v>44396</v>
      </c>
      <c r="F62" s="2" t="s">
        <v>15</v>
      </c>
      <c r="G62" s="7" t="str">
        <f aca="false">HYPERLINK("https://mncourtfraud.com/file/MCRO_27-CR-20-25524_Order-Evaluation for Competency to Proceed (Rule 20.01)_2021-07-19_20251126180153.pdf","MCRO_27-CR-20-25524_Order-Evaluation for Competency to Proceed (Rule 20.01)_2021-07-19_20251126180153.pdf")</f>
        <v>MCRO_27-CR-20-25524_Order-Evaluation for Competency to Proceed (Rule 20.01)_2021-07-19_20251126180153.pdf</v>
      </c>
      <c r="H62" s="2" t="s">
        <v>1362</v>
      </c>
      <c r="I62" s="9" t="s">
        <v>2401</v>
      </c>
      <c r="J62" s="2" t="s">
        <v>2402</v>
      </c>
    </row>
    <row r="63" customFormat="false" ht="18.7" hidden="false" customHeight="true" outlineLevel="0" collapsed="false">
      <c r="A63" s="1" t="n">
        <v>62</v>
      </c>
      <c r="B63" s="7" t="str">
        <f aca="false">HYPERLINK("https://mncourtfraud.com/file/27-CR-20-25524.pdf","27-CR-20-25524")</f>
        <v>27-CR-20-25524</v>
      </c>
      <c r="C63" s="1" t="n">
        <v>1</v>
      </c>
      <c r="D63" s="2" t="s">
        <v>12</v>
      </c>
      <c r="E63" s="8" t="n">
        <v>44543</v>
      </c>
      <c r="F63" s="2" t="s">
        <v>15</v>
      </c>
      <c r="G63" s="7" t="str">
        <f aca="false">HYPERLINK("https://mncourtfraud.com/file/MCRO_27-CR-20-25524_Order-Evaluation for Competency to Proceed (Rule 20.01)_2021-12-13_20251126180204.pdf","MCRO_27-CR-20-25524_Order-Evaluation for Competency to Proceed (Rule 20.01)_2021-12-13_20251126180204.pdf")</f>
        <v>MCRO_27-CR-20-25524_Order-Evaluation for Competency to Proceed (Rule 20.01)_2021-12-13_20251126180204.pdf</v>
      </c>
      <c r="H63" s="2" t="s">
        <v>1362</v>
      </c>
      <c r="I63" s="9" t="s">
        <v>2403</v>
      </c>
      <c r="J63" s="2" t="s">
        <v>2404</v>
      </c>
    </row>
    <row r="64" customFormat="false" ht="18.7" hidden="false" customHeight="true" outlineLevel="0" collapsed="false">
      <c r="A64" s="1" t="n">
        <v>63</v>
      </c>
      <c r="B64" s="7" t="str">
        <f aca="false">HYPERLINK("https://mncourtfraud.com/file/27-CR-20-25524.pdf","27-CR-20-25524")</f>
        <v>27-CR-20-25524</v>
      </c>
      <c r="C64" s="1" t="n">
        <v>1</v>
      </c>
      <c r="D64" s="2" t="s">
        <v>12</v>
      </c>
      <c r="E64" s="8" t="n">
        <v>44558</v>
      </c>
      <c r="F64" s="2" t="s">
        <v>15</v>
      </c>
      <c r="G64" s="7" t="str">
        <f aca="false">HYPERLINK("https://mncourtfraud.com/file/MCRO_27-CR-20-25524_Order-Evaluation for Competency to Proceed (Rule 20.01)_2021-12-28_20251126180216.pdf","MCRO_27-CR-20-25524_Order-Evaluation for Competency to Proceed (Rule 20.01)_2021-12-28_20251126180216.pdf")</f>
        <v>MCRO_27-CR-20-25524_Order-Evaluation for Competency to Proceed (Rule 20.01)_2021-12-28_20251126180216.pdf</v>
      </c>
      <c r="H64" s="2" t="s">
        <v>1362</v>
      </c>
      <c r="I64" s="9" t="s">
        <v>2405</v>
      </c>
      <c r="J64" s="2" t="s">
        <v>2406</v>
      </c>
    </row>
    <row r="65" customFormat="false" ht="18.7" hidden="false" customHeight="true" outlineLevel="0" collapsed="false">
      <c r="A65" s="1" t="n">
        <v>64</v>
      </c>
      <c r="B65" s="7" t="str">
        <f aca="false">HYPERLINK("https://mncourtfraud.com/file/27-CR-20-25524.pdf","27-CR-20-25524")</f>
        <v>27-CR-20-25524</v>
      </c>
      <c r="C65" s="1" t="n">
        <v>1</v>
      </c>
      <c r="D65" s="2" t="s">
        <v>12</v>
      </c>
      <c r="E65" s="8" t="n">
        <v>44692</v>
      </c>
      <c r="F65" s="2" t="s">
        <v>15</v>
      </c>
      <c r="G65" s="7" t="str">
        <f aca="false">HYPERLINK("https://mncourtfraud.com/file/MCRO_27-CR-20-25524_Order-Evaluation for Competency to Proceed (Rule 20.01)_2022-05-11_20251126180226.pdf","MCRO_27-CR-20-25524_Order-Evaluation for Competency to Proceed (Rule 20.01)_2022-05-11_20251126180226.pdf")</f>
        <v>MCRO_27-CR-20-25524_Order-Evaluation for Competency to Proceed (Rule 20.01)_2022-05-11_20251126180226.pdf</v>
      </c>
      <c r="H65" s="2" t="s">
        <v>1362</v>
      </c>
      <c r="I65" s="9" t="s">
        <v>2407</v>
      </c>
      <c r="J65" s="2" t="s">
        <v>2408</v>
      </c>
    </row>
    <row r="66" customFormat="false" ht="18.7" hidden="false" customHeight="true" outlineLevel="0" collapsed="false">
      <c r="A66" s="1" t="n">
        <v>65</v>
      </c>
      <c r="B66" s="7" t="str">
        <f aca="false">HYPERLINK("https://mncourtfraud.com/file/27-CR-20-25524.pdf","27-CR-20-25524")</f>
        <v>27-CR-20-25524</v>
      </c>
      <c r="C66" s="1" t="n">
        <v>1</v>
      </c>
      <c r="D66" s="2" t="s">
        <v>12</v>
      </c>
      <c r="E66" s="8" t="n">
        <v>44895</v>
      </c>
      <c r="F66" s="2" t="s">
        <v>15</v>
      </c>
      <c r="G66" s="7" t="str">
        <f aca="false">HYPERLINK("https://mncourtfraud.com/file/MCRO_27-CR-20-25524_Order-Evaluation for Competency to Proceed (Rule 20.01)_2022-11-30_20251126180238.pdf","MCRO_27-CR-20-25524_Order-Evaluation for Competency to Proceed (Rule 20.01)_2022-11-30_20251126180238.pdf")</f>
        <v>MCRO_27-CR-20-25524_Order-Evaluation for Competency to Proceed (Rule 20.01)_2022-11-30_20251126180238.pdf</v>
      </c>
      <c r="H66" s="2" t="s">
        <v>1362</v>
      </c>
      <c r="I66" s="9" t="s">
        <v>2409</v>
      </c>
      <c r="J66" s="2" t="s">
        <v>2336</v>
      </c>
    </row>
    <row r="67" customFormat="false" ht="18.7" hidden="false" customHeight="true" outlineLevel="0" collapsed="false">
      <c r="A67" s="1" t="n">
        <v>66</v>
      </c>
      <c r="B67" s="7" t="str">
        <f aca="false">HYPERLINK("https://mncourtfraud.com/file/27-CR-20-25524.pdf","27-CR-20-25524")</f>
        <v>27-CR-20-25524</v>
      </c>
      <c r="C67" s="1" t="n">
        <v>1</v>
      </c>
      <c r="D67" s="2" t="s">
        <v>12</v>
      </c>
      <c r="E67" s="8" t="n">
        <v>45160</v>
      </c>
      <c r="F67" s="2" t="s">
        <v>15</v>
      </c>
      <c r="G67" s="7" t="str">
        <f aca="false">HYPERLINK("https://mncourtfraud.com/file/MCRO_27-CR-20-25524_Order-Evaluation for Competency to Proceed (Rule 20.01)_2023-08-22_20251126180250.pdf","MCRO_27-CR-20-25524_Order-Evaluation for Competency to Proceed (Rule 20.01)_2023-08-22_20251126180250.pdf")</f>
        <v>MCRO_27-CR-20-25524_Order-Evaluation for Competency to Proceed (Rule 20.01)_2023-08-22_20251126180250.pdf</v>
      </c>
      <c r="H67" s="2" t="s">
        <v>1519</v>
      </c>
      <c r="I67" s="9" t="s">
        <v>2410</v>
      </c>
      <c r="J67" s="2" t="s">
        <v>2411</v>
      </c>
      <c r="K67" s="2" t="s">
        <v>1362</v>
      </c>
      <c r="L67" s="9" t="s">
        <v>2412</v>
      </c>
      <c r="M67" s="2" t="s">
        <v>2413</v>
      </c>
    </row>
    <row r="68" customFormat="false" ht="18.7" hidden="false" customHeight="true" outlineLevel="0" collapsed="false">
      <c r="A68" s="1" t="n">
        <v>67</v>
      </c>
      <c r="B68" s="7" t="str">
        <f aca="false">HYPERLINK("https://mncourtfraud.com/file/27-CR-20-25524.pdf","27-CR-20-25524")</f>
        <v>27-CR-20-25524</v>
      </c>
      <c r="C68" s="1" t="n">
        <v>1</v>
      </c>
      <c r="D68" s="2" t="s">
        <v>12</v>
      </c>
      <c r="E68" s="8" t="n">
        <v>45412</v>
      </c>
      <c r="F68" s="2" t="s">
        <v>15</v>
      </c>
      <c r="G68" s="7" t="str">
        <f aca="false">HYPERLINK("https://mncourtfraud.com/file/MCRO_27-CR-20-25524_Order-Evaluation for Competency to Proceed (Rule 20.01)_2024-04-30_20251126180301.pdf","MCRO_27-CR-20-25524_Order-Evaluation for Competency to Proceed (Rule 20.01)_2024-04-30_20251126180301.pdf")</f>
        <v>MCRO_27-CR-20-25524_Order-Evaluation for Competency to Proceed (Rule 20.01)_2024-04-30_20251126180301.pdf</v>
      </c>
      <c r="H68" s="2" t="s">
        <v>1362</v>
      </c>
      <c r="I68" s="9" t="s">
        <v>2414</v>
      </c>
      <c r="J68" s="2" t="s">
        <v>2415</v>
      </c>
    </row>
    <row r="69" customFormat="false" ht="18.7" hidden="false" customHeight="true" outlineLevel="0" collapsed="false">
      <c r="A69" s="1" t="n">
        <v>68</v>
      </c>
      <c r="B69" s="7" t="str">
        <f aca="false">HYPERLINK("https://mncourtfraud.com/file/27-CR-20-25524.pdf","27-CR-20-25524")</f>
        <v>27-CR-20-25524</v>
      </c>
      <c r="C69" s="1" t="n">
        <v>1</v>
      </c>
      <c r="D69" s="2" t="s">
        <v>12</v>
      </c>
      <c r="E69" s="8" t="n">
        <v>45414</v>
      </c>
      <c r="F69" s="2" t="s">
        <v>15</v>
      </c>
      <c r="G69" s="7" t="str">
        <f aca="false">HYPERLINK("https://mncourtfraud.com/file/MCRO_27-CR-20-25524_Order-Evaluation for Competency to Proceed (Rule 20.01)_2024-05-02_20251126180315.pdf","MCRO_27-CR-20-25524_Order-Evaluation for Competency to Proceed (Rule 20.01)_2024-05-02_20251126180315.pdf")</f>
        <v>MCRO_27-CR-20-25524_Order-Evaluation for Competency to Proceed (Rule 20.01)_2024-05-02_20251126180315.pdf</v>
      </c>
      <c r="H69" s="2" t="s">
        <v>1362</v>
      </c>
      <c r="I69" s="9" t="s">
        <v>2416</v>
      </c>
      <c r="J69" s="2" t="s">
        <v>2417</v>
      </c>
    </row>
    <row r="70" customFormat="false" ht="18.7" hidden="false" customHeight="true" outlineLevel="0" collapsed="false">
      <c r="A70" s="1" t="n">
        <v>69</v>
      </c>
      <c r="B70" s="7" t="str">
        <f aca="false">HYPERLINK("https://mncourtfraud.com/file/27-CR-20-2581.pdf","27-CR-20-2581")</f>
        <v>27-CR-20-2581</v>
      </c>
      <c r="C70" s="1" t="n">
        <v>1</v>
      </c>
      <c r="D70" s="2" t="s">
        <v>12</v>
      </c>
      <c r="E70" s="8" t="n">
        <v>45048</v>
      </c>
      <c r="F70" s="2" t="s">
        <v>80</v>
      </c>
      <c r="G70" s="7" t="str">
        <f aca="false">HYPERLINK("https://mncourtfraud.com/file/MCRO_27-CR-20-2581_Finding of Incompetency and Order_2023-05-02_20251126180343.pdf","MCRO_27-CR-20-2581_Finding of Incompetency and Order_2023-05-02_20251126180343.pdf")</f>
        <v>MCRO_27-CR-20-2581_Finding of Incompetency and Order_2023-05-02_20251126180343.pdf</v>
      </c>
      <c r="H70" s="2" t="s">
        <v>1492</v>
      </c>
      <c r="I70" s="9" t="s">
        <v>2385</v>
      </c>
      <c r="J70" s="2" t="s">
        <v>2386</v>
      </c>
      <c r="K70" s="2" t="s">
        <v>1496</v>
      </c>
      <c r="L70" s="9" t="s">
        <v>2387</v>
      </c>
      <c r="M70" s="2" t="s">
        <v>2388</v>
      </c>
      <c r="N70" s="2" t="s">
        <v>1362</v>
      </c>
      <c r="O70" s="9" t="s">
        <v>2418</v>
      </c>
      <c r="P70" s="2" t="s">
        <v>2419</v>
      </c>
    </row>
    <row r="71" customFormat="false" ht="18.7" hidden="false" customHeight="true" outlineLevel="0" collapsed="false">
      <c r="A71" s="1" t="n">
        <v>70</v>
      </c>
      <c r="B71" s="7" t="str">
        <f aca="false">HYPERLINK("https://mncourtfraud.com/file/27-CR-20-2581.pdf","27-CR-20-2581")</f>
        <v>27-CR-20-2581</v>
      </c>
      <c r="C71" s="1" t="n">
        <v>1</v>
      </c>
      <c r="D71" s="2" t="s">
        <v>12</v>
      </c>
      <c r="E71" s="8" t="n">
        <v>44103</v>
      </c>
      <c r="F71" s="2" t="s">
        <v>19</v>
      </c>
      <c r="G71" s="7" t="str">
        <f aca="false">HYPERLINK("https://mncourtfraud.com/file/MCRO_27-CR-20-2581_Findings and Order_2020-09-29_20251126180408.pdf","MCRO_27-CR-20-2581_Findings and Order_2020-09-29_20251126180408.pdf")</f>
        <v>MCRO_27-CR-20-2581_Findings and Order_2020-09-29_20251126180408.pdf</v>
      </c>
      <c r="H71" s="2" t="s">
        <v>1362</v>
      </c>
      <c r="I71" s="9" t="s">
        <v>2420</v>
      </c>
      <c r="J71" s="2" t="s">
        <v>2421</v>
      </c>
    </row>
    <row r="72" customFormat="false" ht="18.7" hidden="false" customHeight="true" outlineLevel="0" collapsed="false">
      <c r="A72" s="1" t="n">
        <v>71</v>
      </c>
      <c r="B72" s="7" t="str">
        <f aca="false">HYPERLINK("https://mncourtfraud.com/file/27-CR-20-2581.pdf","27-CR-20-2581")</f>
        <v>27-CR-20-2581</v>
      </c>
      <c r="C72" s="1" t="n">
        <v>1</v>
      </c>
      <c r="D72" s="2" t="s">
        <v>12</v>
      </c>
      <c r="E72" s="8" t="n">
        <v>44439</v>
      </c>
      <c r="F72" s="2" t="s">
        <v>19</v>
      </c>
      <c r="G72" s="7" t="str">
        <f aca="false">HYPERLINK("https://mncourtfraud.com/file/MCRO_27-CR-20-2581_Findings and Order_2021-08-31_20251126180418.pdf","MCRO_27-CR-20-2581_Findings and Order_2021-08-31_20251126180418.pdf")</f>
        <v>MCRO_27-CR-20-2581_Findings and Order_2021-08-31_20251126180418.pdf</v>
      </c>
      <c r="H72" s="2" t="s">
        <v>1368</v>
      </c>
      <c r="I72" s="9" t="s">
        <v>2284</v>
      </c>
      <c r="J72" s="2" t="s">
        <v>2285</v>
      </c>
      <c r="K72" s="2" t="s">
        <v>1362</v>
      </c>
      <c r="L72" s="9" t="s">
        <v>2422</v>
      </c>
      <c r="M72" s="2" t="s">
        <v>2423</v>
      </c>
    </row>
    <row r="73" customFormat="false" ht="18.7" hidden="false" customHeight="true" outlineLevel="0" collapsed="false">
      <c r="A73" s="1" t="n">
        <v>72</v>
      </c>
      <c r="B73" s="7" t="str">
        <f aca="false">HYPERLINK("https://mncourtfraud.com/file/27-CR-20-2581.pdf","27-CR-20-2581")</f>
        <v>27-CR-20-2581</v>
      </c>
      <c r="C73" s="1" t="n">
        <v>1</v>
      </c>
      <c r="D73" s="2" t="s">
        <v>12</v>
      </c>
      <c r="E73" s="8" t="n">
        <v>44593</v>
      </c>
      <c r="F73" s="2" t="s">
        <v>19</v>
      </c>
      <c r="G73" s="7" t="str">
        <f aca="false">HYPERLINK("https://mncourtfraud.com/file/MCRO_27-CR-20-2581_Findings and Order_2022-02-01_20251126180358.pdf","MCRO_27-CR-20-2581_Findings and Order_2022-02-01_20251126180358.pdf")</f>
        <v>MCRO_27-CR-20-2581_Findings and Order_2022-02-01_20251126180358.pdf</v>
      </c>
      <c r="H73" s="2" t="s">
        <v>1368</v>
      </c>
      <c r="I73" s="9" t="s">
        <v>2288</v>
      </c>
      <c r="J73" s="2" t="s">
        <v>2289</v>
      </c>
      <c r="K73" s="2" t="s">
        <v>1362</v>
      </c>
      <c r="L73" s="9" t="s">
        <v>2424</v>
      </c>
      <c r="M73" s="2" t="s">
        <v>2425</v>
      </c>
    </row>
    <row r="74" customFormat="false" ht="18.7" hidden="false" customHeight="true" outlineLevel="0" collapsed="false">
      <c r="A74" s="1" t="n">
        <v>73</v>
      </c>
      <c r="B74" s="7" t="str">
        <f aca="false">HYPERLINK("https://mncourtfraud.com/file/27-CR-20-2581.pdf","27-CR-20-2581")</f>
        <v>27-CR-20-2581</v>
      </c>
      <c r="C74" s="1" t="n">
        <v>1</v>
      </c>
      <c r="D74" s="2" t="s">
        <v>12</v>
      </c>
      <c r="E74" s="8" t="n">
        <v>45093</v>
      </c>
      <c r="F74" s="2" t="s">
        <v>82</v>
      </c>
      <c r="G74" s="7" t="str">
        <f aca="false">HYPERLINK("https://mncourtfraud.com/file/MCRO_27-CR-20-2581_Notice of Case Reassignment_2023-06-16_20251126180444.pdf","MCRO_27-CR-20-2581_Notice of Case Reassignment_2023-06-16_20251126180444.pdf")</f>
        <v>MCRO_27-CR-20-2581_Notice of Case Reassignment_2023-06-16_20251126180444.pdf</v>
      </c>
      <c r="H74" s="2" t="s">
        <v>1362</v>
      </c>
      <c r="I74" s="9" t="s">
        <v>2426</v>
      </c>
      <c r="J74" s="2" t="s">
        <v>2427</v>
      </c>
    </row>
    <row r="75" customFormat="false" ht="18.7" hidden="false" customHeight="true" outlineLevel="0" collapsed="false">
      <c r="A75" s="1" t="n">
        <v>74</v>
      </c>
      <c r="B75" s="7" t="str">
        <f aca="false">HYPERLINK("https://mncourtfraud.com/file/27-CR-20-2581.pdf","27-CR-20-2581")</f>
        <v>27-CR-20-2581</v>
      </c>
      <c r="C75" s="1" t="n">
        <v>1</v>
      </c>
      <c r="D75" s="2" t="s">
        <v>12</v>
      </c>
      <c r="E75" s="8" t="n">
        <v>44460</v>
      </c>
      <c r="F75" s="2" t="s">
        <v>24</v>
      </c>
      <c r="G75" s="7" t="str">
        <f aca="false">HYPERLINK("https://mncourtfraud.com/file/MCRO_27-CR-20-2581_Order for Conditional Release_2021-09-21_20251126180509.pdf","MCRO_27-CR-20-2581_Order for Conditional Release_2021-09-21_20251126180509.pdf")</f>
        <v>MCRO_27-CR-20-2581_Order for Conditional Release_2021-09-21_20251126180509.pdf</v>
      </c>
      <c r="H75" s="2" t="s">
        <v>1362</v>
      </c>
      <c r="I75" s="9" t="s">
        <v>2428</v>
      </c>
      <c r="J75" s="2" t="s">
        <v>2293</v>
      </c>
    </row>
    <row r="76" customFormat="false" ht="18.7" hidden="false" customHeight="true" outlineLevel="0" collapsed="false">
      <c r="A76" s="1" t="n">
        <v>75</v>
      </c>
      <c r="B76" s="7" t="str">
        <f aca="false">HYPERLINK("https://mncourtfraud.com/file/27-CR-20-2581.pdf","27-CR-20-2581")</f>
        <v>27-CR-20-2581</v>
      </c>
      <c r="C76" s="1" t="n">
        <v>1</v>
      </c>
      <c r="D76" s="2" t="s">
        <v>12</v>
      </c>
      <c r="E76" s="8" t="n">
        <v>44468</v>
      </c>
      <c r="F76" s="2" t="s">
        <v>24</v>
      </c>
      <c r="G76" s="7" t="str">
        <f aca="false">HYPERLINK("https://mncourtfraud.com/file/MCRO_27-CR-20-2581_Order for Conditional Release_2021-09-29_20251126180519.pdf","MCRO_27-CR-20-2581_Order for Conditional Release_2021-09-29_20251126180519.pdf")</f>
        <v>MCRO_27-CR-20-2581_Order for Conditional Release_2021-09-29_20251126180519.pdf</v>
      </c>
      <c r="H76" s="2" t="s">
        <v>1362</v>
      </c>
      <c r="I76" s="9" t="s">
        <v>2429</v>
      </c>
      <c r="J76" s="2" t="s">
        <v>2295</v>
      </c>
    </row>
    <row r="77" customFormat="false" ht="18.7" hidden="false" customHeight="true" outlineLevel="0" collapsed="false">
      <c r="A77" s="1" t="n">
        <v>76</v>
      </c>
      <c r="B77" s="7" t="str">
        <f aca="false">HYPERLINK("https://mncourtfraud.com/file/27-CR-20-2581.pdf","27-CR-20-2581")</f>
        <v>27-CR-20-2581</v>
      </c>
      <c r="C77" s="1" t="n">
        <v>1</v>
      </c>
      <c r="D77" s="2" t="s">
        <v>12</v>
      </c>
      <c r="E77" s="8" t="n">
        <v>44225</v>
      </c>
      <c r="F77" s="2" t="s">
        <v>15</v>
      </c>
      <c r="G77" s="7" t="str">
        <f aca="false">HYPERLINK("https://mncourtfraud.com/file/MCRO_27-CR-20-2581_Order-Evaluation for Competency to Proceed (Rule 20.01)_2021-01-29_20251126180652.pdf","MCRO_27-CR-20-2581_Order-Evaluation for Competency to Proceed (Rule 20.01)_2021-01-29_20251126180652.pdf")</f>
        <v>MCRO_27-CR-20-2581_Order-Evaluation for Competency to Proceed (Rule 20.01)_2021-01-29_20251126180652.pdf</v>
      </c>
      <c r="H77" s="2" t="s">
        <v>1362</v>
      </c>
      <c r="I77" s="9" t="s">
        <v>2430</v>
      </c>
      <c r="J77" s="2" t="s">
        <v>2431</v>
      </c>
    </row>
    <row r="78" customFormat="false" ht="18.7" hidden="false" customHeight="true" outlineLevel="0" collapsed="false">
      <c r="A78" s="1" t="n">
        <v>77</v>
      </c>
      <c r="B78" s="7" t="str">
        <f aca="false">HYPERLINK("https://mncourtfraud.com/file/27-CR-20-2581.pdf","27-CR-20-2581")</f>
        <v>27-CR-20-2581</v>
      </c>
      <c r="C78" s="1" t="n">
        <v>1</v>
      </c>
      <c r="D78" s="2" t="s">
        <v>12</v>
      </c>
      <c r="E78" s="8" t="n">
        <v>44396</v>
      </c>
      <c r="F78" s="2" t="s">
        <v>15</v>
      </c>
      <c r="G78" s="7" t="str">
        <f aca="false">HYPERLINK("https://mncourtfraud.com/file/MCRO_27-CR-20-2581_Order-Evaluation for Competency to Proceed (Rule 20.01)_2021-07-19_20251126180534.pdf","MCRO_27-CR-20-2581_Order-Evaluation for Competency to Proceed (Rule 20.01)_2021-07-19_20251126180534.pdf")</f>
        <v>MCRO_27-CR-20-2581_Order-Evaluation for Competency to Proceed (Rule 20.01)_2021-07-19_20251126180534.pdf</v>
      </c>
      <c r="H78" s="2" t="s">
        <v>1362</v>
      </c>
      <c r="I78" s="9" t="s">
        <v>2432</v>
      </c>
      <c r="J78" s="2" t="s">
        <v>2433</v>
      </c>
    </row>
    <row r="79" customFormat="false" ht="18.7" hidden="false" customHeight="true" outlineLevel="0" collapsed="false">
      <c r="A79" s="1" t="n">
        <v>78</v>
      </c>
      <c r="B79" s="7" t="str">
        <f aca="false">HYPERLINK("https://mncourtfraud.com/file/27-CR-20-2581.pdf","27-CR-20-2581")</f>
        <v>27-CR-20-2581</v>
      </c>
      <c r="C79" s="1" t="n">
        <v>1</v>
      </c>
      <c r="D79" s="2" t="s">
        <v>12</v>
      </c>
      <c r="E79" s="8" t="n">
        <v>44543</v>
      </c>
      <c r="F79" s="2" t="s">
        <v>15</v>
      </c>
      <c r="G79" s="7" t="str">
        <f aca="false">HYPERLINK("https://mncourtfraud.com/file/MCRO_27-CR-20-2581_Order-Evaluation for Competency to Proceed (Rule 20.01)_2021-12-13_20251126180544.pdf","MCRO_27-CR-20-2581_Order-Evaluation for Competency to Proceed (Rule 20.01)_2021-12-13_20251126180544.pdf")</f>
        <v>MCRO_27-CR-20-2581_Order-Evaluation for Competency to Proceed (Rule 20.01)_2021-12-13_20251126180544.pdf</v>
      </c>
      <c r="H79" s="2" t="s">
        <v>1362</v>
      </c>
      <c r="I79" s="9" t="s">
        <v>2434</v>
      </c>
      <c r="J79" s="2" t="s">
        <v>2435</v>
      </c>
    </row>
    <row r="80" customFormat="false" ht="18.7" hidden="false" customHeight="true" outlineLevel="0" collapsed="false">
      <c r="A80" s="1" t="n">
        <v>79</v>
      </c>
      <c r="B80" s="7" t="str">
        <f aca="false">HYPERLINK("https://mncourtfraud.com/file/27-CR-20-2581.pdf","27-CR-20-2581")</f>
        <v>27-CR-20-2581</v>
      </c>
      <c r="C80" s="1" t="n">
        <v>1</v>
      </c>
      <c r="D80" s="2" t="s">
        <v>12</v>
      </c>
      <c r="E80" s="8" t="n">
        <v>44558</v>
      </c>
      <c r="F80" s="2" t="s">
        <v>15</v>
      </c>
      <c r="G80" s="7" t="str">
        <f aca="false">HYPERLINK("https://mncourtfraud.com/file/MCRO_27-CR-20-2581_Order-Evaluation for Competency to Proceed (Rule 20.01)_2021-12-28_20251126180556.pdf","MCRO_27-CR-20-2581_Order-Evaluation for Competency to Proceed (Rule 20.01)_2021-12-28_20251126180556.pdf")</f>
        <v>MCRO_27-CR-20-2581_Order-Evaluation for Competency to Proceed (Rule 20.01)_2021-12-28_20251126180556.pdf</v>
      </c>
      <c r="H80" s="2" t="s">
        <v>1362</v>
      </c>
      <c r="I80" s="9" t="s">
        <v>2436</v>
      </c>
      <c r="J80" s="2" t="s">
        <v>2437</v>
      </c>
    </row>
    <row r="81" customFormat="false" ht="18.7" hidden="false" customHeight="true" outlineLevel="0" collapsed="false">
      <c r="A81" s="1" t="n">
        <v>80</v>
      </c>
      <c r="B81" s="7" t="str">
        <f aca="false">HYPERLINK("https://mncourtfraud.com/file/27-CR-20-2581.pdf","27-CR-20-2581")</f>
        <v>27-CR-20-2581</v>
      </c>
      <c r="C81" s="1" t="n">
        <v>1</v>
      </c>
      <c r="D81" s="2" t="s">
        <v>12</v>
      </c>
      <c r="E81" s="8" t="n">
        <v>44692</v>
      </c>
      <c r="F81" s="2" t="s">
        <v>15</v>
      </c>
      <c r="G81" s="7" t="str">
        <f aca="false">HYPERLINK("https://mncourtfraud.com/file/MCRO_27-CR-20-2581_Order-Evaluation for Competency to Proceed (Rule 20.01)_2022-05-11_20251126180606.pdf","MCRO_27-CR-20-2581_Order-Evaluation for Competency to Proceed (Rule 20.01)_2022-05-11_20251126180606.pdf")</f>
        <v>MCRO_27-CR-20-2581_Order-Evaluation for Competency to Proceed (Rule 20.01)_2022-05-11_20251126180606.pdf</v>
      </c>
      <c r="H81" s="2" t="s">
        <v>1362</v>
      </c>
      <c r="I81" s="9" t="s">
        <v>2438</v>
      </c>
      <c r="J81" s="2" t="s">
        <v>2408</v>
      </c>
    </row>
    <row r="82" customFormat="false" ht="18.7" hidden="false" customHeight="true" outlineLevel="0" collapsed="false">
      <c r="A82" s="1" t="n">
        <v>81</v>
      </c>
      <c r="B82" s="7" t="str">
        <f aca="false">HYPERLINK("https://mncourtfraud.com/file/27-CR-20-2581.pdf","27-CR-20-2581")</f>
        <v>27-CR-20-2581</v>
      </c>
      <c r="C82" s="1" t="n">
        <v>1</v>
      </c>
      <c r="D82" s="2" t="s">
        <v>12</v>
      </c>
      <c r="E82" s="8" t="n">
        <v>44895</v>
      </c>
      <c r="F82" s="2" t="s">
        <v>15</v>
      </c>
      <c r="G82" s="7" t="str">
        <f aca="false">HYPERLINK("https://mncourtfraud.com/file/MCRO_27-CR-20-2581_Order-Evaluation for Competency to Proceed (Rule 20.01)_2022-11-30_20251126180618.pdf","MCRO_27-CR-20-2581_Order-Evaluation for Competency to Proceed (Rule 20.01)_2022-11-30_20251126180618.pdf")</f>
        <v>MCRO_27-CR-20-2581_Order-Evaluation for Competency to Proceed (Rule 20.01)_2022-11-30_20251126180618.pdf</v>
      </c>
      <c r="H82" s="2" t="s">
        <v>1362</v>
      </c>
      <c r="I82" s="9" t="s">
        <v>2439</v>
      </c>
      <c r="J82" s="2" t="s">
        <v>2440</v>
      </c>
    </row>
    <row r="83" customFormat="false" ht="18.7" hidden="false" customHeight="true" outlineLevel="0" collapsed="false">
      <c r="A83" s="1" t="n">
        <v>82</v>
      </c>
      <c r="B83" s="7" t="str">
        <f aca="false">HYPERLINK("https://mncourtfraud.com/file/27-CR-20-2581.pdf","27-CR-20-2581")</f>
        <v>27-CR-20-2581</v>
      </c>
      <c r="C83" s="1" t="n">
        <v>1</v>
      </c>
      <c r="D83" s="2" t="s">
        <v>12</v>
      </c>
      <c r="E83" s="8" t="n">
        <v>45160</v>
      </c>
      <c r="F83" s="2" t="s">
        <v>15</v>
      </c>
      <c r="G83" s="7" t="str">
        <f aca="false">HYPERLINK("https://mncourtfraud.com/file/MCRO_27-CR-20-2581_Order-Evaluation for Competency to Proceed (Rule 20.01)_2023-08-22_20251126180632.pdf","MCRO_27-CR-20-2581_Order-Evaluation for Competency to Proceed (Rule 20.01)_2023-08-22_20251126180632.pdf")</f>
        <v>MCRO_27-CR-20-2581_Order-Evaluation for Competency to Proceed (Rule 20.01)_2023-08-22_20251126180632.pdf</v>
      </c>
      <c r="H83" s="2" t="s">
        <v>1519</v>
      </c>
      <c r="I83" s="9" t="s">
        <v>2410</v>
      </c>
      <c r="J83" s="2" t="s">
        <v>2411</v>
      </c>
      <c r="K83" s="2" t="s">
        <v>1362</v>
      </c>
      <c r="L83" s="9" t="s">
        <v>2441</v>
      </c>
      <c r="M83" s="2" t="s">
        <v>2442</v>
      </c>
    </row>
    <row r="84" customFormat="false" ht="18.7" hidden="false" customHeight="true" outlineLevel="0" collapsed="false">
      <c r="A84" s="1" t="n">
        <v>83</v>
      </c>
      <c r="B84" s="7" t="str">
        <f aca="false">HYPERLINK("https://mncourtfraud.com/file/27-CR-20-2581.pdf","27-CR-20-2581")</f>
        <v>27-CR-20-2581</v>
      </c>
      <c r="C84" s="1" t="n">
        <v>1</v>
      </c>
      <c r="D84" s="2" t="s">
        <v>12</v>
      </c>
      <c r="E84" s="8" t="n">
        <v>43970</v>
      </c>
      <c r="F84" s="2" t="s">
        <v>17</v>
      </c>
      <c r="G84" s="7" t="str">
        <f aca="false">HYPERLINK("https://mncourtfraud.com/file/MCRO_27-CR-20-2581_Returned Mail_2020-05-19_20251126180706.pdf","MCRO_27-CR-20-2581_Returned Mail_2020-05-19_20251126180706.pdf")</f>
        <v>MCRO_27-CR-20-2581_Returned Mail_2020-05-19_20251126180706.pdf</v>
      </c>
      <c r="H84" s="2" t="s">
        <v>1362</v>
      </c>
      <c r="I84" s="9" t="s">
        <v>2443</v>
      </c>
      <c r="J84" s="2" t="s">
        <v>2444</v>
      </c>
    </row>
    <row r="85" customFormat="false" ht="18.7" hidden="false" customHeight="true" outlineLevel="0" collapsed="false">
      <c r="A85" s="1" t="n">
        <v>84</v>
      </c>
      <c r="B85" s="7" t="str">
        <f aca="false">HYPERLINK("https://mncourtfraud.com/file/27-CR-20-5618.pdf","27-CR-20-5618")</f>
        <v>27-CR-20-5618</v>
      </c>
      <c r="C85" s="1" t="n">
        <v>1</v>
      </c>
      <c r="D85" s="2" t="s">
        <v>12</v>
      </c>
      <c r="E85" s="8" t="n">
        <v>45048</v>
      </c>
      <c r="F85" s="2" t="s">
        <v>80</v>
      </c>
      <c r="G85" s="7" t="str">
        <f aca="false">HYPERLINK("https://mncourtfraud.com/file/MCRO_27-CR-20-5618_Finding of Incompetency and Order_2023-05-02_20251126180741.pdf","MCRO_27-CR-20-5618_Finding of Incompetency and Order_2023-05-02_20251126180741.pdf")</f>
        <v>MCRO_27-CR-20-5618_Finding of Incompetency and Order_2023-05-02_20251126180741.pdf</v>
      </c>
      <c r="H85" s="2" t="s">
        <v>1492</v>
      </c>
      <c r="I85" s="9" t="s">
        <v>2385</v>
      </c>
      <c r="J85" s="2" t="s">
        <v>2386</v>
      </c>
      <c r="K85" s="2" t="s">
        <v>1496</v>
      </c>
      <c r="L85" s="9" t="s">
        <v>2387</v>
      </c>
      <c r="M85" s="2" t="s">
        <v>2388</v>
      </c>
      <c r="N85" s="2" t="s">
        <v>1362</v>
      </c>
      <c r="O85" s="9" t="s">
        <v>2445</v>
      </c>
      <c r="P85" s="2" t="s">
        <v>2446</v>
      </c>
    </row>
    <row r="86" customFormat="false" ht="18.7" hidden="false" customHeight="true" outlineLevel="0" collapsed="false">
      <c r="A86" s="1" t="n">
        <v>85</v>
      </c>
      <c r="B86" s="7" t="str">
        <f aca="false">HYPERLINK("https://mncourtfraud.com/file/27-CR-20-5618.pdf","27-CR-20-5618")</f>
        <v>27-CR-20-5618</v>
      </c>
      <c r="C86" s="1" t="n">
        <v>1</v>
      </c>
      <c r="D86" s="2" t="s">
        <v>12</v>
      </c>
      <c r="E86" s="8" t="n">
        <v>44103</v>
      </c>
      <c r="F86" s="2" t="s">
        <v>19</v>
      </c>
      <c r="G86" s="7" t="str">
        <f aca="false">HYPERLINK("https://mncourtfraud.com/file/MCRO_27-CR-20-5618_Findings and Order_2020-09-29_20251126180807.pdf","MCRO_27-CR-20-5618_Findings and Order_2020-09-29_20251126180807.pdf")</f>
        <v>MCRO_27-CR-20-5618_Findings and Order_2020-09-29_20251126180807.pdf</v>
      </c>
      <c r="H86" s="2" t="s">
        <v>1362</v>
      </c>
      <c r="I86" s="9" t="s">
        <v>2447</v>
      </c>
      <c r="J86" s="2" t="s">
        <v>2448</v>
      </c>
    </row>
    <row r="87" customFormat="false" ht="18.7" hidden="false" customHeight="true" outlineLevel="0" collapsed="false">
      <c r="A87" s="1" t="n">
        <v>86</v>
      </c>
      <c r="B87" s="7" t="str">
        <f aca="false">HYPERLINK("https://mncourtfraud.com/file/27-CR-20-5618.pdf","27-CR-20-5618")</f>
        <v>27-CR-20-5618</v>
      </c>
      <c r="C87" s="1" t="n">
        <v>1</v>
      </c>
      <c r="D87" s="2" t="s">
        <v>12</v>
      </c>
      <c r="E87" s="8" t="n">
        <v>44439</v>
      </c>
      <c r="F87" s="2" t="s">
        <v>19</v>
      </c>
      <c r="G87" s="7" t="str">
        <f aca="false">HYPERLINK("https://mncourtfraud.com/file/MCRO_27-CR-20-5618_Findings and Order_2021-08-31_20251126180821.pdf","MCRO_27-CR-20-5618_Findings and Order_2021-08-31_20251126180821.pdf")</f>
        <v>MCRO_27-CR-20-5618_Findings and Order_2021-08-31_20251126180821.pdf</v>
      </c>
      <c r="H87" s="2" t="s">
        <v>1368</v>
      </c>
      <c r="I87" s="9" t="s">
        <v>2284</v>
      </c>
      <c r="J87" s="2" t="s">
        <v>2285</v>
      </c>
      <c r="K87" s="2" t="s">
        <v>1362</v>
      </c>
      <c r="L87" s="9" t="s">
        <v>2449</v>
      </c>
      <c r="M87" s="2" t="s">
        <v>2450</v>
      </c>
    </row>
    <row r="88" customFormat="false" ht="18.7" hidden="false" customHeight="true" outlineLevel="0" collapsed="false">
      <c r="A88" s="1" t="n">
        <v>87</v>
      </c>
      <c r="B88" s="7" t="str">
        <f aca="false">HYPERLINK("https://mncourtfraud.com/file/27-CR-20-5618.pdf","27-CR-20-5618")</f>
        <v>27-CR-20-5618</v>
      </c>
      <c r="C88" s="1" t="n">
        <v>1</v>
      </c>
      <c r="D88" s="2" t="s">
        <v>12</v>
      </c>
      <c r="E88" s="8" t="n">
        <v>44593</v>
      </c>
      <c r="F88" s="2" t="s">
        <v>19</v>
      </c>
      <c r="G88" s="7" t="str">
        <f aca="false">HYPERLINK("https://mncourtfraud.com/file/MCRO_27-CR-20-5618_Findings and Order_2022-02-01_20251126180755.pdf","MCRO_27-CR-20-5618_Findings and Order_2022-02-01_20251126180755.pdf")</f>
        <v>MCRO_27-CR-20-5618_Findings and Order_2022-02-01_20251126180755.pdf</v>
      </c>
      <c r="H88" s="2" t="s">
        <v>1368</v>
      </c>
      <c r="I88" s="9" t="s">
        <v>2288</v>
      </c>
      <c r="J88" s="2" t="s">
        <v>2289</v>
      </c>
      <c r="K88" s="2" t="s">
        <v>1362</v>
      </c>
      <c r="L88" s="9" t="s">
        <v>2451</v>
      </c>
      <c r="M88" s="2" t="s">
        <v>2425</v>
      </c>
    </row>
    <row r="89" customFormat="false" ht="18.7" hidden="false" customHeight="true" outlineLevel="0" collapsed="false">
      <c r="A89" s="1" t="n">
        <v>88</v>
      </c>
      <c r="B89" s="7" t="str">
        <f aca="false">HYPERLINK("https://mncourtfraud.com/file/27-CR-20-5618.pdf","27-CR-20-5618")</f>
        <v>27-CR-20-5618</v>
      </c>
      <c r="C89" s="1" t="n">
        <v>1</v>
      </c>
      <c r="D89" s="2" t="s">
        <v>12</v>
      </c>
      <c r="E89" s="8" t="n">
        <v>45093</v>
      </c>
      <c r="F89" s="2" t="s">
        <v>82</v>
      </c>
      <c r="G89" s="7" t="str">
        <f aca="false">HYPERLINK("https://mncourtfraud.com/file/MCRO_27-CR-20-5618_Notice of Case Reassignment_2023-06-16_20251126180834.pdf","MCRO_27-CR-20-5618_Notice of Case Reassignment_2023-06-16_20251126180834.pdf")</f>
        <v>MCRO_27-CR-20-5618_Notice of Case Reassignment_2023-06-16_20251126180834.pdf</v>
      </c>
      <c r="H89" s="2" t="s">
        <v>1362</v>
      </c>
      <c r="I89" s="9" t="s">
        <v>2452</v>
      </c>
      <c r="J89" s="2" t="s">
        <v>2453</v>
      </c>
    </row>
    <row r="90" customFormat="false" ht="18.7" hidden="false" customHeight="true" outlineLevel="0" collapsed="false">
      <c r="A90" s="1" t="n">
        <v>89</v>
      </c>
      <c r="B90" s="7" t="str">
        <f aca="false">HYPERLINK("https://mncourtfraud.com/file/27-CR-20-5618.pdf","27-CR-20-5618")</f>
        <v>27-CR-20-5618</v>
      </c>
      <c r="C90" s="1" t="n">
        <v>1</v>
      </c>
      <c r="D90" s="2" t="s">
        <v>12</v>
      </c>
      <c r="E90" s="8" t="n">
        <v>44460</v>
      </c>
      <c r="F90" s="2" t="s">
        <v>24</v>
      </c>
      <c r="G90" s="7" t="str">
        <f aca="false">HYPERLINK("https://mncourtfraud.com/file/MCRO_27-CR-20-5618_Order for Conditional Release_2021-09-21_20251126180857.pdf","MCRO_27-CR-20-5618_Order for Conditional Release_2021-09-21_20251126180857.pdf")</f>
        <v>MCRO_27-CR-20-5618_Order for Conditional Release_2021-09-21_20251126180857.pdf</v>
      </c>
      <c r="H90" s="2" t="s">
        <v>1362</v>
      </c>
      <c r="I90" s="9" t="s">
        <v>2454</v>
      </c>
      <c r="J90" s="2" t="s">
        <v>2293</v>
      </c>
    </row>
    <row r="91" customFormat="false" ht="18.7" hidden="false" customHeight="true" outlineLevel="0" collapsed="false">
      <c r="A91" s="1" t="n">
        <v>90</v>
      </c>
      <c r="B91" s="7" t="str">
        <f aca="false">HYPERLINK("https://mncourtfraud.com/file/27-CR-20-5618.pdf","27-CR-20-5618")</f>
        <v>27-CR-20-5618</v>
      </c>
      <c r="C91" s="1" t="n">
        <v>1</v>
      </c>
      <c r="D91" s="2" t="s">
        <v>12</v>
      </c>
      <c r="E91" s="8" t="n">
        <v>44468</v>
      </c>
      <c r="F91" s="2" t="s">
        <v>24</v>
      </c>
      <c r="G91" s="7" t="str">
        <f aca="false">HYPERLINK("https://mncourtfraud.com/file/MCRO_27-CR-20-5618_Order for Conditional Release_2021-09-29_20251126180905.pdf","MCRO_27-CR-20-5618_Order for Conditional Release_2021-09-29_20251126180905.pdf")</f>
        <v>MCRO_27-CR-20-5618_Order for Conditional Release_2021-09-29_20251126180905.pdf</v>
      </c>
      <c r="H91" s="2" t="s">
        <v>1362</v>
      </c>
      <c r="I91" s="9" t="s">
        <v>2455</v>
      </c>
      <c r="J91" s="2" t="s">
        <v>2456</v>
      </c>
    </row>
    <row r="92" customFormat="false" ht="18.7" hidden="false" customHeight="true" outlineLevel="0" collapsed="false">
      <c r="A92" s="1" t="n">
        <v>91</v>
      </c>
      <c r="B92" s="7" t="str">
        <f aca="false">HYPERLINK("https://mncourtfraud.com/file/27-CR-20-5618.pdf","27-CR-20-5618")</f>
        <v>27-CR-20-5618</v>
      </c>
      <c r="C92" s="1" t="n">
        <v>1</v>
      </c>
      <c r="D92" s="2" t="s">
        <v>12</v>
      </c>
      <c r="E92" s="8" t="n">
        <v>43902</v>
      </c>
      <c r="F92" s="2" t="s">
        <v>15</v>
      </c>
      <c r="G92" s="7" t="str">
        <f aca="false">HYPERLINK("https://mncourtfraud.com/file/MCRO_27-CR-20-5618_Order-Evaluation for Competency to Proceed (Rule 20.01)_2020-03-12_20251126181032.pdf","MCRO_27-CR-20-5618_Order-Evaluation for Competency to Proceed (Rule 20.01)_2020-03-12_20251126181032.pdf")</f>
        <v>MCRO_27-CR-20-5618_Order-Evaluation for Competency to Proceed (Rule 20.01)_2020-03-12_20251126181032.pdf</v>
      </c>
      <c r="H92" s="2" t="s">
        <v>1362</v>
      </c>
      <c r="I92" s="9" t="s">
        <v>2457</v>
      </c>
      <c r="J92" s="2" t="s">
        <v>2458</v>
      </c>
    </row>
    <row r="93" customFormat="false" ht="18.7" hidden="false" customHeight="true" outlineLevel="0" collapsed="false">
      <c r="A93" s="1" t="n">
        <v>92</v>
      </c>
      <c r="B93" s="7" t="str">
        <f aca="false">HYPERLINK("https://mncourtfraud.com/file/27-CR-20-5618.pdf","27-CR-20-5618")</f>
        <v>27-CR-20-5618</v>
      </c>
      <c r="C93" s="1" t="n">
        <v>1</v>
      </c>
      <c r="D93" s="2" t="s">
        <v>12</v>
      </c>
      <c r="E93" s="8" t="n">
        <v>44225</v>
      </c>
      <c r="F93" s="2" t="s">
        <v>15</v>
      </c>
      <c r="G93" s="7" t="str">
        <f aca="false">HYPERLINK("https://mncourtfraud.com/file/MCRO_27-CR-20-5618_Order-Evaluation for Competency to Proceed (Rule 20.01)_2021-01-29_20251126181045.pdf","MCRO_27-CR-20-5618_Order-Evaluation for Competency to Proceed (Rule 20.01)_2021-01-29_20251126181045.pdf")</f>
        <v>MCRO_27-CR-20-5618_Order-Evaluation for Competency to Proceed (Rule 20.01)_2021-01-29_20251126181045.pdf</v>
      </c>
      <c r="H93" s="2" t="s">
        <v>1362</v>
      </c>
      <c r="I93" s="9" t="s">
        <v>2459</v>
      </c>
      <c r="J93" s="2" t="s">
        <v>2460</v>
      </c>
    </row>
    <row r="94" customFormat="false" ht="18.7" hidden="false" customHeight="true" outlineLevel="0" collapsed="false">
      <c r="A94" s="1" t="n">
        <v>93</v>
      </c>
      <c r="B94" s="7" t="str">
        <f aca="false">HYPERLINK("https://mncourtfraud.com/file/27-CR-20-5618.pdf","27-CR-20-5618")</f>
        <v>27-CR-20-5618</v>
      </c>
      <c r="C94" s="1" t="n">
        <v>1</v>
      </c>
      <c r="D94" s="2" t="s">
        <v>12</v>
      </c>
      <c r="E94" s="8" t="n">
        <v>44396</v>
      </c>
      <c r="F94" s="2" t="s">
        <v>15</v>
      </c>
      <c r="G94" s="7" t="str">
        <f aca="false">HYPERLINK("https://mncourtfraud.com/file/MCRO_27-CR-20-5618_Order-Evaluation for Competency to Proceed (Rule 20.01)_2021-07-19_20251126180920.pdf","MCRO_27-CR-20-5618_Order-Evaluation for Competency to Proceed (Rule 20.01)_2021-07-19_20251126180920.pdf")</f>
        <v>MCRO_27-CR-20-5618_Order-Evaluation for Competency to Proceed (Rule 20.01)_2021-07-19_20251126180920.pdf</v>
      </c>
      <c r="H94" s="2" t="s">
        <v>1362</v>
      </c>
      <c r="I94" s="9" t="s">
        <v>2461</v>
      </c>
      <c r="J94" s="2" t="s">
        <v>2462</v>
      </c>
    </row>
    <row r="95" customFormat="false" ht="18.7" hidden="false" customHeight="true" outlineLevel="0" collapsed="false">
      <c r="A95" s="1" t="n">
        <v>94</v>
      </c>
      <c r="B95" s="7" t="str">
        <f aca="false">HYPERLINK("https://mncourtfraud.com/file/27-CR-20-5618.pdf","27-CR-20-5618")</f>
        <v>27-CR-20-5618</v>
      </c>
      <c r="C95" s="1" t="n">
        <v>1</v>
      </c>
      <c r="D95" s="2" t="s">
        <v>12</v>
      </c>
      <c r="E95" s="8" t="n">
        <v>44543</v>
      </c>
      <c r="F95" s="2" t="s">
        <v>15</v>
      </c>
      <c r="G95" s="7" t="str">
        <f aca="false">HYPERLINK("https://mncourtfraud.com/file/MCRO_27-CR-20-5618_Order-Evaluation for Competency to Proceed (Rule 20.01)_2021-12-13_20251126180931.pdf","MCRO_27-CR-20-5618_Order-Evaluation for Competency to Proceed (Rule 20.01)_2021-12-13_20251126180931.pdf")</f>
        <v>MCRO_27-CR-20-5618_Order-Evaluation for Competency to Proceed (Rule 20.01)_2021-12-13_20251126180931.pdf</v>
      </c>
      <c r="H95" s="2" t="s">
        <v>1362</v>
      </c>
      <c r="I95" s="9" t="s">
        <v>2463</v>
      </c>
      <c r="J95" s="2" t="s">
        <v>2464</v>
      </c>
    </row>
    <row r="96" customFormat="false" ht="18.7" hidden="false" customHeight="true" outlineLevel="0" collapsed="false">
      <c r="A96" s="1" t="n">
        <v>95</v>
      </c>
      <c r="B96" s="7" t="str">
        <f aca="false">HYPERLINK("https://mncourtfraud.com/file/27-CR-20-5618.pdf","27-CR-20-5618")</f>
        <v>27-CR-20-5618</v>
      </c>
      <c r="C96" s="1" t="n">
        <v>1</v>
      </c>
      <c r="D96" s="2" t="s">
        <v>12</v>
      </c>
      <c r="E96" s="8" t="n">
        <v>44558</v>
      </c>
      <c r="F96" s="2" t="s">
        <v>15</v>
      </c>
      <c r="G96" s="7" t="str">
        <f aca="false">HYPERLINK("https://mncourtfraud.com/file/MCRO_27-CR-20-5618_Order-Evaluation for Competency to Proceed (Rule 20.01)_2021-12-28_20251126180947.pdf","MCRO_27-CR-20-5618_Order-Evaluation for Competency to Proceed (Rule 20.01)_2021-12-28_20251126180947.pdf")</f>
        <v>MCRO_27-CR-20-5618_Order-Evaluation for Competency to Proceed (Rule 20.01)_2021-12-28_20251126180947.pdf</v>
      </c>
      <c r="H96" s="2" t="s">
        <v>1362</v>
      </c>
      <c r="I96" s="9" t="s">
        <v>2465</v>
      </c>
      <c r="J96" s="2" t="s">
        <v>2466</v>
      </c>
    </row>
    <row r="97" customFormat="false" ht="18.7" hidden="false" customHeight="true" outlineLevel="0" collapsed="false">
      <c r="A97" s="1" t="n">
        <v>96</v>
      </c>
      <c r="B97" s="7" t="str">
        <f aca="false">HYPERLINK("https://mncourtfraud.com/file/27-CR-20-5618.pdf","27-CR-20-5618")</f>
        <v>27-CR-20-5618</v>
      </c>
      <c r="C97" s="1" t="n">
        <v>1</v>
      </c>
      <c r="D97" s="2" t="s">
        <v>12</v>
      </c>
      <c r="E97" s="8" t="n">
        <v>44692</v>
      </c>
      <c r="F97" s="2" t="s">
        <v>15</v>
      </c>
      <c r="G97" s="7" t="str">
        <f aca="false">HYPERLINK("https://mncourtfraud.com/file/MCRO_27-CR-20-5618_Order-Evaluation for Competency to Proceed (Rule 20.01)_2022-05-11_20251126180958.pdf","MCRO_27-CR-20-5618_Order-Evaluation for Competency to Proceed (Rule 20.01)_2022-05-11_20251126180958.pdf")</f>
        <v>MCRO_27-CR-20-5618_Order-Evaluation for Competency to Proceed (Rule 20.01)_2022-05-11_20251126180958.pdf</v>
      </c>
      <c r="H97" s="2" t="s">
        <v>1362</v>
      </c>
      <c r="I97" s="9" t="s">
        <v>2467</v>
      </c>
      <c r="J97" s="2" t="s">
        <v>2408</v>
      </c>
    </row>
    <row r="98" customFormat="false" ht="18.7" hidden="false" customHeight="true" outlineLevel="0" collapsed="false">
      <c r="A98" s="1" t="n">
        <v>97</v>
      </c>
      <c r="B98" s="7" t="str">
        <f aca="false">HYPERLINK("https://mncourtfraud.com/file/27-CR-20-5618.pdf","27-CR-20-5618")</f>
        <v>27-CR-20-5618</v>
      </c>
      <c r="C98" s="1" t="n">
        <v>1</v>
      </c>
      <c r="D98" s="2" t="s">
        <v>12</v>
      </c>
      <c r="E98" s="8" t="n">
        <v>44895</v>
      </c>
      <c r="F98" s="2" t="s">
        <v>15</v>
      </c>
      <c r="G98" s="7" t="str">
        <f aca="false">HYPERLINK("https://mncourtfraud.com/file/MCRO_27-CR-20-5618_Order-Evaluation for Competency to Proceed (Rule 20.01)_2022-11-30_20251126181007.pdf","MCRO_27-CR-20-5618_Order-Evaluation for Competency to Proceed (Rule 20.01)_2022-11-30_20251126181007.pdf")</f>
        <v>MCRO_27-CR-20-5618_Order-Evaluation for Competency to Proceed (Rule 20.01)_2022-11-30_20251126181007.pdf</v>
      </c>
      <c r="H98" s="2" t="s">
        <v>1362</v>
      </c>
      <c r="I98" s="9" t="s">
        <v>2468</v>
      </c>
      <c r="J98" s="2" t="s">
        <v>2469</v>
      </c>
    </row>
    <row r="99" customFormat="false" ht="18.7" hidden="false" customHeight="true" outlineLevel="0" collapsed="false">
      <c r="A99" s="1" t="n">
        <v>98</v>
      </c>
      <c r="B99" s="7" t="str">
        <f aca="false">HYPERLINK("https://mncourtfraud.com/file/27-CR-20-5618.pdf","27-CR-20-5618")</f>
        <v>27-CR-20-5618</v>
      </c>
      <c r="C99" s="1" t="n">
        <v>1</v>
      </c>
      <c r="D99" s="2" t="s">
        <v>12</v>
      </c>
      <c r="E99" s="8" t="n">
        <v>45160</v>
      </c>
      <c r="F99" s="2" t="s">
        <v>15</v>
      </c>
      <c r="G99" s="7" t="str">
        <f aca="false">HYPERLINK("https://mncourtfraud.com/file/MCRO_27-CR-20-5618_Order-Evaluation for Competency to Proceed (Rule 20.01)_2023-08-22_20251126181021.pdf","MCRO_27-CR-20-5618_Order-Evaluation for Competency to Proceed (Rule 20.01)_2023-08-22_20251126181021.pdf")</f>
        <v>MCRO_27-CR-20-5618_Order-Evaluation for Competency to Proceed (Rule 20.01)_2023-08-22_20251126181021.pdf</v>
      </c>
      <c r="H99" s="2" t="s">
        <v>1519</v>
      </c>
      <c r="I99" s="9" t="s">
        <v>2410</v>
      </c>
      <c r="J99" s="2" t="s">
        <v>2411</v>
      </c>
      <c r="K99" s="2" t="s">
        <v>1362</v>
      </c>
      <c r="L99" s="9" t="s">
        <v>2470</v>
      </c>
      <c r="M99" s="2" t="s">
        <v>2471</v>
      </c>
    </row>
    <row r="100" customFormat="false" ht="18.7" hidden="false" customHeight="true" outlineLevel="0" collapsed="false">
      <c r="A100" s="1" t="n">
        <v>99</v>
      </c>
      <c r="B100" s="7" t="str">
        <f aca="false">HYPERLINK("https://mncourtfraud.com/file/27-CR-20-5618.pdf","27-CR-20-5618")</f>
        <v>27-CR-20-5618</v>
      </c>
      <c r="C100" s="1" t="n">
        <v>1</v>
      </c>
      <c r="D100" s="2" t="s">
        <v>12</v>
      </c>
      <c r="E100" s="8" t="n">
        <v>43970</v>
      </c>
      <c r="F100" s="2" t="s">
        <v>17</v>
      </c>
      <c r="G100" s="7" t="str">
        <f aca="false">HYPERLINK("https://mncourtfraud.com/file/MCRO_27-CR-20-5618_Returned Mail_2020-05-19_20251126181057.pdf","MCRO_27-CR-20-5618_Returned Mail_2020-05-19_20251126181057.pdf")</f>
        <v>MCRO_27-CR-20-5618_Returned Mail_2020-05-19_20251126181057.pdf</v>
      </c>
      <c r="H100" s="2" t="s">
        <v>1362</v>
      </c>
      <c r="I100" s="9" t="s">
        <v>2472</v>
      </c>
      <c r="J100" s="2" t="s">
        <v>2444</v>
      </c>
    </row>
    <row r="101" customFormat="false" ht="18.7" hidden="false" customHeight="true" outlineLevel="0" collapsed="false">
      <c r="A101" s="1" t="n">
        <v>100</v>
      </c>
      <c r="B101" s="7" t="str">
        <f aca="false">HYPERLINK("https://mncourtfraud.com/file/27-CR-20-693.pdf","27-CR-20-693")</f>
        <v>27-CR-20-693</v>
      </c>
      <c r="C101" s="1" t="n">
        <v>1</v>
      </c>
      <c r="D101" s="2" t="s">
        <v>12</v>
      </c>
      <c r="E101" s="8" t="n">
        <v>43844</v>
      </c>
      <c r="F101" s="2" t="s">
        <v>13</v>
      </c>
      <c r="G101" s="7" t="str">
        <f aca="false">HYPERLINK("https://mncourtfraud.com/file/MCRO_27-CR-20-693_Find of Fact-Order, Pet Commitment-Dfd Found Incompetent_2020-01-14_20251126181126.pdf","MCRO_27-CR-20-693_Find of Fact-Order, Pet Commitment-Dfd Found Incompetent_2020-01-14_20251126181126.pdf")</f>
        <v>MCRO_27-CR-20-693_Find of Fact-Order, Pet Commitment-Dfd Found Incompetent_2020-01-14_20251126181126.pdf</v>
      </c>
      <c r="H101" s="2" t="s">
        <v>1362</v>
      </c>
      <c r="I101" s="9" t="s">
        <v>2473</v>
      </c>
      <c r="J101" s="2" t="s">
        <v>2474</v>
      </c>
    </row>
    <row r="102" customFormat="false" ht="18.7" hidden="false" customHeight="true" outlineLevel="0" collapsed="false">
      <c r="A102" s="1" t="n">
        <v>101</v>
      </c>
      <c r="B102" s="7" t="str">
        <f aca="false">HYPERLINK("https://mncourtfraud.com/file/27-CR-20-693.pdf","27-CR-20-693")</f>
        <v>27-CR-20-693</v>
      </c>
      <c r="C102" s="1" t="n">
        <v>1</v>
      </c>
      <c r="D102" s="2" t="s">
        <v>12</v>
      </c>
      <c r="E102" s="8" t="n">
        <v>44103</v>
      </c>
      <c r="F102" s="2" t="s">
        <v>19</v>
      </c>
      <c r="G102" s="7" t="str">
        <f aca="false">HYPERLINK("https://mncourtfraud.com/file/MCRO_27-CR-20-693_Findings and Order_2020-09-29_20251126181151.pdf","MCRO_27-CR-20-693_Findings and Order_2020-09-29_20251126181151.pdf")</f>
        <v>MCRO_27-CR-20-693_Findings and Order_2020-09-29_20251126181151.pdf</v>
      </c>
      <c r="H102" s="2" t="s">
        <v>1362</v>
      </c>
      <c r="I102" s="9" t="s">
        <v>2475</v>
      </c>
      <c r="J102" s="2" t="s">
        <v>2476</v>
      </c>
    </row>
    <row r="103" customFormat="false" ht="18.7" hidden="false" customHeight="true" outlineLevel="0" collapsed="false">
      <c r="A103" s="1" t="n">
        <v>102</v>
      </c>
      <c r="B103" s="7" t="str">
        <f aca="false">HYPERLINK("https://mncourtfraud.com/file/27-CR-20-693.pdf","27-CR-20-693")</f>
        <v>27-CR-20-693</v>
      </c>
      <c r="C103" s="1" t="n">
        <v>1</v>
      </c>
      <c r="D103" s="2" t="s">
        <v>12</v>
      </c>
      <c r="E103" s="8" t="n">
        <v>44439</v>
      </c>
      <c r="F103" s="2" t="s">
        <v>19</v>
      </c>
      <c r="G103" s="7" t="str">
        <f aca="false">HYPERLINK("https://mncourtfraud.com/file/MCRO_27-CR-20-693_Findings and Order_2021-08-31_20251126181201.pdf","MCRO_27-CR-20-693_Findings and Order_2021-08-31_20251126181201.pdf")</f>
        <v>MCRO_27-CR-20-693_Findings and Order_2021-08-31_20251126181201.pdf</v>
      </c>
      <c r="H103" s="2" t="s">
        <v>1368</v>
      </c>
      <c r="I103" s="9" t="s">
        <v>2284</v>
      </c>
      <c r="J103" s="2" t="s">
        <v>2285</v>
      </c>
      <c r="K103" s="2" t="s">
        <v>1362</v>
      </c>
      <c r="L103" s="9" t="s">
        <v>2477</v>
      </c>
      <c r="M103" s="2" t="s">
        <v>2478</v>
      </c>
    </row>
    <row r="104" customFormat="false" ht="18.7" hidden="false" customHeight="true" outlineLevel="0" collapsed="false">
      <c r="A104" s="1" t="n">
        <v>103</v>
      </c>
      <c r="B104" s="7" t="str">
        <f aca="false">HYPERLINK("https://mncourtfraud.com/file/27-CR-20-693.pdf","27-CR-20-693")</f>
        <v>27-CR-20-693</v>
      </c>
      <c r="C104" s="1" t="n">
        <v>1</v>
      </c>
      <c r="D104" s="2" t="s">
        <v>12</v>
      </c>
      <c r="E104" s="8" t="n">
        <v>44593</v>
      </c>
      <c r="F104" s="2" t="s">
        <v>19</v>
      </c>
      <c r="G104" s="7" t="str">
        <f aca="false">HYPERLINK("https://mncourtfraud.com/file/MCRO_27-CR-20-693_Findings and Order_2022-02-01_20251126181139.pdf","MCRO_27-CR-20-693_Findings and Order_2022-02-01_20251126181139.pdf")</f>
        <v>MCRO_27-CR-20-693_Findings and Order_2022-02-01_20251126181139.pdf</v>
      </c>
      <c r="H104" s="2" t="s">
        <v>1368</v>
      </c>
      <c r="I104" s="9" t="s">
        <v>2288</v>
      </c>
      <c r="J104" s="2" t="s">
        <v>2289</v>
      </c>
      <c r="K104" s="2" t="s">
        <v>1362</v>
      </c>
      <c r="L104" s="9" t="s">
        <v>2479</v>
      </c>
      <c r="M104" s="2" t="s">
        <v>2291</v>
      </c>
    </row>
    <row r="105" customFormat="false" ht="18.7" hidden="false" customHeight="true" outlineLevel="0" collapsed="false">
      <c r="A105" s="1" t="n">
        <v>104</v>
      </c>
      <c r="B105" s="7" t="str">
        <f aca="false">HYPERLINK("https://mncourtfraud.com/file/27-CR-20-693.pdf","27-CR-20-693")</f>
        <v>27-CR-20-693</v>
      </c>
      <c r="C105" s="1" t="n">
        <v>1</v>
      </c>
      <c r="D105" s="2" t="s">
        <v>12</v>
      </c>
      <c r="E105" s="8" t="n">
        <v>44460</v>
      </c>
      <c r="F105" s="2" t="s">
        <v>24</v>
      </c>
      <c r="G105" s="7" t="str">
        <f aca="false">HYPERLINK("https://mncourtfraud.com/file/MCRO_27-CR-20-693_Order for Conditional Release_2021-09-21_20251126181227.pdf","MCRO_27-CR-20-693_Order for Conditional Release_2021-09-21_20251126181227.pdf")</f>
        <v>MCRO_27-CR-20-693_Order for Conditional Release_2021-09-21_20251126181227.pdf</v>
      </c>
      <c r="H105" s="2" t="s">
        <v>1362</v>
      </c>
      <c r="I105" s="9" t="s">
        <v>2480</v>
      </c>
      <c r="J105" s="2" t="s">
        <v>2293</v>
      </c>
    </row>
    <row r="106" customFormat="false" ht="18.7" hidden="false" customHeight="true" outlineLevel="0" collapsed="false">
      <c r="A106" s="1" t="n">
        <v>105</v>
      </c>
      <c r="B106" s="7" t="str">
        <f aca="false">HYPERLINK("https://mncourtfraud.com/file/27-CR-20-693.pdf","27-CR-20-693")</f>
        <v>27-CR-20-693</v>
      </c>
      <c r="C106" s="1" t="n">
        <v>1</v>
      </c>
      <c r="D106" s="2" t="s">
        <v>12</v>
      </c>
      <c r="E106" s="8" t="n">
        <v>44468</v>
      </c>
      <c r="F106" s="2" t="s">
        <v>24</v>
      </c>
      <c r="G106" s="7" t="str">
        <f aca="false">HYPERLINK("https://mncourtfraud.com/file/MCRO_27-CR-20-693_Order for Conditional Release_2021-09-29_20251126181223.pdf","MCRO_27-CR-20-693_Order for Conditional Release_2021-09-29_20251126181223.pdf")</f>
        <v>MCRO_27-CR-20-693_Order for Conditional Release_2021-09-29_20251126181223.pdf</v>
      </c>
      <c r="H106" s="2" t="s">
        <v>1362</v>
      </c>
      <c r="I106" s="9" t="s">
        <v>2481</v>
      </c>
      <c r="J106" s="2" t="s">
        <v>2482</v>
      </c>
    </row>
    <row r="107" customFormat="false" ht="18.7" hidden="false" customHeight="true" outlineLevel="0" collapsed="false">
      <c r="A107" s="1" t="n">
        <v>106</v>
      </c>
      <c r="B107" s="7" t="str">
        <f aca="false">HYPERLINK("https://mncourtfraud.com/file/27-CR-20-693.pdf","27-CR-20-693")</f>
        <v>27-CR-20-693</v>
      </c>
      <c r="C107" s="1" t="n">
        <v>1</v>
      </c>
      <c r="D107" s="2" t="s">
        <v>12</v>
      </c>
      <c r="E107" s="8" t="n">
        <v>43902</v>
      </c>
      <c r="F107" s="2" t="s">
        <v>15</v>
      </c>
      <c r="G107" s="7" t="str">
        <f aca="false">HYPERLINK("https://mncourtfraud.com/file/MCRO_27-CR-20-693_Order-Evaluation for Competency to Proceed (Rule 20.01)_2020-03-12_20251126181339.pdf","MCRO_27-CR-20-693_Order-Evaluation for Competency to Proceed (Rule 20.01)_2020-03-12_20251126181339.pdf")</f>
        <v>MCRO_27-CR-20-693_Order-Evaluation for Competency to Proceed (Rule 20.01)_2020-03-12_20251126181339.pdf</v>
      </c>
      <c r="H107" s="2" t="s">
        <v>1362</v>
      </c>
      <c r="I107" s="9" t="s">
        <v>2483</v>
      </c>
      <c r="J107" s="2" t="s">
        <v>2484</v>
      </c>
    </row>
    <row r="108" customFormat="false" ht="18.7" hidden="false" customHeight="true" outlineLevel="0" collapsed="false">
      <c r="A108" s="1" t="n">
        <v>107</v>
      </c>
      <c r="B108" s="7" t="str">
        <f aca="false">HYPERLINK("https://mncourtfraud.com/file/27-CR-20-693.pdf","27-CR-20-693")</f>
        <v>27-CR-20-693</v>
      </c>
      <c r="C108" s="1" t="n">
        <v>1</v>
      </c>
      <c r="D108" s="2" t="s">
        <v>12</v>
      </c>
      <c r="E108" s="8" t="n">
        <v>44225</v>
      </c>
      <c r="F108" s="2" t="s">
        <v>15</v>
      </c>
      <c r="G108" s="7" t="str">
        <f aca="false">HYPERLINK("https://mncourtfraud.com/file/MCRO_27-CR-20-693_Order-Evaluation for Competency to Proceed (Rule 20.01)_2021-01-29_20251126181349.pdf","MCRO_27-CR-20-693_Order-Evaluation for Competency to Proceed (Rule 20.01)_2021-01-29_20251126181349.pdf")</f>
        <v>MCRO_27-CR-20-693_Order-Evaluation for Competency to Proceed (Rule 20.01)_2021-01-29_20251126181349.pdf</v>
      </c>
      <c r="H108" s="2" t="s">
        <v>1362</v>
      </c>
      <c r="I108" s="9" t="s">
        <v>2485</v>
      </c>
      <c r="J108" s="2" t="s">
        <v>2486</v>
      </c>
    </row>
    <row r="109" customFormat="false" ht="18.7" hidden="false" customHeight="true" outlineLevel="0" collapsed="false">
      <c r="A109" s="1" t="n">
        <v>108</v>
      </c>
      <c r="B109" s="7" t="str">
        <f aca="false">HYPERLINK("https://mncourtfraud.com/file/27-CR-20-693.pdf","27-CR-20-693")</f>
        <v>27-CR-20-693</v>
      </c>
      <c r="C109" s="1" t="n">
        <v>1</v>
      </c>
      <c r="D109" s="2" t="s">
        <v>12</v>
      </c>
      <c r="E109" s="8" t="n">
        <v>44396</v>
      </c>
      <c r="F109" s="2" t="s">
        <v>15</v>
      </c>
      <c r="G109" s="7" t="str">
        <f aca="false">HYPERLINK("https://mncourtfraud.com/file/MCRO_27-CR-20-693_Order-Evaluation for Competency to Proceed (Rule 20.01)_2021-07-19_20251126181241.pdf","MCRO_27-CR-20-693_Order-Evaluation for Competency to Proceed (Rule 20.01)_2021-07-19_20251126181241.pdf")</f>
        <v>MCRO_27-CR-20-693_Order-Evaluation for Competency to Proceed (Rule 20.01)_2021-07-19_20251126181241.pdf</v>
      </c>
      <c r="H109" s="2" t="s">
        <v>1362</v>
      </c>
      <c r="I109" s="9" t="s">
        <v>2487</v>
      </c>
      <c r="J109" s="2" t="s">
        <v>2488</v>
      </c>
    </row>
    <row r="110" customFormat="false" ht="18.7" hidden="false" customHeight="true" outlineLevel="0" collapsed="false">
      <c r="A110" s="1" t="n">
        <v>109</v>
      </c>
      <c r="B110" s="7" t="str">
        <f aca="false">HYPERLINK("https://mncourtfraud.com/file/27-CR-20-693.pdf","27-CR-20-693")</f>
        <v>27-CR-20-693</v>
      </c>
      <c r="C110" s="1" t="n">
        <v>1</v>
      </c>
      <c r="D110" s="2" t="s">
        <v>12</v>
      </c>
      <c r="E110" s="8" t="n">
        <v>44543</v>
      </c>
      <c r="F110" s="2" t="s">
        <v>15</v>
      </c>
      <c r="G110" s="7" t="str">
        <f aca="false">HYPERLINK("https://mncourtfraud.com/file/MCRO_27-CR-20-693_Order-Evaluation for Competency to Proceed (Rule 20.01)_2021-12-13_20251126181255.pdf","MCRO_27-CR-20-693_Order-Evaluation for Competency to Proceed (Rule 20.01)_2021-12-13_20251126181255.pdf")</f>
        <v>MCRO_27-CR-20-693_Order-Evaluation for Competency to Proceed (Rule 20.01)_2021-12-13_20251126181255.pdf</v>
      </c>
      <c r="H110" s="2" t="s">
        <v>1362</v>
      </c>
      <c r="I110" s="9" t="s">
        <v>2489</v>
      </c>
      <c r="J110" s="2" t="s">
        <v>2331</v>
      </c>
    </row>
    <row r="111" customFormat="false" ht="18.7" hidden="false" customHeight="true" outlineLevel="0" collapsed="false">
      <c r="A111" s="1" t="n">
        <v>110</v>
      </c>
      <c r="B111" s="7" t="str">
        <f aca="false">HYPERLINK("https://mncourtfraud.com/file/27-CR-20-693.pdf","27-CR-20-693")</f>
        <v>27-CR-20-693</v>
      </c>
      <c r="C111" s="1" t="n">
        <v>1</v>
      </c>
      <c r="D111" s="2" t="s">
        <v>12</v>
      </c>
      <c r="E111" s="8" t="n">
        <v>44558</v>
      </c>
      <c r="F111" s="2" t="s">
        <v>15</v>
      </c>
      <c r="G111" s="7" t="str">
        <f aca="false">HYPERLINK("https://mncourtfraud.com/file/MCRO_27-CR-20-693_Order-Evaluation for Competency to Proceed (Rule 20.01)_2021-12-28_20251126181306.pdf","MCRO_27-CR-20-693_Order-Evaluation for Competency to Proceed (Rule 20.01)_2021-12-28_20251126181306.pdf")</f>
        <v>MCRO_27-CR-20-693_Order-Evaluation for Competency to Proceed (Rule 20.01)_2021-12-28_20251126181306.pdf</v>
      </c>
      <c r="H111" s="2" t="s">
        <v>1362</v>
      </c>
      <c r="I111" s="9" t="s">
        <v>2490</v>
      </c>
      <c r="J111" s="2" t="s">
        <v>2491</v>
      </c>
    </row>
    <row r="112" customFormat="false" ht="18.7" hidden="false" customHeight="true" outlineLevel="0" collapsed="false">
      <c r="A112" s="1" t="n">
        <v>111</v>
      </c>
      <c r="B112" s="7" t="str">
        <f aca="false">HYPERLINK("https://mncourtfraud.com/file/27-CR-20-693.pdf","27-CR-20-693")</f>
        <v>27-CR-20-693</v>
      </c>
      <c r="C112" s="1" t="n">
        <v>1</v>
      </c>
      <c r="D112" s="2" t="s">
        <v>12</v>
      </c>
      <c r="E112" s="8" t="n">
        <v>44692</v>
      </c>
      <c r="F112" s="2" t="s">
        <v>15</v>
      </c>
      <c r="G112" s="7" t="str">
        <f aca="false">HYPERLINK("https://mncourtfraud.com/file/MCRO_27-CR-20-693_Order-Evaluation for Competency to Proceed (Rule 20.01)_2022-05-11_20251126181315.pdf","MCRO_27-CR-20-693_Order-Evaluation for Competency to Proceed (Rule 20.01)_2022-05-11_20251126181315.pdf")</f>
        <v>MCRO_27-CR-20-693_Order-Evaluation for Competency to Proceed (Rule 20.01)_2022-05-11_20251126181315.pdf</v>
      </c>
      <c r="H112" s="2" t="s">
        <v>1362</v>
      </c>
      <c r="I112" s="9" t="s">
        <v>2492</v>
      </c>
      <c r="J112" s="2" t="s">
        <v>2493</v>
      </c>
    </row>
    <row r="113" customFormat="false" ht="18.7" hidden="false" customHeight="true" outlineLevel="0" collapsed="false">
      <c r="A113" s="1" t="n">
        <v>112</v>
      </c>
      <c r="B113" s="7" t="str">
        <f aca="false">HYPERLINK("https://mncourtfraud.com/file/27-CR-20-693.pdf","27-CR-20-693")</f>
        <v>27-CR-20-693</v>
      </c>
      <c r="C113" s="1" t="n">
        <v>1</v>
      </c>
      <c r="D113" s="2" t="s">
        <v>12</v>
      </c>
      <c r="E113" s="8" t="n">
        <v>44895</v>
      </c>
      <c r="F113" s="2" t="s">
        <v>15</v>
      </c>
      <c r="G113" s="7" t="str">
        <f aca="false">HYPERLINK("https://mncourtfraud.com/file/MCRO_27-CR-20-693_Order-Evaluation for Competency to Proceed (Rule 20.01)_2022-11-30_20251126181327.pdf","MCRO_27-CR-20-693_Order-Evaluation for Competency to Proceed (Rule 20.01)_2022-11-30_20251126181327.pdf")</f>
        <v>MCRO_27-CR-20-693_Order-Evaluation for Competency to Proceed (Rule 20.01)_2022-11-30_20251126181327.pdf</v>
      </c>
      <c r="H113" s="2" t="s">
        <v>1362</v>
      </c>
      <c r="I113" s="9" t="s">
        <v>2494</v>
      </c>
      <c r="J113" s="2" t="s">
        <v>2336</v>
      </c>
    </row>
    <row r="114" customFormat="false" ht="18.7" hidden="false" customHeight="true" outlineLevel="0" collapsed="false">
      <c r="A114" s="1" t="n">
        <v>113</v>
      </c>
      <c r="B114" s="7" t="str">
        <f aca="false">HYPERLINK("https://mncourtfraud.com/file/27-CR-20-693.pdf","27-CR-20-693")</f>
        <v>27-CR-20-693</v>
      </c>
      <c r="C114" s="1" t="n">
        <v>1</v>
      </c>
      <c r="D114" s="2" t="s">
        <v>12</v>
      </c>
      <c r="E114" s="8" t="n">
        <v>43970</v>
      </c>
      <c r="F114" s="2" t="s">
        <v>17</v>
      </c>
      <c r="G114" s="7" t="str">
        <f aca="false">HYPERLINK("https://mncourtfraud.com/file/MCRO_27-CR-20-693_Returned Mail_2020-05-19_20251126181401.pdf","MCRO_27-CR-20-693_Returned Mail_2020-05-19_20251126181401.pdf")</f>
        <v>MCRO_27-CR-20-693_Returned Mail_2020-05-19_20251126181401.pdf</v>
      </c>
      <c r="H114" s="2" t="s">
        <v>1362</v>
      </c>
      <c r="I114" s="9" t="s">
        <v>2495</v>
      </c>
      <c r="J114" s="2" t="s">
        <v>2496</v>
      </c>
    </row>
    <row r="115" customFormat="false" ht="18.7" hidden="false" customHeight="true" outlineLevel="0" collapsed="false">
      <c r="A115" s="1" t="n">
        <v>114</v>
      </c>
      <c r="B115" s="7" t="str">
        <f aca="false">HYPERLINK("https://mncourtfraud.com/file/27-CR-21-10185.pdf","27-CR-21-10185")</f>
        <v>27-CR-21-10185</v>
      </c>
      <c r="C115" s="1" t="n">
        <v>1</v>
      </c>
      <c r="D115" s="2" t="s">
        <v>12</v>
      </c>
      <c r="E115" s="8" t="n">
        <v>44439</v>
      </c>
      <c r="F115" s="2" t="s">
        <v>19</v>
      </c>
      <c r="G115" s="7" t="str">
        <f aca="false">HYPERLINK("https://mncourtfraud.com/file/MCRO_27-CR-21-10185_Findings and Order_2021-08-31_20251126181437.pdf","MCRO_27-CR-21-10185_Findings and Order_2021-08-31_20251126181437.pdf")</f>
        <v>MCRO_27-CR-21-10185_Findings and Order_2021-08-31_20251126181437.pdf</v>
      </c>
      <c r="H115" s="2" t="s">
        <v>1368</v>
      </c>
      <c r="I115" s="9" t="s">
        <v>2284</v>
      </c>
      <c r="J115" s="2" t="s">
        <v>2285</v>
      </c>
      <c r="K115" s="2" t="s">
        <v>1362</v>
      </c>
      <c r="L115" s="9" t="s">
        <v>2497</v>
      </c>
      <c r="M115" s="2" t="s">
        <v>2498</v>
      </c>
    </row>
    <row r="116" customFormat="false" ht="18.7" hidden="false" customHeight="true" outlineLevel="0" collapsed="false">
      <c r="A116" s="1" t="n">
        <v>115</v>
      </c>
      <c r="B116" s="7" t="str">
        <f aca="false">HYPERLINK("https://mncourtfraud.com/file/27-CR-21-10185.pdf","27-CR-21-10185")</f>
        <v>27-CR-21-10185</v>
      </c>
      <c r="C116" s="1" t="n">
        <v>1</v>
      </c>
      <c r="D116" s="2" t="s">
        <v>12</v>
      </c>
      <c r="E116" s="8" t="n">
        <v>44593</v>
      </c>
      <c r="F116" s="2" t="s">
        <v>19</v>
      </c>
      <c r="G116" s="7" t="str">
        <f aca="false">HYPERLINK("https://mncourtfraud.com/file/MCRO_27-CR-21-10185_Findings and Order_2022-02-01_20251126181428.pdf","MCRO_27-CR-21-10185_Findings and Order_2022-02-01_20251126181428.pdf")</f>
        <v>MCRO_27-CR-21-10185_Findings and Order_2022-02-01_20251126181428.pdf</v>
      </c>
      <c r="H116" s="2" t="s">
        <v>1368</v>
      </c>
      <c r="I116" s="9" t="s">
        <v>2288</v>
      </c>
      <c r="J116" s="2" t="s">
        <v>2289</v>
      </c>
      <c r="K116" s="2" t="s">
        <v>1362</v>
      </c>
      <c r="L116" s="9" t="s">
        <v>2499</v>
      </c>
      <c r="M116" s="2" t="s">
        <v>2425</v>
      </c>
    </row>
    <row r="117" customFormat="false" ht="18.7" hidden="false" customHeight="true" outlineLevel="0" collapsed="false">
      <c r="A117" s="1" t="n">
        <v>116</v>
      </c>
      <c r="B117" s="7" t="str">
        <f aca="false">HYPERLINK("https://mncourtfraud.com/file/27-CR-21-10185.pdf","27-CR-21-10185")</f>
        <v>27-CR-21-10185</v>
      </c>
      <c r="C117" s="1" t="n">
        <v>1</v>
      </c>
      <c r="D117" s="2" t="s">
        <v>12</v>
      </c>
      <c r="E117" s="8" t="n">
        <v>44439</v>
      </c>
      <c r="F117" s="2" t="s">
        <v>134</v>
      </c>
      <c r="G117" s="7" t="str">
        <f aca="false">HYPERLINK("https://mncourtfraud.com/file/MCRO_27-CR-21-10185_Notice of Intent to Prosecute_2021-08-31_20251126181452.pdf","MCRO_27-CR-21-10185_Notice of Intent to Prosecute_2021-08-31_20251126181452.pdf")</f>
        <v>MCRO_27-CR-21-10185_Notice of Intent to Prosecute_2021-08-31_20251126181452.pdf</v>
      </c>
      <c r="H117" s="2" t="s">
        <v>1362</v>
      </c>
      <c r="I117" s="9" t="s">
        <v>2500</v>
      </c>
      <c r="J117" s="2" t="s">
        <v>2501</v>
      </c>
    </row>
    <row r="118" customFormat="false" ht="18.7" hidden="false" customHeight="true" outlineLevel="0" collapsed="false">
      <c r="A118" s="1" t="n">
        <v>117</v>
      </c>
      <c r="B118" s="7" t="str">
        <f aca="false">HYPERLINK("https://mncourtfraud.com/file/27-CR-21-10185.pdf","27-CR-21-10185")</f>
        <v>27-CR-21-10185</v>
      </c>
      <c r="C118" s="1" t="n">
        <v>1</v>
      </c>
      <c r="D118" s="2" t="s">
        <v>12</v>
      </c>
      <c r="E118" s="8" t="n">
        <v>44460</v>
      </c>
      <c r="F118" s="2" t="s">
        <v>24</v>
      </c>
      <c r="G118" s="7" t="str">
        <f aca="false">HYPERLINK("https://mncourtfraud.com/file/MCRO_27-CR-21-10185_Order for Conditional Release_2021-09-21_20251126181510.pdf","MCRO_27-CR-21-10185_Order for Conditional Release_2021-09-21_20251126181510.pdf")</f>
        <v>MCRO_27-CR-21-10185_Order for Conditional Release_2021-09-21_20251126181510.pdf</v>
      </c>
      <c r="H118" s="2" t="s">
        <v>1362</v>
      </c>
      <c r="I118" s="9" t="s">
        <v>2502</v>
      </c>
      <c r="J118" s="2" t="s">
        <v>2293</v>
      </c>
    </row>
    <row r="119" customFormat="false" ht="18.7" hidden="false" customHeight="true" outlineLevel="0" collapsed="false">
      <c r="A119" s="1" t="n">
        <v>118</v>
      </c>
      <c r="B119" s="7" t="str">
        <f aca="false">HYPERLINK("https://mncourtfraud.com/file/27-CR-21-10185.pdf","27-CR-21-10185")</f>
        <v>27-CR-21-10185</v>
      </c>
      <c r="C119" s="1" t="n">
        <v>1</v>
      </c>
      <c r="D119" s="2" t="s">
        <v>12</v>
      </c>
      <c r="E119" s="8" t="n">
        <v>44468</v>
      </c>
      <c r="F119" s="2" t="s">
        <v>24</v>
      </c>
      <c r="G119" s="7" t="str">
        <f aca="false">HYPERLINK("https://mncourtfraud.com/file/MCRO_27-CR-21-10185_Order for Conditional Release_2021-09-29_20251126181506.pdf","MCRO_27-CR-21-10185_Order for Conditional Release_2021-09-29_20251126181506.pdf")</f>
        <v>MCRO_27-CR-21-10185_Order for Conditional Release_2021-09-29_20251126181506.pdf</v>
      </c>
      <c r="H119" s="2" t="s">
        <v>1362</v>
      </c>
      <c r="I119" s="9" t="s">
        <v>2503</v>
      </c>
      <c r="J119" s="2" t="s">
        <v>2295</v>
      </c>
    </row>
    <row r="120" customFormat="false" ht="18.7" hidden="false" customHeight="true" outlineLevel="0" collapsed="false">
      <c r="A120" s="1" t="n">
        <v>119</v>
      </c>
      <c r="B120" s="7" t="str">
        <f aca="false">HYPERLINK("https://mncourtfraud.com/file/27-CR-21-10185.pdf","27-CR-21-10185")</f>
        <v>27-CR-21-10185</v>
      </c>
      <c r="C120" s="1" t="n">
        <v>1</v>
      </c>
      <c r="D120" s="2" t="s">
        <v>12</v>
      </c>
      <c r="E120" s="8" t="n">
        <v>44396</v>
      </c>
      <c r="F120" s="2" t="s">
        <v>15</v>
      </c>
      <c r="G120" s="7" t="str">
        <f aca="false">HYPERLINK("https://mncourtfraud.com/file/MCRO_27-CR-21-10185_Order-Evaluation for Competency to Proceed (Rule 20.01)_2021-07-19_20251126181524.pdf","MCRO_27-CR-21-10185_Order-Evaluation for Competency to Proceed (Rule 20.01)_2021-07-19_20251126181524.pdf")</f>
        <v>MCRO_27-CR-21-10185_Order-Evaluation for Competency to Proceed (Rule 20.01)_2021-07-19_20251126181524.pdf</v>
      </c>
      <c r="H120" s="2" t="s">
        <v>1362</v>
      </c>
      <c r="I120" s="9" t="s">
        <v>2504</v>
      </c>
      <c r="J120" s="2" t="s">
        <v>2505</v>
      </c>
    </row>
    <row r="121" customFormat="false" ht="18.7" hidden="false" customHeight="true" outlineLevel="0" collapsed="false">
      <c r="A121" s="1" t="n">
        <v>120</v>
      </c>
      <c r="B121" s="7" t="str">
        <f aca="false">HYPERLINK("https://mncourtfraud.com/file/27-CR-21-10185.pdf","27-CR-21-10185")</f>
        <v>27-CR-21-10185</v>
      </c>
      <c r="C121" s="1" t="n">
        <v>1</v>
      </c>
      <c r="D121" s="2" t="s">
        <v>12</v>
      </c>
      <c r="E121" s="8" t="n">
        <v>44543</v>
      </c>
      <c r="F121" s="2" t="s">
        <v>15</v>
      </c>
      <c r="G121" s="7" t="str">
        <f aca="false">HYPERLINK("https://mncourtfraud.com/file/MCRO_27-CR-21-10185_Order-Evaluation for Competency to Proceed (Rule 20.01)_2021-12-13_20251126181536.pdf","MCRO_27-CR-21-10185_Order-Evaluation for Competency to Proceed (Rule 20.01)_2021-12-13_20251126181536.pdf")</f>
        <v>MCRO_27-CR-21-10185_Order-Evaluation for Competency to Proceed (Rule 20.01)_2021-12-13_20251126181536.pdf</v>
      </c>
      <c r="H121" s="2" t="s">
        <v>1362</v>
      </c>
      <c r="I121" s="9" t="s">
        <v>2506</v>
      </c>
      <c r="J121" s="2" t="s">
        <v>2507</v>
      </c>
    </row>
    <row r="122" customFormat="false" ht="18.7" hidden="false" customHeight="true" outlineLevel="0" collapsed="false">
      <c r="A122" s="1" t="n">
        <v>121</v>
      </c>
      <c r="B122" s="7" t="str">
        <f aca="false">HYPERLINK("https://mncourtfraud.com/file/27-CR-21-10185.pdf","27-CR-21-10185")</f>
        <v>27-CR-21-10185</v>
      </c>
      <c r="C122" s="1" t="n">
        <v>1</v>
      </c>
      <c r="D122" s="2" t="s">
        <v>12</v>
      </c>
      <c r="E122" s="8" t="n">
        <v>44558</v>
      </c>
      <c r="F122" s="2" t="s">
        <v>15</v>
      </c>
      <c r="G122" s="7" t="str">
        <f aca="false">HYPERLINK("https://mncourtfraud.com/file/MCRO_27-CR-21-10185_Order-Evaluation for Competency to Proceed (Rule 20.01)_2021-12-28_20251126181546.pdf","MCRO_27-CR-21-10185_Order-Evaluation for Competency to Proceed (Rule 20.01)_2021-12-28_20251126181546.pdf")</f>
        <v>MCRO_27-CR-21-10185_Order-Evaluation for Competency to Proceed (Rule 20.01)_2021-12-28_20251126181546.pdf</v>
      </c>
      <c r="H122" s="2" t="s">
        <v>1362</v>
      </c>
      <c r="I122" s="9" t="s">
        <v>2508</v>
      </c>
      <c r="J122" s="2" t="s">
        <v>2509</v>
      </c>
    </row>
    <row r="123" customFormat="false" ht="18.7" hidden="false" customHeight="true" outlineLevel="0" collapsed="false">
      <c r="A123" s="1" t="n">
        <v>122</v>
      </c>
      <c r="B123" s="7" t="str">
        <f aca="false">HYPERLINK("https://mncourtfraud.com/file/27-CR-21-10185.pdf","27-CR-21-10185")</f>
        <v>27-CR-21-10185</v>
      </c>
      <c r="C123" s="1" t="n">
        <v>1</v>
      </c>
      <c r="D123" s="2" t="s">
        <v>12</v>
      </c>
      <c r="E123" s="8" t="n">
        <v>44692</v>
      </c>
      <c r="F123" s="2" t="s">
        <v>15</v>
      </c>
      <c r="G123" s="7" t="str">
        <f aca="false">HYPERLINK("https://mncourtfraud.com/file/MCRO_27-CR-21-10185_Order-Evaluation for Competency to Proceed (Rule 20.01)_2022-05-11_20251126181600.pdf","MCRO_27-CR-21-10185_Order-Evaluation for Competency to Proceed (Rule 20.01)_2022-05-11_20251126181600.pdf")</f>
        <v>MCRO_27-CR-21-10185_Order-Evaluation for Competency to Proceed (Rule 20.01)_2022-05-11_20251126181600.pdf</v>
      </c>
      <c r="H123" s="2" t="s">
        <v>1362</v>
      </c>
      <c r="I123" s="9" t="s">
        <v>2510</v>
      </c>
      <c r="J123" s="2" t="s">
        <v>2511</v>
      </c>
    </row>
    <row r="124" customFormat="false" ht="18.7" hidden="false" customHeight="true" outlineLevel="0" collapsed="false">
      <c r="A124" s="1" t="n">
        <v>123</v>
      </c>
      <c r="B124" s="7" t="str">
        <f aca="false">HYPERLINK("https://mncourtfraud.com/file/27-CR-21-10185.pdf","27-CR-21-10185")</f>
        <v>27-CR-21-10185</v>
      </c>
      <c r="C124" s="1" t="n">
        <v>1</v>
      </c>
      <c r="D124" s="2" t="s">
        <v>12</v>
      </c>
      <c r="E124" s="8" t="n">
        <v>44895</v>
      </c>
      <c r="F124" s="2" t="s">
        <v>15</v>
      </c>
      <c r="G124" s="7" t="str">
        <f aca="false">HYPERLINK("https://mncourtfraud.com/file/MCRO_27-CR-21-10185_Order-Evaluation for Competency to Proceed (Rule 20.01)_2022-11-30_20251126181610.pdf","MCRO_27-CR-21-10185_Order-Evaluation for Competency to Proceed (Rule 20.01)_2022-11-30_20251126181610.pdf")</f>
        <v>MCRO_27-CR-21-10185_Order-Evaluation for Competency to Proceed (Rule 20.01)_2022-11-30_20251126181610.pdf</v>
      </c>
      <c r="H124" s="2" t="s">
        <v>1362</v>
      </c>
      <c r="I124" s="9" t="s">
        <v>2512</v>
      </c>
      <c r="J124" s="2" t="s">
        <v>2513</v>
      </c>
    </row>
    <row r="125" customFormat="false" ht="18.7" hidden="false" customHeight="true" outlineLevel="0" collapsed="false">
      <c r="A125" s="1" t="n">
        <v>124</v>
      </c>
      <c r="B125" s="7" t="str">
        <f aca="false">HYPERLINK("https://mncourtfraud.com/file/27-CR-21-12714.pdf","27-CR-21-12714")</f>
        <v>27-CR-21-12714</v>
      </c>
      <c r="C125" s="1" t="n">
        <v>1</v>
      </c>
      <c r="D125" s="2" t="s">
        <v>12</v>
      </c>
      <c r="E125" s="8" t="n">
        <v>44405</v>
      </c>
      <c r="F125" s="2" t="s">
        <v>145</v>
      </c>
      <c r="G125" s="7" t="str">
        <f aca="false">HYPERLINK("https://mncourtfraud.com/file/MCRO_27-CR-21-12714_Demand or Request for Discovery_2021-07-28_20251126181647.pdf","MCRO_27-CR-21-12714_Demand or Request for Discovery_2021-07-28_20251126181647.pdf")</f>
        <v>MCRO_27-CR-21-12714_Demand or Request for Discovery_2021-07-28_20251126181647.pdf</v>
      </c>
      <c r="H125" s="2" t="s">
        <v>1362</v>
      </c>
      <c r="I125" s="9" t="s">
        <v>2514</v>
      </c>
      <c r="J125" s="2" t="s">
        <v>2515</v>
      </c>
    </row>
    <row r="126" customFormat="false" ht="18.7" hidden="false" customHeight="true" outlineLevel="0" collapsed="false">
      <c r="A126" s="1" t="n">
        <v>125</v>
      </c>
      <c r="B126" s="7" t="str">
        <f aca="false">HYPERLINK("https://mncourtfraud.com/file/27-CR-21-12714.pdf","27-CR-21-12714")</f>
        <v>27-CR-21-12714</v>
      </c>
      <c r="C126" s="1" t="n">
        <v>1</v>
      </c>
      <c r="D126" s="2" t="s">
        <v>12</v>
      </c>
      <c r="E126" s="8" t="n">
        <v>45048</v>
      </c>
      <c r="F126" s="2" t="s">
        <v>80</v>
      </c>
      <c r="G126" s="7" t="str">
        <f aca="false">HYPERLINK("https://mncourtfraud.com/file/MCRO_27-CR-21-12714_Finding of Incompetency and Order_2023-05-02_20251126181658.pdf","MCRO_27-CR-21-12714_Finding of Incompetency and Order_2023-05-02_20251126181658.pdf")</f>
        <v>MCRO_27-CR-21-12714_Finding of Incompetency and Order_2023-05-02_20251126181658.pdf</v>
      </c>
      <c r="H126" s="2" t="s">
        <v>1492</v>
      </c>
      <c r="I126" s="9" t="s">
        <v>2385</v>
      </c>
      <c r="J126" s="2" t="s">
        <v>2386</v>
      </c>
      <c r="K126" s="2" t="s">
        <v>1496</v>
      </c>
      <c r="L126" s="9" t="s">
        <v>2387</v>
      </c>
      <c r="M126" s="2" t="s">
        <v>2388</v>
      </c>
      <c r="N126" s="2" t="s">
        <v>1362</v>
      </c>
      <c r="O126" s="9" t="s">
        <v>2516</v>
      </c>
      <c r="P126" s="2" t="s">
        <v>2419</v>
      </c>
    </row>
    <row r="127" customFormat="false" ht="18.7" hidden="false" customHeight="true" outlineLevel="0" collapsed="false">
      <c r="A127" s="1" t="n">
        <v>126</v>
      </c>
      <c r="B127" s="7" t="str">
        <f aca="false">HYPERLINK("https://mncourtfraud.com/file/27-CR-21-12714.pdf","27-CR-21-12714")</f>
        <v>27-CR-21-12714</v>
      </c>
      <c r="C127" s="1" t="n">
        <v>1</v>
      </c>
      <c r="D127" s="2" t="s">
        <v>12</v>
      </c>
      <c r="E127" s="8" t="n">
        <v>44439</v>
      </c>
      <c r="F127" s="2" t="s">
        <v>19</v>
      </c>
      <c r="G127" s="7" t="str">
        <f aca="false">HYPERLINK("https://mncourtfraud.com/file/MCRO_27-CR-21-12714_Findings and Order_2021-08-31_20251126181722.pdf","MCRO_27-CR-21-12714_Findings and Order_2021-08-31_20251126181722.pdf")</f>
        <v>MCRO_27-CR-21-12714_Findings and Order_2021-08-31_20251126181722.pdf</v>
      </c>
      <c r="H127" s="2" t="s">
        <v>1368</v>
      </c>
      <c r="I127" s="9" t="s">
        <v>2284</v>
      </c>
      <c r="J127" s="2" t="s">
        <v>2285</v>
      </c>
      <c r="K127" s="2" t="s">
        <v>1362</v>
      </c>
      <c r="L127" s="9" t="s">
        <v>2517</v>
      </c>
      <c r="M127" s="2" t="s">
        <v>2518</v>
      </c>
    </row>
    <row r="128" customFormat="false" ht="18.7" hidden="false" customHeight="true" outlineLevel="0" collapsed="false">
      <c r="A128" s="1" t="n">
        <v>127</v>
      </c>
      <c r="B128" s="7" t="str">
        <f aca="false">HYPERLINK("https://mncourtfraud.com/file/27-CR-21-12714.pdf","27-CR-21-12714")</f>
        <v>27-CR-21-12714</v>
      </c>
      <c r="C128" s="1" t="n">
        <v>1</v>
      </c>
      <c r="D128" s="2" t="s">
        <v>12</v>
      </c>
      <c r="E128" s="8" t="n">
        <v>44593</v>
      </c>
      <c r="F128" s="2" t="s">
        <v>19</v>
      </c>
      <c r="G128" s="7" t="str">
        <f aca="false">HYPERLINK("https://mncourtfraud.com/file/MCRO_27-CR-21-12714_Findings and Order_2022-02-01_20251126181711.pdf","MCRO_27-CR-21-12714_Findings and Order_2022-02-01_20251126181711.pdf")</f>
        <v>MCRO_27-CR-21-12714_Findings and Order_2022-02-01_20251126181711.pdf</v>
      </c>
      <c r="H128" s="2" t="s">
        <v>1368</v>
      </c>
      <c r="I128" s="9" t="s">
        <v>2288</v>
      </c>
      <c r="J128" s="2" t="s">
        <v>2289</v>
      </c>
      <c r="K128" s="2" t="s">
        <v>1362</v>
      </c>
      <c r="L128" s="9" t="s">
        <v>2519</v>
      </c>
      <c r="M128" s="2" t="s">
        <v>2291</v>
      </c>
    </row>
    <row r="129" customFormat="false" ht="18.7" hidden="false" customHeight="true" outlineLevel="0" collapsed="false">
      <c r="A129" s="1" t="n">
        <v>128</v>
      </c>
      <c r="B129" s="7" t="str">
        <f aca="false">HYPERLINK("https://mncourtfraud.com/file/27-CR-21-12714.pdf","27-CR-21-12714")</f>
        <v>27-CR-21-12714</v>
      </c>
      <c r="C129" s="1" t="n">
        <v>1</v>
      </c>
      <c r="D129" s="2" t="s">
        <v>12</v>
      </c>
      <c r="E129" s="8" t="n">
        <v>44460</v>
      </c>
      <c r="F129" s="2" t="s">
        <v>24</v>
      </c>
      <c r="G129" s="7" t="str">
        <f aca="false">HYPERLINK("https://mncourtfraud.com/file/MCRO_27-CR-21-12714_Order for Conditional Release_2021-09-21_20251126181747.pdf","MCRO_27-CR-21-12714_Order for Conditional Release_2021-09-21_20251126181747.pdf")</f>
        <v>MCRO_27-CR-21-12714_Order for Conditional Release_2021-09-21_20251126181747.pdf</v>
      </c>
      <c r="H129" s="2" t="s">
        <v>1362</v>
      </c>
      <c r="I129" s="9" t="s">
        <v>2520</v>
      </c>
      <c r="J129" s="2" t="s">
        <v>2321</v>
      </c>
    </row>
    <row r="130" customFormat="false" ht="18.7" hidden="false" customHeight="true" outlineLevel="0" collapsed="false">
      <c r="A130" s="1" t="n">
        <v>129</v>
      </c>
      <c r="B130" s="7" t="str">
        <f aca="false">HYPERLINK("https://mncourtfraud.com/file/27-CR-21-12714.pdf","27-CR-21-12714")</f>
        <v>27-CR-21-12714</v>
      </c>
      <c r="C130" s="1" t="n">
        <v>1</v>
      </c>
      <c r="D130" s="2" t="s">
        <v>12</v>
      </c>
      <c r="E130" s="8" t="n">
        <v>44468</v>
      </c>
      <c r="F130" s="2" t="s">
        <v>24</v>
      </c>
      <c r="G130" s="7" t="str">
        <f aca="false">HYPERLINK("https://mncourtfraud.com/file/MCRO_27-CR-21-12714_Order for Conditional Release_2021-09-29_20251126181755.pdf","MCRO_27-CR-21-12714_Order for Conditional Release_2021-09-29_20251126181755.pdf")</f>
        <v>MCRO_27-CR-21-12714_Order for Conditional Release_2021-09-29_20251126181755.pdf</v>
      </c>
      <c r="H130" s="2" t="s">
        <v>1362</v>
      </c>
      <c r="I130" s="9" t="s">
        <v>2521</v>
      </c>
      <c r="J130" s="2" t="s">
        <v>2522</v>
      </c>
    </row>
    <row r="131" customFormat="false" ht="18.7" hidden="false" customHeight="true" outlineLevel="0" collapsed="false">
      <c r="A131" s="1" t="n">
        <v>130</v>
      </c>
      <c r="B131" s="7" t="str">
        <f aca="false">HYPERLINK("https://mncourtfraud.com/file/27-CR-21-12714.pdf","27-CR-21-12714")</f>
        <v>27-CR-21-12714</v>
      </c>
      <c r="C131" s="1" t="n">
        <v>1</v>
      </c>
      <c r="D131" s="2" t="s">
        <v>12</v>
      </c>
      <c r="E131" s="8" t="n">
        <v>45412</v>
      </c>
      <c r="F131" s="2" t="s">
        <v>24</v>
      </c>
      <c r="G131" s="7" t="str">
        <f aca="false">HYPERLINK("https://mncourtfraud.com/file/MCRO_27-CR-21-12714_Order for Conditional Release_2024-04-30_20251126181738.pdf","MCRO_27-CR-21-12714_Order for Conditional Release_2024-04-30_20251126181738.pdf")</f>
        <v>MCRO_27-CR-21-12714_Order for Conditional Release_2024-04-30_20251126181738.pdf</v>
      </c>
      <c r="H131" s="2" t="s">
        <v>1362</v>
      </c>
      <c r="I131" s="9" t="s">
        <v>2523</v>
      </c>
      <c r="J131" s="2" t="s">
        <v>2524</v>
      </c>
    </row>
    <row r="132" customFormat="false" ht="18.7" hidden="false" customHeight="true" outlineLevel="0" collapsed="false">
      <c r="A132" s="1" t="n">
        <v>131</v>
      </c>
      <c r="B132" s="7" t="str">
        <f aca="false">HYPERLINK("https://mncourtfraud.com/file/27-CR-21-12714.pdf","27-CR-21-12714")</f>
        <v>27-CR-21-12714</v>
      </c>
      <c r="C132" s="1" t="n">
        <v>1</v>
      </c>
      <c r="D132" s="2" t="s">
        <v>12</v>
      </c>
      <c r="E132" s="8" t="n">
        <v>44396</v>
      </c>
      <c r="F132" s="2" t="s">
        <v>15</v>
      </c>
      <c r="G132" s="7" t="str">
        <f aca="false">HYPERLINK("https://mncourtfraud.com/file/MCRO_27-CR-21-12714_Order-Evaluation for Competency to Proceed (Rule 20.01)_2021-07-19_20251126181807.pdf","MCRO_27-CR-21-12714_Order-Evaluation for Competency to Proceed (Rule 20.01)_2021-07-19_20251126181807.pdf")</f>
        <v>MCRO_27-CR-21-12714_Order-Evaluation for Competency to Proceed (Rule 20.01)_2021-07-19_20251126181807.pdf</v>
      </c>
      <c r="H132" s="2" t="s">
        <v>1362</v>
      </c>
      <c r="I132" s="9" t="s">
        <v>2525</v>
      </c>
      <c r="J132" s="2" t="s">
        <v>2526</v>
      </c>
    </row>
    <row r="133" customFormat="false" ht="18.7" hidden="false" customHeight="true" outlineLevel="0" collapsed="false">
      <c r="A133" s="1" t="n">
        <v>132</v>
      </c>
      <c r="B133" s="7" t="str">
        <f aca="false">HYPERLINK("https://mncourtfraud.com/file/27-CR-21-12714.pdf","27-CR-21-12714")</f>
        <v>27-CR-21-12714</v>
      </c>
      <c r="C133" s="1" t="n">
        <v>1</v>
      </c>
      <c r="D133" s="2" t="s">
        <v>12</v>
      </c>
      <c r="E133" s="8" t="n">
        <v>44543</v>
      </c>
      <c r="F133" s="2" t="s">
        <v>15</v>
      </c>
      <c r="G133" s="7" t="str">
        <f aca="false">HYPERLINK("https://mncourtfraud.com/file/MCRO_27-CR-21-12714_Order-Evaluation for Competency to Proceed (Rule 20.01)_2021-12-13_20251126181817.pdf","MCRO_27-CR-21-12714_Order-Evaluation for Competency to Proceed (Rule 20.01)_2021-12-13_20251126181817.pdf")</f>
        <v>MCRO_27-CR-21-12714_Order-Evaluation for Competency to Proceed (Rule 20.01)_2021-12-13_20251126181817.pdf</v>
      </c>
      <c r="H133" s="2" t="s">
        <v>1362</v>
      </c>
      <c r="I133" s="9" t="s">
        <v>2527</v>
      </c>
      <c r="J133" s="2" t="s">
        <v>2528</v>
      </c>
    </row>
    <row r="134" customFormat="false" ht="18.7" hidden="false" customHeight="true" outlineLevel="0" collapsed="false">
      <c r="A134" s="1" t="n">
        <v>133</v>
      </c>
      <c r="B134" s="7" t="str">
        <f aca="false">HYPERLINK("https://mncourtfraud.com/file/27-CR-21-12714.pdf","27-CR-21-12714")</f>
        <v>27-CR-21-12714</v>
      </c>
      <c r="C134" s="1" t="n">
        <v>1</v>
      </c>
      <c r="D134" s="2" t="s">
        <v>12</v>
      </c>
      <c r="E134" s="8" t="n">
        <v>44558</v>
      </c>
      <c r="F134" s="2" t="s">
        <v>15</v>
      </c>
      <c r="G134" s="7" t="str">
        <f aca="false">HYPERLINK("https://mncourtfraud.com/file/MCRO_27-CR-21-12714_Order-Evaluation for Competency to Proceed (Rule 20.01)_2021-12-28_20251126181825.pdf","MCRO_27-CR-21-12714_Order-Evaluation for Competency to Proceed (Rule 20.01)_2021-12-28_20251126181825.pdf")</f>
        <v>MCRO_27-CR-21-12714_Order-Evaluation for Competency to Proceed (Rule 20.01)_2021-12-28_20251126181825.pdf</v>
      </c>
      <c r="H134" s="2" t="s">
        <v>1362</v>
      </c>
      <c r="I134" s="9" t="s">
        <v>2529</v>
      </c>
      <c r="J134" s="2" t="s">
        <v>2530</v>
      </c>
    </row>
    <row r="135" customFormat="false" ht="18.7" hidden="false" customHeight="true" outlineLevel="0" collapsed="false">
      <c r="A135" s="1" t="n">
        <v>134</v>
      </c>
      <c r="B135" s="7" t="str">
        <f aca="false">HYPERLINK("https://mncourtfraud.com/file/27-CR-21-12714.pdf","27-CR-21-12714")</f>
        <v>27-CR-21-12714</v>
      </c>
      <c r="C135" s="1" t="n">
        <v>1</v>
      </c>
      <c r="D135" s="2" t="s">
        <v>12</v>
      </c>
      <c r="E135" s="8" t="n">
        <v>44692</v>
      </c>
      <c r="F135" s="2" t="s">
        <v>15</v>
      </c>
      <c r="G135" s="7" t="str">
        <f aca="false">HYPERLINK("https://mncourtfraud.com/file/MCRO_27-CR-21-12714_Order-Evaluation for Competency to Proceed (Rule 20.01)_2022-05-11_20251126181834.pdf","MCRO_27-CR-21-12714_Order-Evaluation for Competency to Proceed (Rule 20.01)_2022-05-11_20251126181834.pdf")</f>
        <v>MCRO_27-CR-21-12714_Order-Evaluation for Competency to Proceed (Rule 20.01)_2022-05-11_20251126181834.pdf</v>
      </c>
      <c r="H135" s="2" t="s">
        <v>1362</v>
      </c>
      <c r="I135" s="9" t="s">
        <v>2531</v>
      </c>
      <c r="J135" s="2" t="s">
        <v>2532</v>
      </c>
    </row>
    <row r="136" customFormat="false" ht="18.7" hidden="false" customHeight="true" outlineLevel="0" collapsed="false">
      <c r="A136" s="1" t="n">
        <v>135</v>
      </c>
      <c r="B136" s="7" t="str">
        <f aca="false">HYPERLINK("https://mncourtfraud.com/file/27-CR-21-12714.pdf","27-CR-21-12714")</f>
        <v>27-CR-21-12714</v>
      </c>
      <c r="C136" s="1" t="n">
        <v>1</v>
      </c>
      <c r="D136" s="2" t="s">
        <v>12</v>
      </c>
      <c r="E136" s="8" t="n">
        <v>44895</v>
      </c>
      <c r="F136" s="2" t="s">
        <v>15</v>
      </c>
      <c r="G136" s="7" t="str">
        <f aca="false">HYPERLINK("https://mncourtfraud.com/file/MCRO_27-CR-21-12714_Order-Evaluation for Competency to Proceed (Rule 20.01)_2022-11-30_20251126181847.pdf","MCRO_27-CR-21-12714_Order-Evaluation for Competency to Proceed (Rule 20.01)_2022-11-30_20251126181847.pdf")</f>
        <v>MCRO_27-CR-21-12714_Order-Evaluation for Competency to Proceed (Rule 20.01)_2022-11-30_20251126181847.pdf</v>
      </c>
      <c r="H136" s="2" t="s">
        <v>1362</v>
      </c>
      <c r="I136" s="9" t="s">
        <v>2533</v>
      </c>
      <c r="J136" s="2" t="s">
        <v>2336</v>
      </c>
    </row>
    <row r="137" customFormat="false" ht="18.7" hidden="false" customHeight="true" outlineLevel="0" collapsed="false">
      <c r="A137" s="1" t="n">
        <v>136</v>
      </c>
      <c r="B137" s="7" t="str">
        <f aca="false">HYPERLINK("https://mncourtfraud.com/file/27-CR-21-12714.pdf","27-CR-21-12714")</f>
        <v>27-CR-21-12714</v>
      </c>
      <c r="C137" s="1" t="n">
        <v>1</v>
      </c>
      <c r="D137" s="2" t="s">
        <v>12</v>
      </c>
      <c r="E137" s="8" t="n">
        <v>45160</v>
      </c>
      <c r="F137" s="2" t="s">
        <v>15</v>
      </c>
      <c r="G137" s="7" t="str">
        <f aca="false">HYPERLINK("https://mncourtfraud.com/file/MCRO_27-CR-21-12714_Order-Evaluation for Competency to Proceed (Rule 20.01)_2023-08-22_20251126181856.pdf","MCRO_27-CR-21-12714_Order-Evaluation for Competency to Proceed (Rule 20.01)_2023-08-22_20251126181856.pdf")</f>
        <v>MCRO_27-CR-21-12714_Order-Evaluation for Competency to Proceed (Rule 20.01)_2023-08-22_20251126181856.pdf</v>
      </c>
      <c r="H137" s="2" t="s">
        <v>1519</v>
      </c>
      <c r="I137" s="9" t="s">
        <v>2410</v>
      </c>
      <c r="J137" s="2" t="s">
        <v>2411</v>
      </c>
      <c r="K137" s="2" t="s">
        <v>1362</v>
      </c>
      <c r="L137" s="9" t="s">
        <v>2534</v>
      </c>
      <c r="M137" s="2" t="s">
        <v>2535</v>
      </c>
    </row>
    <row r="138" customFormat="false" ht="18.7" hidden="false" customHeight="true" outlineLevel="0" collapsed="false">
      <c r="A138" s="1" t="n">
        <v>137</v>
      </c>
      <c r="B138" s="7" t="str">
        <f aca="false">HYPERLINK("https://mncourtfraud.com/file/27-CR-21-12714.pdf","27-CR-21-12714")</f>
        <v>27-CR-21-12714</v>
      </c>
      <c r="C138" s="1" t="n">
        <v>1</v>
      </c>
      <c r="D138" s="2" t="s">
        <v>12</v>
      </c>
      <c r="E138" s="8" t="n">
        <v>45412</v>
      </c>
      <c r="F138" s="2" t="s">
        <v>15</v>
      </c>
      <c r="G138" s="7" t="str">
        <f aca="false">HYPERLINK("https://mncourtfraud.com/file/MCRO_27-CR-21-12714_Order-Evaluation for Competency to Proceed (Rule 20.01)_2024-04-30_20251126181906.pdf","MCRO_27-CR-21-12714_Order-Evaluation for Competency to Proceed (Rule 20.01)_2024-04-30_20251126181906.pdf")</f>
        <v>MCRO_27-CR-21-12714_Order-Evaluation for Competency to Proceed (Rule 20.01)_2024-04-30_20251126181906.pdf</v>
      </c>
      <c r="H138" s="2" t="s">
        <v>1362</v>
      </c>
      <c r="I138" s="9" t="s">
        <v>2536</v>
      </c>
      <c r="J138" s="2" t="s">
        <v>2415</v>
      </c>
    </row>
    <row r="139" customFormat="false" ht="18.7" hidden="false" customHeight="true" outlineLevel="0" collapsed="false">
      <c r="A139" s="1" t="n">
        <v>138</v>
      </c>
      <c r="B139" s="7" t="str">
        <f aca="false">HYPERLINK("https://mncourtfraud.com/file/27-CR-21-12749.pdf","27-CR-21-12749")</f>
        <v>27-CR-21-12749</v>
      </c>
      <c r="C139" s="1" t="n">
        <v>1</v>
      </c>
      <c r="D139" s="2" t="s">
        <v>12</v>
      </c>
      <c r="E139" s="8" t="n">
        <v>44405</v>
      </c>
      <c r="F139" s="2" t="s">
        <v>145</v>
      </c>
      <c r="G139" s="7" t="str">
        <f aca="false">HYPERLINK("https://mncourtfraud.com/file/MCRO_27-CR-21-12749_Demand or Request for Discovery_2021-07-28_20251126181936.pdf","MCRO_27-CR-21-12749_Demand or Request for Discovery_2021-07-28_20251126181936.pdf")</f>
        <v>MCRO_27-CR-21-12749_Demand or Request for Discovery_2021-07-28_20251126181936.pdf</v>
      </c>
      <c r="H139" s="2" t="s">
        <v>1362</v>
      </c>
      <c r="I139" s="9" t="s">
        <v>2537</v>
      </c>
      <c r="J139" s="2" t="s">
        <v>2538</v>
      </c>
    </row>
    <row r="140" customFormat="false" ht="18.7" hidden="false" customHeight="true" outlineLevel="0" collapsed="false">
      <c r="A140" s="1" t="n">
        <v>139</v>
      </c>
      <c r="B140" s="7" t="str">
        <f aca="false">HYPERLINK("https://mncourtfraud.com/file/27-CR-21-12749.pdf","27-CR-21-12749")</f>
        <v>27-CR-21-12749</v>
      </c>
      <c r="C140" s="1" t="n">
        <v>1</v>
      </c>
      <c r="D140" s="2" t="s">
        <v>12</v>
      </c>
      <c r="E140" s="8" t="n">
        <v>45048</v>
      </c>
      <c r="F140" s="2" t="s">
        <v>80</v>
      </c>
      <c r="G140" s="7" t="str">
        <f aca="false">HYPERLINK("https://mncourtfraud.com/file/MCRO_27-CR-21-12749_Finding of Incompetency and Order_2023-05-02_20251126181946.pdf","MCRO_27-CR-21-12749_Finding of Incompetency and Order_2023-05-02_20251126181946.pdf")</f>
        <v>MCRO_27-CR-21-12749_Finding of Incompetency and Order_2023-05-02_20251126181946.pdf</v>
      </c>
      <c r="H140" s="2" t="s">
        <v>1492</v>
      </c>
      <c r="I140" s="9" t="s">
        <v>2385</v>
      </c>
      <c r="J140" s="2" t="s">
        <v>2386</v>
      </c>
      <c r="K140" s="2" t="s">
        <v>1496</v>
      </c>
      <c r="L140" s="9" t="s">
        <v>2387</v>
      </c>
      <c r="M140" s="2" t="s">
        <v>2388</v>
      </c>
      <c r="N140" s="2" t="s">
        <v>1362</v>
      </c>
      <c r="O140" s="9" t="s">
        <v>2539</v>
      </c>
      <c r="P140" s="2" t="s">
        <v>2540</v>
      </c>
    </row>
    <row r="141" customFormat="false" ht="18.7" hidden="false" customHeight="true" outlineLevel="0" collapsed="false">
      <c r="A141" s="1" t="n">
        <v>140</v>
      </c>
      <c r="B141" s="7" t="str">
        <f aca="false">HYPERLINK("https://mncourtfraud.com/file/27-CR-21-12749.pdf","27-CR-21-12749")</f>
        <v>27-CR-21-12749</v>
      </c>
      <c r="C141" s="1" t="n">
        <v>1</v>
      </c>
      <c r="D141" s="2" t="s">
        <v>12</v>
      </c>
      <c r="E141" s="8" t="n">
        <v>44439</v>
      </c>
      <c r="F141" s="2" t="s">
        <v>19</v>
      </c>
      <c r="G141" s="7" t="str">
        <f aca="false">HYPERLINK("https://mncourtfraud.com/file/MCRO_27-CR-21-12749_Findings and Order_2021-08-31_20251126182009.pdf","MCRO_27-CR-21-12749_Findings and Order_2021-08-31_20251126182009.pdf")</f>
        <v>MCRO_27-CR-21-12749_Findings and Order_2021-08-31_20251126182009.pdf</v>
      </c>
      <c r="H141" s="2" t="s">
        <v>1368</v>
      </c>
      <c r="I141" s="9" t="s">
        <v>2284</v>
      </c>
      <c r="J141" s="2" t="s">
        <v>2285</v>
      </c>
      <c r="K141" s="2" t="s">
        <v>1362</v>
      </c>
      <c r="L141" s="9" t="s">
        <v>2541</v>
      </c>
      <c r="M141" s="2" t="s">
        <v>2542</v>
      </c>
    </row>
    <row r="142" customFormat="false" ht="18.7" hidden="false" customHeight="true" outlineLevel="0" collapsed="false">
      <c r="A142" s="1" t="n">
        <v>141</v>
      </c>
      <c r="B142" s="7" t="str">
        <f aca="false">HYPERLINK("https://mncourtfraud.com/file/27-CR-21-12749.pdf","27-CR-21-12749")</f>
        <v>27-CR-21-12749</v>
      </c>
      <c r="C142" s="1" t="n">
        <v>1</v>
      </c>
      <c r="D142" s="2" t="s">
        <v>12</v>
      </c>
      <c r="E142" s="8" t="n">
        <v>44593</v>
      </c>
      <c r="F142" s="2" t="s">
        <v>19</v>
      </c>
      <c r="G142" s="7" t="str">
        <f aca="false">HYPERLINK("https://mncourtfraud.com/file/MCRO_27-CR-21-12749_Findings and Order_2022-02-01_20251126181958.pdf","MCRO_27-CR-21-12749_Findings and Order_2022-02-01_20251126181958.pdf")</f>
        <v>MCRO_27-CR-21-12749_Findings and Order_2022-02-01_20251126181958.pdf</v>
      </c>
      <c r="H142" s="2" t="s">
        <v>1368</v>
      </c>
      <c r="I142" s="9" t="s">
        <v>2288</v>
      </c>
      <c r="J142" s="2" t="s">
        <v>2289</v>
      </c>
      <c r="K142" s="2" t="s">
        <v>1362</v>
      </c>
      <c r="L142" s="9" t="s">
        <v>2543</v>
      </c>
      <c r="M142" s="2" t="s">
        <v>2425</v>
      </c>
    </row>
    <row r="143" customFormat="false" ht="18.7" hidden="false" customHeight="true" outlineLevel="0" collapsed="false">
      <c r="A143" s="1" t="n">
        <v>142</v>
      </c>
      <c r="B143" s="7" t="str">
        <f aca="false">HYPERLINK("https://mncourtfraud.com/file/27-CR-21-12749.pdf","27-CR-21-12749")</f>
        <v>27-CR-21-12749</v>
      </c>
      <c r="C143" s="1" t="n">
        <v>1</v>
      </c>
      <c r="D143" s="2" t="s">
        <v>12</v>
      </c>
      <c r="E143" s="8" t="n">
        <v>45093</v>
      </c>
      <c r="F143" s="2" t="s">
        <v>82</v>
      </c>
      <c r="G143" s="7" t="str">
        <f aca="false">HYPERLINK("https://mncourtfraud.com/file/MCRO_27-CR-21-12749_Notice of Case Reassignment_2023-06-16_20251126182023.pdf","MCRO_27-CR-21-12749_Notice of Case Reassignment_2023-06-16_20251126182023.pdf")</f>
        <v>MCRO_27-CR-21-12749_Notice of Case Reassignment_2023-06-16_20251126182023.pdf</v>
      </c>
      <c r="H143" s="2" t="s">
        <v>1362</v>
      </c>
      <c r="I143" s="9" t="s">
        <v>2544</v>
      </c>
      <c r="J143" s="2" t="s">
        <v>2545</v>
      </c>
    </row>
    <row r="144" customFormat="false" ht="18.7" hidden="false" customHeight="true" outlineLevel="0" collapsed="false">
      <c r="A144" s="1" t="n">
        <v>143</v>
      </c>
      <c r="B144" s="7" t="str">
        <f aca="false">HYPERLINK("https://mncourtfraud.com/file/27-CR-21-12749.pdf","27-CR-21-12749")</f>
        <v>27-CR-21-12749</v>
      </c>
      <c r="C144" s="1" t="n">
        <v>1</v>
      </c>
      <c r="D144" s="2" t="s">
        <v>12</v>
      </c>
      <c r="E144" s="8" t="n">
        <v>44460</v>
      </c>
      <c r="F144" s="2" t="s">
        <v>24</v>
      </c>
      <c r="G144" s="7" t="str">
        <f aca="false">HYPERLINK("https://mncourtfraud.com/file/MCRO_27-CR-21-12749_Order for Conditional Release_2021-09-21_20251126182103.pdf","MCRO_27-CR-21-12749_Order for Conditional Release_2021-09-21_20251126182103.pdf")</f>
        <v>MCRO_27-CR-21-12749_Order for Conditional Release_2021-09-21_20251126182103.pdf</v>
      </c>
      <c r="H144" s="2" t="s">
        <v>1362</v>
      </c>
      <c r="I144" s="9" t="s">
        <v>2546</v>
      </c>
      <c r="J144" s="2" t="s">
        <v>2293</v>
      </c>
    </row>
    <row r="145" customFormat="false" ht="18.7" hidden="false" customHeight="true" outlineLevel="0" collapsed="false">
      <c r="A145" s="1" t="n">
        <v>144</v>
      </c>
      <c r="B145" s="7" t="str">
        <f aca="false">HYPERLINK("https://mncourtfraud.com/file/27-CR-21-12749.pdf","27-CR-21-12749")</f>
        <v>27-CR-21-12749</v>
      </c>
      <c r="C145" s="1" t="n">
        <v>1</v>
      </c>
      <c r="D145" s="2" t="s">
        <v>12</v>
      </c>
      <c r="E145" s="8" t="n">
        <v>44468</v>
      </c>
      <c r="F145" s="2" t="s">
        <v>24</v>
      </c>
      <c r="G145" s="7" t="str">
        <f aca="false">HYPERLINK("https://mncourtfraud.com/file/MCRO_27-CR-21-12749_Order for Conditional Release_2021-09-29_20251126182110.pdf","MCRO_27-CR-21-12749_Order for Conditional Release_2021-09-29_20251126182110.pdf")</f>
        <v>MCRO_27-CR-21-12749_Order for Conditional Release_2021-09-29_20251126182110.pdf</v>
      </c>
      <c r="H145" s="2" t="s">
        <v>1362</v>
      </c>
      <c r="I145" s="9" t="s">
        <v>2547</v>
      </c>
      <c r="J145" s="2" t="s">
        <v>2522</v>
      </c>
    </row>
    <row r="146" customFormat="false" ht="18.7" hidden="false" customHeight="true" outlineLevel="0" collapsed="false">
      <c r="A146" s="1" t="n">
        <v>145</v>
      </c>
      <c r="B146" s="7" t="str">
        <f aca="false">HYPERLINK("https://mncourtfraud.com/file/27-CR-21-12749.pdf","27-CR-21-12749")</f>
        <v>27-CR-21-12749</v>
      </c>
      <c r="C146" s="1" t="n">
        <v>1</v>
      </c>
      <c r="D146" s="2" t="s">
        <v>12</v>
      </c>
      <c r="E146" s="8" t="n">
        <v>45412</v>
      </c>
      <c r="F146" s="2" t="s">
        <v>24</v>
      </c>
      <c r="G146" s="7" t="str">
        <f aca="false">HYPERLINK("https://mncourtfraud.com/file/MCRO_27-CR-21-12749_Order for Conditional Release_2024-04-30_20251126182051.pdf","MCRO_27-CR-21-12749_Order for Conditional Release_2024-04-30_20251126182051.pdf")</f>
        <v>MCRO_27-CR-21-12749_Order for Conditional Release_2024-04-30_20251126182051.pdf</v>
      </c>
      <c r="H146" s="2" t="s">
        <v>1362</v>
      </c>
      <c r="I146" s="9" t="s">
        <v>2548</v>
      </c>
      <c r="J146" s="2" t="s">
        <v>2400</v>
      </c>
    </row>
    <row r="147" customFormat="false" ht="18.7" hidden="false" customHeight="true" outlineLevel="0" collapsed="false">
      <c r="A147" s="1" t="n">
        <v>146</v>
      </c>
      <c r="B147" s="7" t="str">
        <f aca="false">HYPERLINK("https://mncourtfraud.com/file/27-CR-21-12749.pdf","27-CR-21-12749")</f>
        <v>27-CR-21-12749</v>
      </c>
      <c r="C147" s="1" t="n">
        <v>1</v>
      </c>
      <c r="D147" s="2" t="s">
        <v>12</v>
      </c>
      <c r="E147" s="8" t="n">
        <v>44396</v>
      </c>
      <c r="F147" s="2" t="s">
        <v>15</v>
      </c>
      <c r="G147" s="7" t="str">
        <f aca="false">HYPERLINK("https://mncourtfraud.com/file/MCRO_27-CR-21-12749_Order-Evaluation for Competency to Proceed (Rule 20.01)_2021-07-19_20251126182123.pdf","MCRO_27-CR-21-12749_Order-Evaluation for Competency to Proceed (Rule 20.01)_2021-07-19_20251126182123.pdf")</f>
        <v>MCRO_27-CR-21-12749_Order-Evaluation for Competency to Proceed (Rule 20.01)_2021-07-19_20251126182123.pdf</v>
      </c>
      <c r="H147" s="2" t="s">
        <v>1362</v>
      </c>
      <c r="I147" s="9" t="s">
        <v>2549</v>
      </c>
      <c r="J147" s="2" t="s">
        <v>2550</v>
      </c>
    </row>
    <row r="148" customFormat="false" ht="18.7" hidden="false" customHeight="true" outlineLevel="0" collapsed="false">
      <c r="A148" s="1" t="n">
        <v>147</v>
      </c>
      <c r="B148" s="7" t="str">
        <f aca="false">HYPERLINK("https://mncourtfraud.com/file/27-CR-21-12749.pdf","27-CR-21-12749")</f>
        <v>27-CR-21-12749</v>
      </c>
      <c r="C148" s="1" t="n">
        <v>1</v>
      </c>
      <c r="D148" s="2" t="s">
        <v>12</v>
      </c>
      <c r="E148" s="8" t="n">
        <v>44543</v>
      </c>
      <c r="F148" s="2" t="s">
        <v>15</v>
      </c>
      <c r="G148" s="7" t="str">
        <f aca="false">HYPERLINK("https://mncourtfraud.com/file/MCRO_27-CR-21-12749_Order-Evaluation for Competency to Proceed (Rule 20.01)_2021-12-13_20251126182133.pdf","MCRO_27-CR-21-12749_Order-Evaluation for Competency to Proceed (Rule 20.01)_2021-12-13_20251126182133.pdf")</f>
        <v>MCRO_27-CR-21-12749_Order-Evaluation for Competency to Proceed (Rule 20.01)_2021-12-13_20251126182133.pdf</v>
      </c>
      <c r="H148" s="2" t="s">
        <v>1362</v>
      </c>
      <c r="I148" s="9" t="s">
        <v>2551</v>
      </c>
      <c r="J148" s="2" t="s">
        <v>2552</v>
      </c>
    </row>
    <row r="149" customFormat="false" ht="18.7" hidden="false" customHeight="true" outlineLevel="0" collapsed="false">
      <c r="A149" s="1" t="n">
        <v>148</v>
      </c>
      <c r="B149" s="7" t="str">
        <f aca="false">HYPERLINK("https://mncourtfraud.com/file/27-CR-21-12749.pdf","27-CR-21-12749")</f>
        <v>27-CR-21-12749</v>
      </c>
      <c r="C149" s="1" t="n">
        <v>1</v>
      </c>
      <c r="D149" s="2" t="s">
        <v>12</v>
      </c>
      <c r="E149" s="8" t="n">
        <v>44558</v>
      </c>
      <c r="F149" s="2" t="s">
        <v>15</v>
      </c>
      <c r="G149" s="7" t="str">
        <f aca="false">HYPERLINK("https://mncourtfraud.com/file/MCRO_27-CR-21-12749_Order-Evaluation for Competency to Proceed (Rule 20.01)_2021-12-28_20251126182145.pdf","MCRO_27-CR-21-12749_Order-Evaluation for Competency to Proceed (Rule 20.01)_2021-12-28_20251126182145.pdf")</f>
        <v>MCRO_27-CR-21-12749_Order-Evaluation for Competency to Proceed (Rule 20.01)_2021-12-28_20251126182145.pdf</v>
      </c>
      <c r="H149" s="2" t="s">
        <v>1362</v>
      </c>
      <c r="I149" s="9" t="s">
        <v>2553</v>
      </c>
      <c r="J149" s="2" t="s">
        <v>2554</v>
      </c>
    </row>
    <row r="150" customFormat="false" ht="18.7" hidden="false" customHeight="true" outlineLevel="0" collapsed="false">
      <c r="A150" s="1" t="n">
        <v>149</v>
      </c>
      <c r="B150" s="7" t="str">
        <f aca="false">HYPERLINK("https://mncourtfraud.com/file/27-CR-21-12749.pdf","27-CR-21-12749")</f>
        <v>27-CR-21-12749</v>
      </c>
      <c r="C150" s="1" t="n">
        <v>1</v>
      </c>
      <c r="D150" s="2" t="s">
        <v>12</v>
      </c>
      <c r="E150" s="8" t="n">
        <v>44692</v>
      </c>
      <c r="F150" s="2" t="s">
        <v>15</v>
      </c>
      <c r="G150" s="7" t="str">
        <f aca="false">HYPERLINK("https://mncourtfraud.com/file/MCRO_27-CR-21-12749_Order-Evaluation for Competency to Proceed (Rule 20.01)_2022-05-11_20251126182155.pdf","MCRO_27-CR-21-12749_Order-Evaluation for Competency to Proceed (Rule 20.01)_2022-05-11_20251126182155.pdf")</f>
        <v>MCRO_27-CR-21-12749_Order-Evaluation for Competency to Proceed (Rule 20.01)_2022-05-11_20251126182155.pdf</v>
      </c>
      <c r="H150" s="2" t="s">
        <v>1362</v>
      </c>
      <c r="I150" s="9" t="s">
        <v>2555</v>
      </c>
      <c r="J150" s="2" t="s">
        <v>2556</v>
      </c>
    </row>
    <row r="151" customFormat="false" ht="18.7" hidden="false" customHeight="true" outlineLevel="0" collapsed="false">
      <c r="A151" s="1" t="n">
        <v>150</v>
      </c>
      <c r="B151" s="7" t="str">
        <f aca="false">HYPERLINK("https://mncourtfraud.com/file/27-CR-21-12749.pdf","27-CR-21-12749")</f>
        <v>27-CR-21-12749</v>
      </c>
      <c r="C151" s="1" t="n">
        <v>1</v>
      </c>
      <c r="D151" s="2" t="s">
        <v>12</v>
      </c>
      <c r="E151" s="8" t="n">
        <v>44895</v>
      </c>
      <c r="F151" s="2" t="s">
        <v>15</v>
      </c>
      <c r="G151" s="7" t="str">
        <f aca="false">HYPERLINK("https://mncourtfraud.com/file/MCRO_27-CR-21-12749_Order-Evaluation for Competency to Proceed (Rule 20.01)_2022-11-30_20251126182203.pdf","MCRO_27-CR-21-12749_Order-Evaluation for Competency to Proceed (Rule 20.01)_2022-11-30_20251126182203.pdf")</f>
        <v>MCRO_27-CR-21-12749_Order-Evaluation for Competency to Proceed (Rule 20.01)_2022-11-30_20251126182203.pdf</v>
      </c>
      <c r="H151" s="2" t="s">
        <v>1362</v>
      </c>
      <c r="I151" s="9" t="s">
        <v>2557</v>
      </c>
      <c r="J151" s="2" t="s">
        <v>2558</v>
      </c>
    </row>
    <row r="152" customFormat="false" ht="18.7" hidden="false" customHeight="true" outlineLevel="0" collapsed="false">
      <c r="A152" s="1" t="n">
        <v>151</v>
      </c>
      <c r="B152" s="7" t="str">
        <f aca="false">HYPERLINK("https://mncourtfraud.com/file/27-CR-21-12749.pdf","27-CR-21-12749")</f>
        <v>27-CR-21-12749</v>
      </c>
      <c r="C152" s="1" t="n">
        <v>1</v>
      </c>
      <c r="D152" s="2" t="s">
        <v>12</v>
      </c>
      <c r="E152" s="8" t="n">
        <v>45160</v>
      </c>
      <c r="F152" s="2" t="s">
        <v>15</v>
      </c>
      <c r="G152" s="7" t="str">
        <f aca="false">HYPERLINK("https://mncourtfraud.com/file/MCRO_27-CR-21-12749_Order-Evaluation for Competency to Proceed (Rule 20.01)_2023-08-22_20251126182213.pdf","MCRO_27-CR-21-12749_Order-Evaluation for Competency to Proceed (Rule 20.01)_2023-08-22_20251126182213.pdf")</f>
        <v>MCRO_27-CR-21-12749_Order-Evaluation for Competency to Proceed (Rule 20.01)_2023-08-22_20251126182213.pdf</v>
      </c>
      <c r="H152" s="2" t="s">
        <v>1519</v>
      </c>
      <c r="I152" s="9" t="s">
        <v>2410</v>
      </c>
      <c r="J152" s="2" t="s">
        <v>2411</v>
      </c>
      <c r="K152" s="2" t="s">
        <v>1362</v>
      </c>
      <c r="L152" s="9" t="s">
        <v>2559</v>
      </c>
      <c r="M152" s="2" t="s">
        <v>2471</v>
      </c>
    </row>
    <row r="153" customFormat="false" ht="18.7" hidden="false" customHeight="true" outlineLevel="0" collapsed="false">
      <c r="A153" s="1" t="n">
        <v>152</v>
      </c>
      <c r="B153" s="7" t="str">
        <f aca="false">HYPERLINK("https://mncourtfraud.com/file/27-CR-21-12749.pdf","27-CR-21-12749")</f>
        <v>27-CR-21-12749</v>
      </c>
      <c r="C153" s="1" t="n">
        <v>1</v>
      </c>
      <c r="D153" s="2" t="s">
        <v>12</v>
      </c>
      <c r="E153" s="8" t="n">
        <v>45412</v>
      </c>
      <c r="F153" s="2" t="s">
        <v>15</v>
      </c>
      <c r="G153" s="7" t="str">
        <f aca="false">HYPERLINK("https://mncourtfraud.com/file/MCRO_27-CR-21-12749_Order-Evaluation for Competency to Proceed (Rule 20.01)_2024-04-30_20251126182222.pdf","MCRO_27-CR-21-12749_Order-Evaluation for Competency to Proceed (Rule 20.01)_2024-04-30_20251126182222.pdf")</f>
        <v>MCRO_27-CR-21-12749_Order-Evaluation for Competency to Proceed (Rule 20.01)_2024-04-30_20251126182222.pdf</v>
      </c>
      <c r="H153" s="2" t="s">
        <v>1362</v>
      </c>
      <c r="I153" s="9" t="s">
        <v>2560</v>
      </c>
      <c r="J153" s="2" t="s">
        <v>2561</v>
      </c>
    </row>
    <row r="154" customFormat="false" ht="18.7" hidden="false" customHeight="true" outlineLevel="0" collapsed="false">
      <c r="A154" s="1" t="n">
        <v>153</v>
      </c>
      <c r="B154" s="7" t="str">
        <f aca="false">HYPERLINK("https://mncourtfraud.com/file/27-CR-21-12762.pdf","27-CR-21-12762")</f>
        <v>27-CR-21-12762</v>
      </c>
      <c r="C154" s="1" t="n">
        <v>1</v>
      </c>
      <c r="D154" s="2" t="s">
        <v>12</v>
      </c>
      <c r="E154" s="8" t="n">
        <v>44405</v>
      </c>
      <c r="F154" s="2" t="s">
        <v>145</v>
      </c>
      <c r="G154" s="7" t="str">
        <f aca="false">HYPERLINK("https://mncourtfraud.com/file/MCRO_27-CR-21-12762_Demand or Request for Discovery_2021-07-28_20251126182249.pdf","MCRO_27-CR-21-12762_Demand or Request for Discovery_2021-07-28_20251126182249.pdf")</f>
        <v>MCRO_27-CR-21-12762_Demand or Request for Discovery_2021-07-28_20251126182249.pdf</v>
      </c>
      <c r="H154" s="2" t="s">
        <v>1362</v>
      </c>
      <c r="I154" s="9" t="s">
        <v>2562</v>
      </c>
      <c r="J154" s="2" t="s">
        <v>2563</v>
      </c>
    </row>
    <row r="155" customFormat="false" ht="18.7" hidden="false" customHeight="true" outlineLevel="0" collapsed="false">
      <c r="A155" s="1" t="n">
        <v>154</v>
      </c>
      <c r="B155" s="7" t="str">
        <f aca="false">HYPERLINK("https://mncourtfraud.com/file/27-CR-21-12762.pdf","27-CR-21-12762")</f>
        <v>27-CR-21-12762</v>
      </c>
      <c r="C155" s="1" t="n">
        <v>1</v>
      </c>
      <c r="D155" s="2" t="s">
        <v>12</v>
      </c>
      <c r="E155" s="8" t="n">
        <v>45048</v>
      </c>
      <c r="F155" s="2" t="s">
        <v>80</v>
      </c>
      <c r="G155" s="7" t="str">
        <f aca="false">HYPERLINK("https://mncourtfraud.com/file/MCRO_27-CR-21-12762_Finding of Incompetency and Order_2023-05-02_20251126182300.pdf","MCRO_27-CR-21-12762_Finding of Incompetency and Order_2023-05-02_20251126182300.pdf")</f>
        <v>MCRO_27-CR-21-12762_Finding of Incompetency and Order_2023-05-02_20251126182300.pdf</v>
      </c>
      <c r="H155" s="2" t="s">
        <v>1492</v>
      </c>
      <c r="I155" s="9" t="s">
        <v>2385</v>
      </c>
      <c r="J155" s="2" t="s">
        <v>2386</v>
      </c>
      <c r="K155" s="2" t="s">
        <v>1496</v>
      </c>
      <c r="L155" s="9" t="s">
        <v>2387</v>
      </c>
      <c r="M155" s="2" t="s">
        <v>2388</v>
      </c>
      <c r="N155" s="2" t="s">
        <v>1362</v>
      </c>
      <c r="O155" s="9" t="s">
        <v>2564</v>
      </c>
      <c r="P155" s="2" t="s">
        <v>2565</v>
      </c>
    </row>
    <row r="156" customFormat="false" ht="18.7" hidden="false" customHeight="true" outlineLevel="0" collapsed="false">
      <c r="A156" s="1" t="n">
        <v>155</v>
      </c>
      <c r="B156" s="7" t="str">
        <f aca="false">HYPERLINK("https://mncourtfraud.com/file/27-CR-21-12762.pdf","27-CR-21-12762")</f>
        <v>27-CR-21-12762</v>
      </c>
      <c r="C156" s="1" t="n">
        <v>1</v>
      </c>
      <c r="D156" s="2" t="s">
        <v>12</v>
      </c>
      <c r="E156" s="8" t="n">
        <v>44439</v>
      </c>
      <c r="F156" s="2" t="s">
        <v>19</v>
      </c>
      <c r="G156" s="7" t="str">
        <f aca="false">HYPERLINK("https://mncourtfraud.com/file/MCRO_27-CR-21-12762_Findings and Order_2021-08-31_20251126182327.pdf","MCRO_27-CR-21-12762_Findings and Order_2021-08-31_20251126182327.pdf")</f>
        <v>MCRO_27-CR-21-12762_Findings and Order_2021-08-31_20251126182327.pdf</v>
      </c>
      <c r="H156" s="2" t="s">
        <v>1368</v>
      </c>
      <c r="I156" s="9" t="s">
        <v>2284</v>
      </c>
      <c r="J156" s="2" t="s">
        <v>2285</v>
      </c>
      <c r="K156" s="2" t="s">
        <v>1362</v>
      </c>
      <c r="L156" s="9" t="s">
        <v>2566</v>
      </c>
      <c r="M156" s="2" t="s">
        <v>2542</v>
      </c>
    </row>
    <row r="157" customFormat="false" ht="18.7" hidden="false" customHeight="true" outlineLevel="0" collapsed="false">
      <c r="A157" s="1" t="n">
        <v>156</v>
      </c>
      <c r="B157" s="7" t="str">
        <f aca="false">HYPERLINK("https://mncourtfraud.com/file/27-CR-21-12762.pdf","27-CR-21-12762")</f>
        <v>27-CR-21-12762</v>
      </c>
      <c r="C157" s="1" t="n">
        <v>1</v>
      </c>
      <c r="D157" s="2" t="s">
        <v>12</v>
      </c>
      <c r="E157" s="8" t="n">
        <v>44593</v>
      </c>
      <c r="F157" s="2" t="s">
        <v>19</v>
      </c>
      <c r="G157" s="7" t="str">
        <f aca="false">HYPERLINK("https://mncourtfraud.com/file/MCRO_27-CR-21-12762_Findings and Order_2022-02-01_20251126182314.pdf","MCRO_27-CR-21-12762_Findings and Order_2022-02-01_20251126182314.pdf")</f>
        <v>MCRO_27-CR-21-12762_Findings and Order_2022-02-01_20251126182314.pdf</v>
      </c>
      <c r="H157" s="2" t="s">
        <v>1368</v>
      </c>
      <c r="I157" s="9" t="s">
        <v>2288</v>
      </c>
      <c r="J157" s="2" t="s">
        <v>2289</v>
      </c>
      <c r="K157" s="2" t="s">
        <v>1362</v>
      </c>
      <c r="L157" s="9" t="s">
        <v>2567</v>
      </c>
      <c r="M157" s="2" t="s">
        <v>2568</v>
      </c>
    </row>
    <row r="158" customFormat="false" ht="18.7" hidden="false" customHeight="true" outlineLevel="0" collapsed="false">
      <c r="A158" s="1" t="n">
        <v>157</v>
      </c>
      <c r="B158" s="7" t="str">
        <f aca="false">HYPERLINK("https://mncourtfraud.com/file/27-CR-21-12762.pdf","27-CR-21-12762")</f>
        <v>27-CR-21-12762</v>
      </c>
      <c r="C158" s="1" t="n">
        <v>1</v>
      </c>
      <c r="D158" s="2" t="s">
        <v>12</v>
      </c>
      <c r="E158" s="8" t="n">
        <v>45093</v>
      </c>
      <c r="F158" s="2" t="s">
        <v>82</v>
      </c>
      <c r="G158" s="7" t="str">
        <f aca="false">HYPERLINK("https://mncourtfraud.com/file/MCRO_27-CR-21-12762_Notice of Case Reassignment_2023-06-16_20251126182340.pdf","MCRO_27-CR-21-12762_Notice of Case Reassignment_2023-06-16_20251126182340.pdf")</f>
        <v>MCRO_27-CR-21-12762_Notice of Case Reassignment_2023-06-16_20251126182340.pdf</v>
      </c>
      <c r="H158" s="2" t="s">
        <v>1362</v>
      </c>
      <c r="I158" s="9" t="s">
        <v>2569</v>
      </c>
      <c r="J158" s="2" t="s">
        <v>2427</v>
      </c>
    </row>
    <row r="159" customFormat="false" ht="18.7" hidden="false" customHeight="true" outlineLevel="0" collapsed="false">
      <c r="A159" s="1" t="n">
        <v>158</v>
      </c>
      <c r="B159" s="7" t="str">
        <f aca="false">HYPERLINK("https://mncourtfraud.com/file/27-CR-21-12762.pdf","27-CR-21-12762")</f>
        <v>27-CR-21-12762</v>
      </c>
      <c r="C159" s="1" t="n">
        <v>1</v>
      </c>
      <c r="D159" s="2" t="s">
        <v>12</v>
      </c>
      <c r="E159" s="8" t="n">
        <v>44460</v>
      </c>
      <c r="F159" s="2" t="s">
        <v>24</v>
      </c>
      <c r="G159" s="7" t="str">
        <f aca="false">HYPERLINK("https://mncourtfraud.com/file/MCRO_27-CR-21-12762_Order for Conditional Release_2021-09-21_20251126182412.pdf","MCRO_27-CR-21-12762_Order for Conditional Release_2021-09-21_20251126182412.pdf")</f>
        <v>MCRO_27-CR-21-12762_Order for Conditional Release_2021-09-21_20251126182412.pdf</v>
      </c>
      <c r="H159" s="2" t="s">
        <v>1362</v>
      </c>
      <c r="I159" s="9" t="s">
        <v>2570</v>
      </c>
      <c r="J159" s="2" t="s">
        <v>2321</v>
      </c>
    </row>
    <row r="160" customFormat="false" ht="18.7" hidden="false" customHeight="true" outlineLevel="0" collapsed="false">
      <c r="A160" s="1" t="n">
        <v>159</v>
      </c>
      <c r="B160" s="7" t="str">
        <f aca="false">HYPERLINK("https://mncourtfraud.com/file/27-CR-21-12762.pdf","27-CR-21-12762")</f>
        <v>27-CR-21-12762</v>
      </c>
      <c r="C160" s="1" t="n">
        <v>1</v>
      </c>
      <c r="D160" s="2" t="s">
        <v>12</v>
      </c>
      <c r="E160" s="8" t="n">
        <v>44468</v>
      </c>
      <c r="F160" s="2" t="s">
        <v>24</v>
      </c>
      <c r="G160" s="7" t="str">
        <f aca="false">HYPERLINK("https://mncourtfraud.com/file/MCRO_27-CR-21-12762_Order for Conditional Release_2021-09-29_20251126182418.pdf","MCRO_27-CR-21-12762_Order for Conditional Release_2021-09-29_20251126182418.pdf")</f>
        <v>MCRO_27-CR-21-12762_Order for Conditional Release_2021-09-29_20251126182418.pdf</v>
      </c>
      <c r="H160" s="2" t="s">
        <v>1362</v>
      </c>
      <c r="I160" s="9" t="s">
        <v>2571</v>
      </c>
      <c r="J160" s="2" t="s">
        <v>2572</v>
      </c>
    </row>
    <row r="161" customFormat="false" ht="18.7" hidden="false" customHeight="true" outlineLevel="0" collapsed="false">
      <c r="A161" s="1" t="n">
        <v>160</v>
      </c>
      <c r="B161" s="7" t="str">
        <f aca="false">HYPERLINK("https://mncourtfraud.com/file/27-CR-21-12762.pdf","27-CR-21-12762")</f>
        <v>27-CR-21-12762</v>
      </c>
      <c r="C161" s="1" t="n">
        <v>1</v>
      </c>
      <c r="D161" s="2" t="s">
        <v>12</v>
      </c>
      <c r="E161" s="8" t="n">
        <v>45412</v>
      </c>
      <c r="F161" s="2" t="s">
        <v>24</v>
      </c>
      <c r="G161" s="7" t="str">
        <f aca="false">HYPERLINK("https://mncourtfraud.com/file/MCRO_27-CR-21-12762_Order for Conditional Release_2024-04-30_20251126182405.pdf","MCRO_27-CR-21-12762_Order for Conditional Release_2024-04-30_20251126182405.pdf")</f>
        <v>MCRO_27-CR-21-12762_Order for Conditional Release_2024-04-30_20251126182405.pdf</v>
      </c>
      <c r="H161" s="2" t="s">
        <v>1362</v>
      </c>
      <c r="I161" s="9" t="s">
        <v>2573</v>
      </c>
      <c r="J161" s="2" t="s">
        <v>2574</v>
      </c>
    </row>
    <row r="162" customFormat="false" ht="18.7" hidden="false" customHeight="true" outlineLevel="0" collapsed="false">
      <c r="A162" s="1" t="n">
        <v>161</v>
      </c>
      <c r="B162" s="7" t="str">
        <f aca="false">HYPERLINK("https://mncourtfraud.com/file/27-CR-21-12762.pdf","27-CR-21-12762")</f>
        <v>27-CR-21-12762</v>
      </c>
      <c r="C162" s="1" t="n">
        <v>1</v>
      </c>
      <c r="D162" s="2" t="s">
        <v>12</v>
      </c>
      <c r="E162" s="8" t="n">
        <v>44396</v>
      </c>
      <c r="F162" s="2" t="s">
        <v>15</v>
      </c>
      <c r="G162" s="7" t="str">
        <f aca="false">HYPERLINK("https://mncourtfraud.com/file/MCRO_27-CR-21-12762_Order-Evaluation for Competency to Proceed (Rule 20.01)_2021-07-19_20251126182430.pdf","MCRO_27-CR-21-12762_Order-Evaluation for Competency to Proceed (Rule 20.01)_2021-07-19_20251126182430.pdf")</f>
        <v>MCRO_27-CR-21-12762_Order-Evaluation for Competency to Proceed (Rule 20.01)_2021-07-19_20251126182430.pdf</v>
      </c>
      <c r="H162" s="2" t="s">
        <v>1362</v>
      </c>
      <c r="I162" s="9" t="s">
        <v>2575</v>
      </c>
      <c r="J162" s="2" t="s">
        <v>2576</v>
      </c>
    </row>
    <row r="163" customFormat="false" ht="18.7" hidden="false" customHeight="true" outlineLevel="0" collapsed="false">
      <c r="A163" s="1" t="n">
        <v>162</v>
      </c>
      <c r="B163" s="7" t="str">
        <f aca="false">HYPERLINK("https://mncourtfraud.com/file/27-CR-21-12762.pdf","27-CR-21-12762")</f>
        <v>27-CR-21-12762</v>
      </c>
      <c r="C163" s="1" t="n">
        <v>1</v>
      </c>
      <c r="D163" s="2" t="s">
        <v>12</v>
      </c>
      <c r="E163" s="8" t="n">
        <v>44543</v>
      </c>
      <c r="F163" s="2" t="s">
        <v>15</v>
      </c>
      <c r="G163" s="7" t="str">
        <f aca="false">HYPERLINK("https://mncourtfraud.com/file/MCRO_27-CR-21-12762_Order-Evaluation for Competency to Proceed (Rule 20.01)_2021-12-13_20251126182440.pdf","MCRO_27-CR-21-12762_Order-Evaluation for Competency to Proceed (Rule 20.01)_2021-12-13_20251126182440.pdf")</f>
        <v>MCRO_27-CR-21-12762_Order-Evaluation for Competency to Proceed (Rule 20.01)_2021-12-13_20251126182440.pdf</v>
      </c>
      <c r="H163" s="2" t="s">
        <v>1362</v>
      </c>
      <c r="I163" s="9" t="s">
        <v>2577</v>
      </c>
      <c r="J163" s="2" t="s">
        <v>2379</v>
      </c>
    </row>
    <row r="164" customFormat="false" ht="18.7" hidden="false" customHeight="true" outlineLevel="0" collapsed="false">
      <c r="A164" s="1" t="n">
        <v>163</v>
      </c>
      <c r="B164" s="7" t="str">
        <f aca="false">HYPERLINK("https://mncourtfraud.com/file/27-CR-21-12762.pdf","27-CR-21-12762")</f>
        <v>27-CR-21-12762</v>
      </c>
      <c r="C164" s="1" t="n">
        <v>1</v>
      </c>
      <c r="D164" s="2" t="s">
        <v>12</v>
      </c>
      <c r="E164" s="8" t="n">
        <v>44558</v>
      </c>
      <c r="F164" s="2" t="s">
        <v>15</v>
      </c>
      <c r="G164" s="7" t="str">
        <f aca="false">HYPERLINK("https://mncourtfraud.com/file/MCRO_27-CR-21-12762_Order-Evaluation for Competency to Proceed (Rule 20.01)_2021-12-28_20251126182449.pdf","MCRO_27-CR-21-12762_Order-Evaluation for Competency to Proceed (Rule 20.01)_2021-12-28_20251126182449.pdf")</f>
        <v>MCRO_27-CR-21-12762_Order-Evaluation for Competency to Proceed (Rule 20.01)_2021-12-28_20251126182449.pdf</v>
      </c>
      <c r="H164" s="2" t="s">
        <v>1362</v>
      </c>
      <c r="I164" s="9" t="s">
        <v>2578</v>
      </c>
      <c r="J164" s="2" t="s">
        <v>2579</v>
      </c>
    </row>
    <row r="165" customFormat="false" ht="18.7" hidden="false" customHeight="true" outlineLevel="0" collapsed="false">
      <c r="A165" s="1" t="n">
        <v>164</v>
      </c>
      <c r="B165" s="7" t="str">
        <f aca="false">HYPERLINK("https://mncourtfraud.com/file/27-CR-21-12762.pdf","27-CR-21-12762")</f>
        <v>27-CR-21-12762</v>
      </c>
      <c r="C165" s="1" t="n">
        <v>1</v>
      </c>
      <c r="D165" s="2" t="s">
        <v>12</v>
      </c>
      <c r="E165" s="8" t="n">
        <v>44692</v>
      </c>
      <c r="F165" s="2" t="s">
        <v>15</v>
      </c>
      <c r="G165" s="7" t="str">
        <f aca="false">HYPERLINK("https://mncourtfraud.com/file/MCRO_27-CR-21-12762_Order-Evaluation for Competency to Proceed (Rule 20.01)_2022-05-11_20251126182457.pdf","MCRO_27-CR-21-12762_Order-Evaluation for Competency to Proceed (Rule 20.01)_2022-05-11_20251126182457.pdf")</f>
        <v>MCRO_27-CR-21-12762_Order-Evaluation for Competency to Proceed (Rule 20.01)_2022-05-11_20251126182457.pdf</v>
      </c>
      <c r="H165" s="2" t="s">
        <v>1362</v>
      </c>
      <c r="I165" s="9" t="s">
        <v>2580</v>
      </c>
      <c r="J165" s="2" t="s">
        <v>2581</v>
      </c>
    </row>
    <row r="166" customFormat="false" ht="18.7" hidden="false" customHeight="true" outlineLevel="0" collapsed="false">
      <c r="A166" s="1" t="n">
        <v>165</v>
      </c>
      <c r="B166" s="7" t="str">
        <f aca="false">HYPERLINK("https://mncourtfraud.com/file/27-CR-21-12762.pdf","27-CR-21-12762")</f>
        <v>27-CR-21-12762</v>
      </c>
      <c r="C166" s="1" t="n">
        <v>1</v>
      </c>
      <c r="D166" s="2" t="s">
        <v>12</v>
      </c>
      <c r="E166" s="8" t="n">
        <v>44895</v>
      </c>
      <c r="F166" s="2" t="s">
        <v>15</v>
      </c>
      <c r="G166" s="7" t="str">
        <f aca="false">HYPERLINK("https://mncourtfraud.com/file/MCRO_27-CR-21-12762_Order-Evaluation for Competency to Proceed (Rule 20.01)_2022-11-30_20251126182506.pdf","MCRO_27-CR-21-12762_Order-Evaluation for Competency to Proceed (Rule 20.01)_2022-11-30_20251126182506.pdf")</f>
        <v>MCRO_27-CR-21-12762_Order-Evaluation for Competency to Proceed (Rule 20.01)_2022-11-30_20251126182506.pdf</v>
      </c>
      <c r="H166" s="2" t="s">
        <v>1362</v>
      </c>
      <c r="I166" s="9" t="s">
        <v>2582</v>
      </c>
      <c r="J166" s="2" t="s">
        <v>2583</v>
      </c>
    </row>
    <row r="167" customFormat="false" ht="18.7" hidden="false" customHeight="true" outlineLevel="0" collapsed="false">
      <c r="A167" s="1" t="n">
        <v>166</v>
      </c>
      <c r="B167" s="7" t="str">
        <f aca="false">HYPERLINK("https://mncourtfraud.com/file/27-CR-21-12762.pdf","27-CR-21-12762")</f>
        <v>27-CR-21-12762</v>
      </c>
      <c r="C167" s="1" t="n">
        <v>1</v>
      </c>
      <c r="D167" s="2" t="s">
        <v>12</v>
      </c>
      <c r="E167" s="8" t="n">
        <v>45160</v>
      </c>
      <c r="F167" s="2" t="s">
        <v>15</v>
      </c>
      <c r="G167" s="7" t="str">
        <f aca="false">HYPERLINK("https://mncourtfraud.com/file/MCRO_27-CR-21-12762_Order-Evaluation for Competency to Proceed (Rule 20.01)_2023-08-22_20251126182515.pdf","MCRO_27-CR-21-12762_Order-Evaluation for Competency to Proceed (Rule 20.01)_2023-08-22_20251126182515.pdf")</f>
        <v>MCRO_27-CR-21-12762_Order-Evaluation for Competency to Proceed (Rule 20.01)_2023-08-22_20251126182515.pdf</v>
      </c>
      <c r="H167" s="2" t="s">
        <v>1519</v>
      </c>
      <c r="I167" s="9" t="s">
        <v>2410</v>
      </c>
      <c r="J167" s="2" t="s">
        <v>2411</v>
      </c>
      <c r="K167" s="2" t="s">
        <v>1362</v>
      </c>
      <c r="L167" s="9" t="s">
        <v>2584</v>
      </c>
      <c r="M167" s="2" t="s">
        <v>2585</v>
      </c>
    </row>
    <row r="168" customFormat="false" ht="18.7" hidden="false" customHeight="true" outlineLevel="0" collapsed="false">
      <c r="A168" s="1" t="n">
        <v>167</v>
      </c>
      <c r="B168" s="7" t="str">
        <f aca="false">HYPERLINK("https://mncourtfraud.com/file/27-CR-21-12762.pdf","27-CR-21-12762")</f>
        <v>27-CR-21-12762</v>
      </c>
      <c r="C168" s="1" t="n">
        <v>1</v>
      </c>
      <c r="D168" s="2" t="s">
        <v>12</v>
      </c>
      <c r="E168" s="8" t="n">
        <v>45412</v>
      </c>
      <c r="F168" s="2" t="s">
        <v>15</v>
      </c>
      <c r="G168" s="7" t="str">
        <f aca="false">HYPERLINK("https://mncourtfraud.com/file/MCRO_27-CR-21-12762_Order-Evaluation for Competency to Proceed (Rule 20.01)_2024-04-30_20251126182523.pdf","MCRO_27-CR-21-12762_Order-Evaluation for Competency to Proceed (Rule 20.01)_2024-04-30_20251126182523.pdf")</f>
        <v>MCRO_27-CR-21-12762_Order-Evaluation for Competency to Proceed (Rule 20.01)_2024-04-30_20251126182523.pdf</v>
      </c>
      <c r="H168" s="2" t="s">
        <v>1362</v>
      </c>
      <c r="I168" s="9" t="s">
        <v>2586</v>
      </c>
      <c r="J168" s="2" t="s">
        <v>2587</v>
      </c>
    </row>
    <row r="169" customFormat="false" ht="18.7" hidden="false" customHeight="true" outlineLevel="0" collapsed="false">
      <c r="A169" s="1" t="n">
        <v>168</v>
      </c>
      <c r="B169" s="7" t="str">
        <f aca="false">HYPERLINK("https://mncourtfraud.com/file/27-CR-21-12947.pdf","27-CR-21-12947")</f>
        <v>27-CR-21-12947</v>
      </c>
      <c r="C169" s="1" t="n">
        <v>1</v>
      </c>
      <c r="D169" s="2" t="s">
        <v>12</v>
      </c>
      <c r="E169" s="8" t="n">
        <v>44405</v>
      </c>
      <c r="F169" s="2" t="s">
        <v>145</v>
      </c>
      <c r="G169" s="7" t="str">
        <f aca="false">HYPERLINK("https://mncourtfraud.com/file/MCRO_27-CR-21-12947_Demand or Request for Discovery_2021-07-28_20251126182551.pdf","MCRO_27-CR-21-12947_Demand or Request for Discovery_2021-07-28_20251126182551.pdf")</f>
        <v>MCRO_27-CR-21-12947_Demand or Request for Discovery_2021-07-28_20251126182551.pdf</v>
      </c>
      <c r="H169" s="2" t="s">
        <v>1362</v>
      </c>
      <c r="I169" s="9" t="s">
        <v>2588</v>
      </c>
      <c r="J169" s="2" t="s">
        <v>2589</v>
      </c>
    </row>
    <row r="170" customFormat="false" ht="18.7" hidden="false" customHeight="true" outlineLevel="0" collapsed="false">
      <c r="A170" s="1" t="n">
        <v>169</v>
      </c>
      <c r="B170" s="7" t="str">
        <f aca="false">HYPERLINK("https://mncourtfraud.com/file/27-CR-21-12947.pdf","27-CR-21-12947")</f>
        <v>27-CR-21-12947</v>
      </c>
      <c r="C170" s="1" t="n">
        <v>1</v>
      </c>
      <c r="D170" s="2" t="s">
        <v>12</v>
      </c>
      <c r="E170" s="8" t="n">
        <v>45048</v>
      </c>
      <c r="F170" s="2" t="s">
        <v>80</v>
      </c>
      <c r="G170" s="7" t="str">
        <f aca="false">HYPERLINK("https://mncourtfraud.com/file/MCRO_27-CR-21-12947_Finding of Incompetency and Order_2023-05-02_20251126182603.pdf","MCRO_27-CR-21-12947_Finding of Incompetency and Order_2023-05-02_20251126182603.pdf")</f>
        <v>MCRO_27-CR-21-12947_Finding of Incompetency and Order_2023-05-02_20251126182603.pdf</v>
      </c>
      <c r="H170" s="2" t="s">
        <v>1492</v>
      </c>
      <c r="I170" s="9" t="s">
        <v>2385</v>
      </c>
      <c r="J170" s="2" t="s">
        <v>2386</v>
      </c>
      <c r="K170" s="2" t="s">
        <v>1496</v>
      </c>
      <c r="L170" s="9" t="s">
        <v>2387</v>
      </c>
      <c r="M170" s="2" t="s">
        <v>2388</v>
      </c>
      <c r="N170" s="2" t="s">
        <v>1362</v>
      </c>
      <c r="O170" s="9" t="s">
        <v>2590</v>
      </c>
      <c r="P170" s="2" t="s">
        <v>2540</v>
      </c>
    </row>
    <row r="171" customFormat="false" ht="18.7" hidden="false" customHeight="true" outlineLevel="0" collapsed="false">
      <c r="A171" s="1" t="n">
        <v>170</v>
      </c>
      <c r="B171" s="7" t="str">
        <f aca="false">HYPERLINK("https://mncourtfraud.com/file/27-CR-21-12947.pdf","27-CR-21-12947")</f>
        <v>27-CR-21-12947</v>
      </c>
      <c r="C171" s="1" t="n">
        <v>1</v>
      </c>
      <c r="D171" s="2" t="s">
        <v>12</v>
      </c>
      <c r="E171" s="8" t="n">
        <v>44439</v>
      </c>
      <c r="F171" s="2" t="s">
        <v>19</v>
      </c>
      <c r="G171" s="7" t="str">
        <f aca="false">HYPERLINK("https://mncourtfraud.com/file/MCRO_27-CR-21-12947_Findings and Order_2021-08-31_20251126182625.pdf","MCRO_27-CR-21-12947_Findings and Order_2021-08-31_20251126182625.pdf")</f>
        <v>MCRO_27-CR-21-12947_Findings and Order_2021-08-31_20251126182625.pdf</v>
      </c>
      <c r="H171" s="2" t="s">
        <v>1368</v>
      </c>
      <c r="I171" s="9" t="s">
        <v>2284</v>
      </c>
      <c r="J171" s="2" t="s">
        <v>2285</v>
      </c>
      <c r="K171" s="2" t="s">
        <v>1362</v>
      </c>
      <c r="L171" s="9" t="s">
        <v>2591</v>
      </c>
      <c r="M171" s="2" t="s">
        <v>2592</v>
      </c>
    </row>
    <row r="172" customFormat="false" ht="18.7" hidden="false" customHeight="true" outlineLevel="0" collapsed="false">
      <c r="A172" s="1" t="n">
        <v>171</v>
      </c>
      <c r="B172" s="7" t="str">
        <f aca="false">HYPERLINK("https://mncourtfraud.com/file/27-CR-21-12947.pdf","27-CR-21-12947")</f>
        <v>27-CR-21-12947</v>
      </c>
      <c r="C172" s="1" t="n">
        <v>1</v>
      </c>
      <c r="D172" s="2" t="s">
        <v>12</v>
      </c>
      <c r="E172" s="8" t="n">
        <v>44593</v>
      </c>
      <c r="F172" s="2" t="s">
        <v>19</v>
      </c>
      <c r="G172" s="7" t="str">
        <f aca="false">HYPERLINK("https://mncourtfraud.com/file/MCRO_27-CR-21-12947_Findings and Order_2022-02-01_20251126182615.pdf","MCRO_27-CR-21-12947_Findings and Order_2022-02-01_20251126182615.pdf")</f>
        <v>MCRO_27-CR-21-12947_Findings and Order_2022-02-01_20251126182615.pdf</v>
      </c>
      <c r="H172" s="2" t="s">
        <v>1368</v>
      </c>
      <c r="I172" s="9" t="s">
        <v>2288</v>
      </c>
      <c r="J172" s="2" t="s">
        <v>2289</v>
      </c>
      <c r="K172" s="2" t="s">
        <v>1362</v>
      </c>
      <c r="L172" s="9" t="s">
        <v>2593</v>
      </c>
      <c r="M172" s="2" t="s">
        <v>2594</v>
      </c>
    </row>
    <row r="173" customFormat="false" ht="18.7" hidden="false" customHeight="true" outlineLevel="0" collapsed="false">
      <c r="A173" s="1" t="n">
        <v>172</v>
      </c>
      <c r="B173" s="7" t="str">
        <f aca="false">HYPERLINK("https://mncourtfraud.com/file/27-CR-21-12947.pdf","27-CR-21-12947")</f>
        <v>27-CR-21-12947</v>
      </c>
      <c r="C173" s="1" t="n">
        <v>1</v>
      </c>
      <c r="D173" s="2" t="s">
        <v>12</v>
      </c>
      <c r="E173" s="8" t="n">
        <v>45093</v>
      </c>
      <c r="F173" s="2" t="s">
        <v>82</v>
      </c>
      <c r="G173" s="7" t="str">
        <f aca="false">HYPERLINK("https://mncourtfraud.com/file/MCRO_27-CR-21-12947_Notice of Case Reassignment_2023-06-16_20251126182639.pdf","MCRO_27-CR-21-12947_Notice of Case Reassignment_2023-06-16_20251126182639.pdf")</f>
        <v>MCRO_27-CR-21-12947_Notice of Case Reassignment_2023-06-16_20251126182639.pdf</v>
      </c>
      <c r="H173" s="2" t="s">
        <v>1362</v>
      </c>
      <c r="I173" s="9" t="s">
        <v>2595</v>
      </c>
      <c r="J173" s="2" t="s">
        <v>2596</v>
      </c>
    </row>
    <row r="174" customFormat="false" ht="18.7" hidden="false" customHeight="true" outlineLevel="0" collapsed="false">
      <c r="A174" s="1" t="n">
        <v>173</v>
      </c>
      <c r="B174" s="7" t="str">
        <f aca="false">HYPERLINK("https://mncourtfraud.com/file/27-CR-21-12947.pdf","27-CR-21-12947")</f>
        <v>27-CR-21-12947</v>
      </c>
      <c r="C174" s="1" t="n">
        <v>1</v>
      </c>
      <c r="D174" s="2" t="s">
        <v>12</v>
      </c>
      <c r="E174" s="8" t="n">
        <v>44460</v>
      </c>
      <c r="F174" s="2" t="s">
        <v>24</v>
      </c>
      <c r="G174" s="7" t="str">
        <f aca="false">HYPERLINK("https://mncourtfraud.com/file/MCRO_27-CR-21-12947_Order for Conditional Release_2021-09-21_20251126182704.pdf","MCRO_27-CR-21-12947_Order for Conditional Release_2021-09-21_20251126182704.pdf")</f>
        <v>MCRO_27-CR-21-12947_Order for Conditional Release_2021-09-21_20251126182704.pdf</v>
      </c>
      <c r="H174" s="2" t="s">
        <v>1362</v>
      </c>
      <c r="I174" s="9" t="s">
        <v>2597</v>
      </c>
      <c r="J174" s="2" t="s">
        <v>2293</v>
      </c>
    </row>
    <row r="175" customFormat="false" ht="18.7" hidden="false" customHeight="true" outlineLevel="0" collapsed="false">
      <c r="A175" s="1" t="n">
        <v>174</v>
      </c>
      <c r="B175" s="7" t="str">
        <f aca="false">HYPERLINK("https://mncourtfraud.com/file/27-CR-21-12947.pdf","27-CR-21-12947")</f>
        <v>27-CR-21-12947</v>
      </c>
      <c r="C175" s="1" t="n">
        <v>1</v>
      </c>
      <c r="D175" s="2" t="s">
        <v>12</v>
      </c>
      <c r="E175" s="8" t="n">
        <v>44468</v>
      </c>
      <c r="F175" s="2" t="s">
        <v>24</v>
      </c>
      <c r="G175" s="7" t="str">
        <f aca="false">HYPERLINK("https://mncourtfraud.com/file/MCRO_27-CR-21-12947_Order for Conditional Release_2021-09-29_20251126182710.pdf","MCRO_27-CR-21-12947_Order for Conditional Release_2021-09-29_20251126182710.pdf")</f>
        <v>MCRO_27-CR-21-12947_Order for Conditional Release_2021-09-29_20251126182710.pdf</v>
      </c>
      <c r="H175" s="2" t="s">
        <v>1362</v>
      </c>
      <c r="I175" s="9" t="s">
        <v>2598</v>
      </c>
      <c r="J175" s="2" t="s">
        <v>2456</v>
      </c>
    </row>
    <row r="176" customFormat="false" ht="18.7" hidden="false" customHeight="true" outlineLevel="0" collapsed="false">
      <c r="A176" s="1" t="n">
        <v>175</v>
      </c>
      <c r="B176" s="7" t="str">
        <f aca="false">HYPERLINK("https://mncourtfraud.com/file/27-CR-21-12947.pdf","27-CR-21-12947")</f>
        <v>27-CR-21-12947</v>
      </c>
      <c r="C176" s="1" t="n">
        <v>1</v>
      </c>
      <c r="D176" s="2" t="s">
        <v>12</v>
      </c>
      <c r="E176" s="8" t="n">
        <v>45412</v>
      </c>
      <c r="F176" s="2" t="s">
        <v>24</v>
      </c>
      <c r="G176" s="7" t="str">
        <f aca="false">HYPERLINK("https://mncourtfraud.com/file/MCRO_27-CR-21-12947_Order for Conditional Release_2024-04-30_20251126182656.pdf","MCRO_27-CR-21-12947_Order for Conditional Release_2024-04-30_20251126182656.pdf")</f>
        <v>MCRO_27-CR-21-12947_Order for Conditional Release_2024-04-30_20251126182656.pdf</v>
      </c>
      <c r="H176" s="2" t="s">
        <v>1362</v>
      </c>
      <c r="I176" s="9" t="s">
        <v>2599</v>
      </c>
      <c r="J176" s="2" t="s">
        <v>2524</v>
      </c>
    </row>
    <row r="177" customFormat="false" ht="18.7" hidden="false" customHeight="true" outlineLevel="0" collapsed="false">
      <c r="A177" s="1" t="n">
        <v>176</v>
      </c>
      <c r="B177" s="7" t="str">
        <f aca="false">HYPERLINK("https://mncourtfraud.com/file/27-CR-21-12947.pdf","27-CR-21-12947")</f>
        <v>27-CR-21-12947</v>
      </c>
      <c r="C177" s="1" t="n">
        <v>1</v>
      </c>
      <c r="D177" s="2" t="s">
        <v>12</v>
      </c>
      <c r="E177" s="8" t="n">
        <v>44396</v>
      </c>
      <c r="F177" s="2" t="s">
        <v>15</v>
      </c>
      <c r="G177" s="7" t="str">
        <f aca="false">HYPERLINK("https://mncourtfraud.com/file/MCRO_27-CR-21-12947_Order-Evaluation for Competency to Proceed (Rule 20.01)_2021-07-19_20251126182723.pdf","MCRO_27-CR-21-12947_Order-Evaluation for Competency to Proceed (Rule 20.01)_2021-07-19_20251126182723.pdf")</f>
        <v>MCRO_27-CR-21-12947_Order-Evaluation for Competency to Proceed (Rule 20.01)_2021-07-19_20251126182723.pdf</v>
      </c>
      <c r="H177" s="2" t="s">
        <v>1362</v>
      </c>
      <c r="I177" s="9" t="s">
        <v>2600</v>
      </c>
      <c r="J177" s="2" t="s">
        <v>2601</v>
      </c>
    </row>
    <row r="178" customFormat="false" ht="18.7" hidden="false" customHeight="true" outlineLevel="0" collapsed="false">
      <c r="A178" s="1" t="n">
        <v>177</v>
      </c>
      <c r="B178" s="7" t="str">
        <f aca="false">HYPERLINK("https://mncourtfraud.com/file/27-CR-21-12947.pdf","27-CR-21-12947")</f>
        <v>27-CR-21-12947</v>
      </c>
      <c r="C178" s="1" t="n">
        <v>1</v>
      </c>
      <c r="D178" s="2" t="s">
        <v>12</v>
      </c>
      <c r="E178" s="8" t="n">
        <v>44543</v>
      </c>
      <c r="F178" s="2" t="s">
        <v>15</v>
      </c>
      <c r="G178" s="7" t="str">
        <f aca="false">HYPERLINK("https://mncourtfraud.com/file/MCRO_27-CR-21-12947_Order-Evaluation for Competency to Proceed (Rule 20.01)_2021-12-13_20251126182732.pdf","MCRO_27-CR-21-12947_Order-Evaluation for Competency to Proceed (Rule 20.01)_2021-12-13_20251126182732.pdf")</f>
        <v>MCRO_27-CR-21-12947_Order-Evaluation for Competency to Proceed (Rule 20.01)_2021-12-13_20251126182732.pdf</v>
      </c>
      <c r="H178" s="2" t="s">
        <v>1362</v>
      </c>
      <c r="I178" s="9" t="s">
        <v>2602</v>
      </c>
      <c r="J178" s="2" t="s">
        <v>2379</v>
      </c>
    </row>
    <row r="179" customFormat="false" ht="18.7" hidden="false" customHeight="true" outlineLevel="0" collapsed="false">
      <c r="A179" s="1" t="n">
        <v>178</v>
      </c>
      <c r="B179" s="7" t="str">
        <f aca="false">HYPERLINK("https://mncourtfraud.com/file/27-CR-21-12947.pdf","27-CR-21-12947")</f>
        <v>27-CR-21-12947</v>
      </c>
      <c r="C179" s="1" t="n">
        <v>1</v>
      </c>
      <c r="D179" s="2" t="s">
        <v>12</v>
      </c>
      <c r="E179" s="8" t="n">
        <v>44558</v>
      </c>
      <c r="F179" s="2" t="s">
        <v>15</v>
      </c>
      <c r="G179" s="7" t="str">
        <f aca="false">HYPERLINK("https://mncourtfraud.com/file/MCRO_27-CR-21-12947_Order-Evaluation for Competency to Proceed (Rule 20.01)_2021-12-28_20251126182740.pdf","MCRO_27-CR-21-12947_Order-Evaluation for Competency to Proceed (Rule 20.01)_2021-12-28_20251126182740.pdf")</f>
        <v>MCRO_27-CR-21-12947_Order-Evaluation for Competency to Proceed (Rule 20.01)_2021-12-28_20251126182740.pdf</v>
      </c>
      <c r="H179" s="2" t="s">
        <v>1362</v>
      </c>
      <c r="I179" s="9" t="s">
        <v>2603</v>
      </c>
      <c r="J179" s="2" t="s">
        <v>2604</v>
      </c>
    </row>
    <row r="180" customFormat="false" ht="18.7" hidden="false" customHeight="true" outlineLevel="0" collapsed="false">
      <c r="A180" s="1" t="n">
        <v>179</v>
      </c>
      <c r="B180" s="7" t="str">
        <f aca="false">HYPERLINK("https://mncourtfraud.com/file/27-CR-21-12947.pdf","27-CR-21-12947")</f>
        <v>27-CR-21-12947</v>
      </c>
      <c r="C180" s="1" t="n">
        <v>1</v>
      </c>
      <c r="D180" s="2" t="s">
        <v>12</v>
      </c>
      <c r="E180" s="8" t="n">
        <v>44692</v>
      </c>
      <c r="F180" s="2" t="s">
        <v>15</v>
      </c>
      <c r="G180" s="7" t="str">
        <f aca="false">HYPERLINK("https://mncourtfraud.com/file/MCRO_27-CR-21-12947_Order-Evaluation for Competency to Proceed (Rule 20.01)_2022-05-11_20251126182749.pdf","MCRO_27-CR-21-12947_Order-Evaluation for Competency to Proceed (Rule 20.01)_2022-05-11_20251126182749.pdf")</f>
        <v>MCRO_27-CR-21-12947_Order-Evaluation for Competency to Proceed (Rule 20.01)_2022-05-11_20251126182749.pdf</v>
      </c>
      <c r="H180" s="2" t="s">
        <v>1362</v>
      </c>
      <c r="I180" s="9" t="s">
        <v>2605</v>
      </c>
      <c r="J180" s="2" t="s">
        <v>2606</v>
      </c>
    </row>
    <row r="181" customFormat="false" ht="18.7" hidden="false" customHeight="true" outlineLevel="0" collapsed="false">
      <c r="A181" s="1" t="n">
        <v>180</v>
      </c>
      <c r="B181" s="7" t="str">
        <f aca="false">HYPERLINK("https://mncourtfraud.com/file/27-CR-21-12947.pdf","27-CR-21-12947")</f>
        <v>27-CR-21-12947</v>
      </c>
      <c r="C181" s="1" t="n">
        <v>1</v>
      </c>
      <c r="D181" s="2" t="s">
        <v>12</v>
      </c>
      <c r="E181" s="8" t="n">
        <v>44895</v>
      </c>
      <c r="F181" s="2" t="s">
        <v>15</v>
      </c>
      <c r="G181" s="7" t="str">
        <f aca="false">HYPERLINK("https://mncourtfraud.com/file/MCRO_27-CR-21-12947_Order-Evaluation for Competency to Proceed (Rule 20.01)_2022-11-30_20251126182757.pdf","MCRO_27-CR-21-12947_Order-Evaluation for Competency to Proceed (Rule 20.01)_2022-11-30_20251126182757.pdf")</f>
        <v>MCRO_27-CR-21-12947_Order-Evaluation for Competency to Proceed (Rule 20.01)_2022-11-30_20251126182757.pdf</v>
      </c>
      <c r="H181" s="2" t="s">
        <v>1362</v>
      </c>
      <c r="I181" s="9" t="s">
        <v>2607</v>
      </c>
      <c r="J181" s="2" t="s">
        <v>2558</v>
      </c>
    </row>
    <row r="182" customFormat="false" ht="18.7" hidden="false" customHeight="true" outlineLevel="0" collapsed="false">
      <c r="A182" s="1" t="n">
        <v>181</v>
      </c>
      <c r="B182" s="7" t="str">
        <f aca="false">HYPERLINK("https://mncourtfraud.com/file/27-CR-21-12947.pdf","27-CR-21-12947")</f>
        <v>27-CR-21-12947</v>
      </c>
      <c r="C182" s="1" t="n">
        <v>1</v>
      </c>
      <c r="D182" s="2" t="s">
        <v>12</v>
      </c>
      <c r="E182" s="8" t="n">
        <v>45160</v>
      </c>
      <c r="F182" s="2" t="s">
        <v>15</v>
      </c>
      <c r="G182" s="7" t="str">
        <f aca="false">HYPERLINK("https://mncourtfraud.com/file/MCRO_27-CR-21-12947_Order-Evaluation for Competency to Proceed (Rule 20.01)_2023-08-22_20251126182805.pdf","MCRO_27-CR-21-12947_Order-Evaluation for Competency to Proceed (Rule 20.01)_2023-08-22_20251126182805.pdf")</f>
        <v>MCRO_27-CR-21-12947_Order-Evaluation for Competency to Proceed (Rule 20.01)_2023-08-22_20251126182805.pdf</v>
      </c>
      <c r="H182" s="2" t="s">
        <v>1519</v>
      </c>
      <c r="I182" s="9" t="s">
        <v>2410</v>
      </c>
      <c r="J182" s="2" t="s">
        <v>2411</v>
      </c>
      <c r="K182" s="2" t="s">
        <v>1362</v>
      </c>
      <c r="L182" s="9" t="s">
        <v>2608</v>
      </c>
      <c r="M182" s="2" t="s">
        <v>2609</v>
      </c>
    </row>
    <row r="183" customFormat="false" ht="18.7" hidden="false" customHeight="true" outlineLevel="0" collapsed="false">
      <c r="A183" s="1" t="n">
        <v>182</v>
      </c>
      <c r="B183" s="7" t="str">
        <f aca="false">HYPERLINK("https://mncourtfraud.com/file/27-CR-21-12947.pdf","27-CR-21-12947")</f>
        <v>27-CR-21-12947</v>
      </c>
      <c r="C183" s="1" t="n">
        <v>1</v>
      </c>
      <c r="D183" s="2" t="s">
        <v>12</v>
      </c>
      <c r="E183" s="8" t="n">
        <v>45412</v>
      </c>
      <c r="F183" s="2" t="s">
        <v>15</v>
      </c>
      <c r="G183" s="7" t="str">
        <f aca="false">HYPERLINK("https://mncourtfraud.com/file/MCRO_27-CR-21-12947_Order-Evaluation for Competency to Proceed (Rule 20.01)_2024-04-30_20251126182816.pdf","MCRO_27-CR-21-12947_Order-Evaluation for Competency to Proceed (Rule 20.01)_2024-04-30_20251126182816.pdf")</f>
        <v>MCRO_27-CR-21-12947_Order-Evaluation for Competency to Proceed (Rule 20.01)_2024-04-30_20251126182816.pdf</v>
      </c>
      <c r="H183" s="2" t="s">
        <v>1362</v>
      </c>
      <c r="I183" s="9" t="s">
        <v>2610</v>
      </c>
      <c r="J183" s="2" t="s">
        <v>2415</v>
      </c>
    </row>
    <row r="184" customFormat="false" ht="18.7" hidden="false" customHeight="true" outlineLevel="0" collapsed="false">
      <c r="A184" s="1" t="n">
        <v>183</v>
      </c>
      <c r="B184" s="7" t="str">
        <f aca="false">HYPERLINK("https://mncourtfraud.com/file/27-CR-21-13144.pdf","27-CR-21-13144")</f>
        <v>27-CR-21-13144</v>
      </c>
      <c r="C184" s="1" t="n">
        <v>1</v>
      </c>
      <c r="D184" s="2" t="s">
        <v>12</v>
      </c>
      <c r="E184" s="8" t="n">
        <v>44405</v>
      </c>
      <c r="F184" s="2" t="s">
        <v>145</v>
      </c>
      <c r="G184" s="7" t="str">
        <f aca="false">HYPERLINK("https://mncourtfraud.com/file/MCRO_27-CR-21-13144_Demand or Request for Discovery_2021-07-28_20251126182845.pdf","MCRO_27-CR-21-13144_Demand or Request for Discovery_2021-07-28_20251126182845.pdf")</f>
        <v>MCRO_27-CR-21-13144_Demand or Request for Discovery_2021-07-28_20251126182845.pdf</v>
      </c>
      <c r="H184" s="2" t="s">
        <v>1362</v>
      </c>
      <c r="I184" s="9" t="s">
        <v>2611</v>
      </c>
      <c r="J184" s="2" t="s">
        <v>2612</v>
      </c>
    </row>
    <row r="185" customFormat="false" ht="18.7" hidden="false" customHeight="true" outlineLevel="0" collapsed="false">
      <c r="A185" s="1" t="n">
        <v>184</v>
      </c>
      <c r="B185" s="7" t="str">
        <f aca="false">HYPERLINK("https://mncourtfraud.com/file/27-CR-21-13144.pdf","27-CR-21-13144")</f>
        <v>27-CR-21-13144</v>
      </c>
      <c r="C185" s="1" t="n">
        <v>1</v>
      </c>
      <c r="D185" s="2" t="s">
        <v>12</v>
      </c>
      <c r="E185" s="8" t="n">
        <v>45048</v>
      </c>
      <c r="F185" s="2" t="s">
        <v>80</v>
      </c>
      <c r="G185" s="7" t="str">
        <f aca="false">HYPERLINK("https://mncourtfraud.com/file/MCRO_27-CR-21-13144_Finding of Incompetency and Order_2023-05-02_20251126182855.pdf","MCRO_27-CR-21-13144_Finding of Incompetency and Order_2023-05-02_20251126182855.pdf")</f>
        <v>MCRO_27-CR-21-13144_Finding of Incompetency and Order_2023-05-02_20251126182855.pdf</v>
      </c>
      <c r="H185" s="2" t="s">
        <v>1492</v>
      </c>
      <c r="I185" s="9" t="s">
        <v>2385</v>
      </c>
      <c r="J185" s="2" t="s">
        <v>2386</v>
      </c>
      <c r="K185" s="2" t="s">
        <v>1496</v>
      </c>
      <c r="L185" s="9" t="s">
        <v>2387</v>
      </c>
      <c r="M185" s="2" t="s">
        <v>2388</v>
      </c>
      <c r="N185" s="2" t="s">
        <v>1362</v>
      </c>
      <c r="O185" s="9" t="s">
        <v>2613</v>
      </c>
      <c r="P185" s="2" t="s">
        <v>2614</v>
      </c>
    </row>
    <row r="186" customFormat="false" ht="18.7" hidden="false" customHeight="true" outlineLevel="0" collapsed="false">
      <c r="A186" s="1" t="n">
        <v>185</v>
      </c>
      <c r="B186" s="7" t="str">
        <f aca="false">HYPERLINK("https://mncourtfraud.com/file/27-CR-21-13144.pdf","27-CR-21-13144")</f>
        <v>27-CR-21-13144</v>
      </c>
      <c r="C186" s="1" t="n">
        <v>1</v>
      </c>
      <c r="D186" s="2" t="s">
        <v>12</v>
      </c>
      <c r="E186" s="8" t="n">
        <v>44439</v>
      </c>
      <c r="F186" s="2" t="s">
        <v>19</v>
      </c>
      <c r="G186" s="7" t="str">
        <f aca="false">HYPERLINK("https://mncourtfraud.com/file/MCRO_27-CR-21-13144_Findings and Order_2021-08-31_20251126182917.pdf","MCRO_27-CR-21-13144_Findings and Order_2021-08-31_20251126182917.pdf")</f>
        <v>MCRO_27-CR-21-13144_Findings and Order_2021-08-31_20251126182917.pdf</v>
      </c>
      <c r="H186" s="2" t="s">
        <v>1368</v>
      </c>
      <c r="I186" s="9" t="s">
        <v>2284</v>
      </c>
      <c r="J186" s="2" t="s">
        <v>2285</v>
      </c>
      <c r="K186" s="2" t="s">
        <v>1362</v>
      </c>
      <c r="L186" s="9" t="s">
        <v>2615</v>
      </c>
      <c r="M186" s="2" t="s">
        <v>2616</v>
      </c>
    </row>
    <row r="187" customFormat="false" ht="18.7" hidden="false" customHeight="true" outlineLevel="0" collapsed="false">
      <c r="A187" s="1" t="n">
        <v>186</v>
      </c>
      <c r="B187" s="7" t="str">
        <f aca="false">HYPERLINK("https://mncourtfraud.com/file/27-CR-21-13144.pdf","27-CR-21-13144")</f>
        <v>27-CR-21-13144</v>
      </c>
      <c r="C187" s="1" t="n">
        <v>1</v>
      </c>
      <c r="D187" s="2" t="s">
        <v>12</v>
      </c>
      <c r="E187" s="8" t="n">
        <v>44593</v>
      </c>
      <c r="F187" s="2" t="s">
        <v>19</v>
      </c>
      <c r="G187" s="7" t="str">
        <f aca="false">HYPERLINK("https://mncourtfraud.com/file/MCRO_27-CR-21-13144_Findings and Order_2022-02-01_20251126182907.pdf","MCRO_27-CR-21-13144_Findings and Order_2022-02-01_20251126182907.pdf")</f>
        <v>MCRO_27-CR-21-13144_Findings and Order_2022-02-01_20251126182907.pdf</v>
      </c>
      <c r="H187" s="2" t="s">
        <v>1368</v>
      </c>
      <c r="I187" s="9" t="s">
        <v>2288</v>
      </c>
      <c r="J187" s="2" t="s">
        <v>2289</v>
      </c>
      <c r="K187" s="2" t="s">
        <v>1362</v>
      </c>
      <c r="L187" s="9" t="s">
        <v>2617</v>
      </c>
      <c r="M187" s="2" t="s">
        <v>2618</v>
      </c>
    </row>
    <row r="188" customFormat="false" ht="18.7" hidden="false" customHeight="true" outlineLevel="0" collapsed="false">
      <c r="A188" s="1" t="n">
        <v>187</v>
      </c>
      <c r="B188" s="7" t="str">
        <f aca="false">HYPERLINK("https://mncourtfraud.com/file/27-CR-21-13144.pdf","27-CR-21-13144")</f>
        <v>27-CR-21-13144</v>
      </c>
      <c r="C188" s="1" t="n">
        <v>1</v>
      </c>
      <c r="D188" s="2" t="s">
        <v>12</v>
      </c>
      <c r="E188" s="8" t="n">
        <v>45093</v>
      </c>
      <c r="F188" s="2" t="s">
        <v>82</v>
      </c>
      <c r="G188" s="7" t="str">
        <f aca="false">HYPERLINK("https://mncourtfraud.com/file/MCRO_27-CR-21-13144_Notice of Case Reassignment_2023-06-16_20251126182929.pdf","MCRO_27-CR-21-13144_Notice of Case Reassignment_2023-06-16_20251126182929.pdf")</f>
        <v>MCRO_27-CR-21-13144_Notice of Case Reassignment_2023-06-16_20251126182929.pdf</v>
      </c>
      <c r="H188" s="2" t="s">
        <v>1362</v>
      </c>
      <c r="I188" s="9" t="s">
        <v>2619</v>
      </c>
      <c r="J188" s="2" t="s">
        <v>2620</v>
      </c>
    </row>
    <row r="189" customFormat="false" ht="18.7" hidden="false" customHeight="true" outlineLevel="0" collapsed="false">
      <c r="A189" s="1" t="n">
        <v>188</v>
      </c>
      <c r="B189" s="7" t="str">
        <f aca="false">HYPERLINK("https://mncourtfraud.com/file/27-CR-21-13144.pdf","27-CR-21-13144")</f>
        <v>27-CR-21-13144</v>
      </c>
      <c r="C189" s="1" t="n">
        <v>1</v>
      </c>
      <c r="D189" s="2" t="s">
        <v>12</v>
      </c>
      <c r="E189" s="8" t="n">
        <v>44460</v>
      </c>
      <c r="F189" s="2" t="s">
        <v>24</v>
      </c>
      <c r="G189" s="7" t="str">
        <f aca="false">HYPERLINK("https://mncourtfraud.com/file/MCRO_27-CR-21-13144_Order for Conditional Release_2021-09-21_20251126182955.pdf","MCRO_27-CR-21-13144_Order for Conditional Release_2021-09-21_20251126182955.pdf")</f>
        <v>MCRO_27-CR-21-13144_Order for Conditional Release_2021-09-21_20251126182955.pdf</v>
      </c>
      <c r="H189" s="2" t="s">
        <v>1362</v>
      </c>
      <c r="I189" s="9" t="s">
        <v>2621</v>
      </c>
      <c r="J189" s="2" t="s">
        <v>2293</v>
      </c>
    </row>
    <row r="190" customFormat="false" ht="18.7" hidden="false" customHeight="true" outlineLevel="0" collapsed="false">
      <c r="A190" s="1" t="n">
        <v>189</v>
      </c>
      <c r="B190" s="7" t="str">
        <f aca="false">HYPERLINK("https://mncourtfraud.com/file/27-CR-21-13144.pdf","27-CR-21-13144")</f>
        <v>27-CR-21-13144</v>
      </c>
      <c r="C190" s="1" t="n">
        <v>1</v>
      </c>
      <c r="D190" s="2" t="s">
        <v>12</v>
      </c>
      <c r="E190" s="8" t="n">
        <v>44468</v>
      </c>
      <c r="F190" s="2" t="s">
        <v>24</v>
      </c>
      <c r="G190" s="7" t="str">
        <f aca="false">HYPERLINK("https://mncourtfraud.com/file/MCRO_27-CR-21-13144_Order for Conditional Release_2021-09-29_20251126183006.pdf","MCRO_27-CR-21-13144_Order for Conditional Release_2021-09-29_20251126183006.pdf")</f>
        <v>MCRO_27-CR-21-13144_Order for Conditional Release_2021-09-29_20251126183006.pdf</v>
      </c>
      <c r="H190" s="2" t="s">
        <v>1362</v>
      </c>
      <c r="I190" s="9" t="s">
        <v>2622</v>
      </c>
      <c r="J190" s="2" t="s">
        <v>2522</v>
      </c>
    </row>
    <row r="191" customFormat="false" ht="18.7" hidden="false" customHeight="true" outlineLevel="0" collapsed="false">
      <c r="A191" s="1" t="n">
        <v>190</v>
      </c>
      <c r="B191" s="7" t="str">
        <f aca="false">HYPERLINK("https://mncourtfraud.com/file/27-CR-21-13144.pdf","27-CR-21-13144")</f>
        <v>27-CR-21-13144</v>
      </c>
      <c r="C191" s="1" t="n">
        <v>1</v>
      </c>
      <c r="D191" s="2" t="s">
        <v>12</v>
      </c>
      <c r="E191" s="8" t="n">
        <v>45412</v>
      </c>
      <c r="F191" s="2" t="s">
        <v>24</v>
      </c>
      <c r="G191" s="7" t="str">
        <f aca="false">HYPERLINK("https://mncourtfraud.com/file/MCRO_27-CR-21-13144_Order for Conditional Release_2024-04-30_20251126182947.pdf","MCRO_27-CR-21-13144_Order for Conditional Release_2024-04-30_20251126182947.pdf")</f>
        <v>MCRO_27-CR-21-13144_Order for Conditional Release_2024-04-30_20251126182947.pdf</v>
      </c>
      <c r="H191" s="2" t="s">
        <v>1362</v>
      </c>
      <c r="I191" s="9" t="s">
        <v>2623</v>
      </c>
      <c r="J191" s="2" t="s">
        <v>2624</v>
      </c>
    </row>
    <row r="192" customFormat="false" ht="18.7" hidden="false" customHeight="true" outlineLevel="0" collapsed="false">
      <c r="A192" s="1" t="n">
        <v>191</v>
      </c>
      <c r="B192" s="7" t="str">
        <f aca="false">HYPERLINK("https://mncourtfraud.com/file/27-CR-21-13144.pdf","27-CR-21-13144")</f>
        <v>27-CR-21-13144</v>
      </c>
      <c r="C192" s="1" t="n">
        <v>1</v>
      </c>
      <c r="D192" s="2" t="s">
        <v>12</v>
      </c>
      <c r="E192" s="8" t="n">
        <v>44396</v>
      </c>
      <c r="F192" s="2" t="s">
        <v>15</v>
      </c>
      <c r="G192" s="7" t="str">
        <f aca="false">HYPERLINK("https://mncourtfraud.com/file/MCRO_27-CR-21-13144_Order-Evaluation for Competency to Proceed (Rule 20.01)_2021-07-19_20251126183017.pdf","MCRO_27-CR-21-13144_Order-Evaluation for Competency to Proceed (Rule 20.01)_2021-07-19_20251126183017.pdf")</f>
        <v>MCRO_27-CR-21-13144_Order-Evaluation for Competency to Proceed (Rule 20.01)_2021-07-19_20251126183017.pdf</v>
      </c>
      <c r="H192" s="2" t="s">
        <v>1362</v>
      </c>
      <c r="I192" s="9" t="s">
        <v>2625</v>
      </c>
      <c r="J192" s="2" t="s">
        <v>2626</v>
      </c>
    </row>
    <row r="193" customFormat="false" ht="18.7" hidden="false" customHeight="true" outlineLevel="0" collapsed="false">
      <c r="A193" s="1" t="n">
        <v>192</v>
      </c>
      <c r="B193" s="7" t="str">
        <f aca="false">HYPERLINK("https://mncourtfraud.com/file/27-CR-21-13144.pdf","27-CR-21-13144")</f>
        <v>27-CR-21-13144</v>
      </c>
      <c r="C193" s="1" t="n">
        <v>1</v>
      </c>
      <c r="D193" s="2" t="s">
        <v>12</v>
      </c>
      <c r="E193" s="8" t="n">
        <v>44543</v>
      </c>
      <c r="F193" s="2" t="s">
        <v>15</v>
      </c>
      <c r="G193" s="7" t="str">
        <f aca="false">HYPERLINK("https://mncourtfraud.com/file/MCRO_27-CR-21-13144_Order-Evaluation for Competency to Proceed (Rule 20.01)_2021-12-13_20251126183025.pdf","MCRO_27-CR-21-13144_Order-Evaluation for Competency to Proceed (Rule 20.01)_2021-12-13_20251126183025.pdf")</f>
        <v>MCRO_27-CR-21-13144_Order-Evaluation for Competency to Proceed (Rule 20.01)_2021-12-13_20251126183025.pdf</v>
      </c>
      <c r="H193" s="2" t="s">
        <v>1362</v>
      </c>
      <c r="I193" s="9" t="s">
        <v>2627</v>
      </c>
      <c r="J193" s="2" t="s">
        <v>2628</v>
      </c>
    </row>
    <row r="194" customFormat="false" ht="18.7" hidden="false" customHeight="true" outlineLevel="0" collapsed="false">
      <c r="A194" s="1" t="n">
        <v>193</v>
      </c>
      <c r="B194" s="7" t="str">
        <f aca="false">HYPERLINK("https://mncourtfraud.com/file/27-CR-21-13144.pdf","27-CR-21-13144")</f>
        <v>27-CR-21-13144</v>
      </c>
      <c r="C194" s="1" t="n">
        <v>1</v>
      </c>
      <c r="D194" s="2" t="s">
        <v>12</v>
      </c>
      <c r="E194" s="8" t="n">
        <v>44558</v>
      </c>
      <c r="F194" s="2" t="s">
        <v>15</v>
      </c>
      <c r="G194" s="7" t="str">
        <f aca="false">HYPERLINK("https://mncourtfraud.com/file/MCRO_27-CR-21-13144_Order-Evaluation for Competency to Proceed (Rule 20.01)_2021-12-28_20251126183033.pdf","MCRO_27-CR-21-13144_Order-Evaluation for Competency to Proceed (Rule 20.01)_2021-12-28_20251126183033.pdf")</f>
        <v>MCRO_27-CR-21-13144_Order-Evaluation for Competency to Proceed (Rule 20.01)_2021-12-28_20251126183033.pdf</v>
      </c>
      <c r="H194" s="2" t="s">
        <v>1362</v>
      </c>
      <c r="I194" s="9" t="s">
        <v>2629</v>
      </c>
      <c r="J194" s="2" t="s">
        <v>2630</v>
      </c>
    </row>
    <row r="195" customFormat="false" ht="18.7" hidden="false" customHeight="true" outlineLevel="0" collapsed="false">
      <c r="A195" s="1" t="n">
        <v>194</v>
      </c>
      <c r="B195" s="7" t="str">
        <f aca="false">HYPERLINK("https://mncourtfraud.com/file/27-CR-21-13144.pdf","27-CR-21-13144")</f>
        <v>27-CR-21-13144</v>
      </c>
      <c r="C195" s="1" t="n">
        <v>1</v>
      </c>
      <c r="D195" s="2" t="s">
        <v>12</v>
      </c>
      <c r="E195" s="8" t="n">
        <v>44692</v>
      </c>
      <c r="F195" s="2" t="s">
        <v>15</v>
      </c>
      <c r="G195" s="7" t="str">
        <f aca="false">HYPERLINK("https://mncourtfraud.com/file/MCRO_27-CR-21-13144_Order-Evaluation for Competency to Proceed (Rule 20.01)_2022-05-11_20251126183041.pdf","MCRO_27-CR-21-13144_Order-Evaluation for Competency to Proceed (Rule 20.01)_2022-05-11_20251126183041.pdf")</f>
        <v>MCRO_27-CR-21-13144_Order-Evaluation for Competency to Proceed (Rule 20.01)_2022-05-11_20251126183041.pdf</v>
      </c>
      <c r="H195" s="2" t="s">
        <v>1362</v>
      </c>
      <c r="I195" s="9" t="s">
        <v>2631</v>
      </c>
      <c r="J195" s="2" t="s">
        <v>2360</v>
      </c>
    </row>
    <row r="196" customFormat="false" ht="18.7" hidden="false" customHeight="true" outlineLevel="0" collapsed="false">
      <c r="A196" s="1" t="n">
        <v>195</v>
      </c>
      <c r="B196" s="7" t="str">
        <f aca="false">HYPERLINK("https://mncourtfraud.com/file/27-CR-21-13144.pdf","27-CR-21-13144")</f>
        <v>27-CR-21-13144</v>
      </c>
      <c r="C196" s="1" t="n">
        <v>1</v>
      </c>
      <c r="D196" s="2" t="s">
        <v>12</v>
      </c>
      <c r="E196" s="8" t="n">
        <v>44895</v>
      </c>
      <c r="F196" s="2" t="s">
        <v>15</v>
      </c>
      <c r="G196" s="7" t="str">
        <f aca="false">HYPERLINK("https://mncourtfraud.com/file/MCRO_27-CR-21-13144_Order-Evaluation for Competency to Proceed (Rule 20.01)_2022-11-30_20251126183049.pdf","MCRO_27-CR-21-13144_Order-Evaluation for Competency to Proceed (Rule 20.01)_2022-11-30_20251126183049.pdf")</f>
        <v>MCRO_27-CR-21-13144_Order-Evaluation for Competency to Proceed (Rule 20.01)_2022-11-30_20251126183049.pdf</v>
      </c>
      <c r="H196" s="2" t="s">
        <v>1362</v>
      </c>
      <c r="I196" s="9" t="s">
        <v>2632</v>
      </c>
      <c r="J196" s="2" t="s">
        <v>2336</v>
      </c>
    </row>
    <row r="197" customFormat="false" ht="18.7" hidden="false" customHeight="true" outlineLevel="0" collapsed="false">
      <c r="A197" s="1" t="n">
        <v>196</v>
      </c>
      <c r="B197" s="7" t="str">
        <f aca="false">HYPERLINK("https://mncourtfraud.com/file/27-CR-21-13144.pdf","27-CR-21-13144")</f>
        <v>27-CR-21-13144</v>
      </c>
      <c r="C197" s="1" t="n">
        <v>1</v>
      </c>
      <c r="D197" s="2" t="s">
        <v>12</v>
      </c>
      <c r="E197" s="8" t="n">
        <v>45160</v>
      </c>
      <c r="F197" s="2" t="s">
        <v>15</v>
      </c>
      <c r="G197" s="7" t="str">
        <f aca="false">HYPERLINK("https://mncourtfraud.com/file/MCRO_27-CR-21-13144_Order-Evaluation for Competency to Proceed (Rule 20.01)_2023-08-22_20251126183057.pdf","MCRO_27-CR-21-13144_Order-Evaluation for Competency to Proceed (Rule 20.01)_2023-08-22_20251126183057.pdf")</f>
        <v>MCRO_27-CR-21-13144_Order-Evaluation for Competency to Proceed (Rule 20.01)_2023-08-22_20251126183057.pdf</v>
      </c>
      <c r="H197" s="2" t="s">
        <v>1519</v>
      </c>
      <c r="I197" s="9" t="s">
        <v>2410</v>
      </c>
      <c r="J197" s="2" t="s">
        <v>2411</v>
      </c>
      <c r="K197" s="2" t="s">
        <v>1362</v>
      </c>
      <c r="L197" s="9" t="s">
        <v>2633</v>
      </c>
      <c r="M197" s="2" t="s">
        <v>2634</v>
      </c>
    </row>
    <row r="198" customFormat="false" ht="18.7" hidden="false" customHeight="true" outlineLevel="0" collapsed="false">
      <c r="A198" s="1" t="n">
        <v>197</v>
      </c>
      <c r="B198" s="7" t="str">
        <f aca="false">HYPERLINK("https://mncourtfraud.com/file/27-CR-21-13144.pdf","27-CR-21-13144")</f>
        <v>27-CR-21-13144</v>
      </c>
      <c r="C198" s="1" t="n">
        <v>1</v>
      </c>
      <c r="D198" s="2" t="s">
        <v>12</v>
      </c>
      <c r="E198" s="8" t="n">
        <v>45412</v>
      </c>
      <c r="F198" s="2" t="s">
        <v>15</v>
      </c>
      <c r="G198" s="7" t="str">
        <f aca="false">HYPERLINK("https://mncourtfraud.com/file/MCRO_27-CR-21-13144_Order-Evaluation for Competency to Proceed (Rule 20.01)_2024-04-30_20251126183105.pdf","MCRO_27-CR-21-13144_Order-Evaluation for Competency to Proceed (Rule 20.01)_2024-04-30_20251126183105.pdf")</f>
        <v>MCRO_27-CR-21-13144_Order-Evaluation for Competency to Proceed (Rule 20.01)_2024-04-30_20251126183105.pdf</v>
      </c>
      <c r="H198" s="2" t="s">
        <v>1362</v>
      </c>
      <c r="I198" s="9" t="s">
        <v>2635</v>
      </c>
      <c r="J198" s="2" t="s">
        <v>2636</v>
      </c>
    </row>
    <row r="199" customFormat="false" ht="18.7" hidden="false" customHeight="true" outlineLevel="0" collapsed="false">
      <c r="A199" s="1" t="n">
        <v>198</v>
      </c>
      <c r="B199" s="7" t="str">
        <f aca="false">HYPERLINK("https://mncourtfraud.com/file/27-CR-21-13144.pdf","27-CR-21-13144")</f>
        <v>27-CR-21-13144</v>
      </c>
      <c r="C199" s="1" t="n">
        <v>1</v>
      </c>
      <c r="D199" s="2" t="s">
        <v>12</v>
      </c>
      <c r="E199" s="8" t="n">
        <v>44999</v>
      </c>
      <c r="F199" s="2" t="s">
        <v>17</v>
      </c>
      <c r="G199" s="7" t="str">
        <f aca="false">HYPERLINK("https://mncourtfraud.com/file/MCRO_27-CR-21-13144_Returned Mail_2023-03-14_20251126183118.pdf","MCRO_27-CR-21-13144_Returned Mail_2023-03-14_20251126183118.pdf")</f>
        <v>MCRO_27-CR-21-13144_Returned Mail_2023-03-14_20251126183118.pdf</v>
      </c>
      <c r="H199" s="2" t="s">
        <v>1362</v>
      </c>
      <c r="I199" s="9" t="s">
        <v>2637</v>
      </c>
      <c r="J199" s="2" t="s">
        <v>2638</v>
      </c>
    </row>
    <row r="200" customFormat="false" ht="18.7" hidden="false" customHeight="true" outlineLevel="0" collapsed="false">
      <c r="A200" s="1" t="n">
        <v>199</v>
      </c>
      <c r="B200" s="7" t="str">
        <f aca="false">HYPERLINK("https://mncourtfraud.com/file/27-CR-21-13146.pdf","27-CR-21-13146")</f>
        <v>27-CR-21-13146</v>
      </c>
      <c r="C200" s="1" t="n">
        <v>1</v>
      </c>
      <c r="D200" s="2" t="s">
        <v>12</v>
      </c>
      <c r="E200" s="8" t="n">
        <v>44405</v>
      </c>
      <c r="F200" s="2" t="s">
        <v>145</v>
      </c>
      <c r="G200" s="7" t="str">
        <f aca="false">HYPERLINK("https://mncourtfraud.com/file/MCRO_27-CR-21-13146_Demand or Request for Discovery_2021-07-28_20251126183146.pdf","MCRO_27-CR-21-13146_Demand or Request for Discovery_2021-07-28_20251126183146.pdf")</f>
        <v>MCRO_27-CR-21-13146_Demand or Request for Discovery_2021-07-28_20251126183146.pdf</v>
      </c>
      <c r="H200" s="2" t="s">
        <v>1362</v>
      </c>
      <c r="I200" s="9" t="s">
        <v>2639</v>
      </c>
      <c r="J200" s="2" t="s">
        <v>2640</v>
      </c>
    </row>
    <row r="201" customFormat="false" ht="18.7" hidden="false" customHeight="true" outlineLevel="0" collapsed="false">
      <c r="A201" s="1" t="n">
        <v>200</v>
      </c>
      <c r="B201" s="7" t="str">
        <f aca="false">HYPERLINK("https://mncourtfraud.com/file/27-CR-21-13146.pdf","27-CR-21-13146")</f>
        <v>27-CR-21-13146</v>
      </c>
      <c r="C201" s="1" t="n">
        <v>1</v>
      </c>
      <c r="D201" s="2" t="s">
        <v>12</v>
      </c>
      <c r="E201" s="8" t="n">
        <v>45048</v>
      </c>
      <c r="F201" s="2" t="s">
        <v>80</v>
      </c>
      <c r="G201" s="7" t="str">
        <f aca="false">HYPERLINK("https://mncourtfraud.com/file/MCRO_27-CR-21-13146_Finding of Incompetency and Order_2023-05-02_20251126183156.pdf","MCRO_27-CR-21-13146_Finding of Incompetency and Order_2023-05-02_20251126183156.pdf")</f>
        <v>MCRO_27-CR-21-13146_Finding of Incompetency and Order_2023-05-02_20251126183156.pdf</v>
      </c>
      <c r="H201" s="2" t="s">
        <v>1492</v>
      </c>
      <c r="I201" s="9" t="s">
        <v>2385</v>
      </c>
      <c r="J201" s="2" t="s">
        <v>2386</v>
      </c>
      <c r="K201" s="2" t="s">
        <v>1496</v>
      </c>
      <c r="L201" s="9" t="s">
        <v>2387</v>
      </c>
      <c r="M201" s="2" t="s">
        <v>2388</v>
      </c>
      <c r="N201" s="2" t="s">
        <v>1362</v>
      </c>
      <c r="O201" s="9" t="s">
        <v>2641</v>
      </c>
      <c r="P201" s="2" t="s">
        <v>2642</v>
      </c>
    </row>
    <row r="202" customFormat="false" ht="18.7" hidden="false" customHeight="true" outlineLevel="0" collapsed="false">
      <c r="A202" s="1" t="n">
        <v>201</v>
      </c>
      <c r="B202" s="7" t="str">
        <f aca="false">HYPERLINK("https://mncourtfraud.com/file/27-CR-21-13146.pdf","27-CR-21-13146")</f>
        <v>27-CR-21-13146</v>
      </c>
      <c r="C202" s="1" t="n">
        <v>1</v>
      </c>
      <c r="D202" s="2" t="s">
        <v>12</v>
      </c>
      <c r="E202" s="8" t="n">
        <v>44439</v>
      </c>
      <c r="F202" s="2" t="s">
        <v>19</v>
      </c>
      <c r="G202" s="7" t="str">
        <f aca="false">HYPERLINK("https://mncourtfraud.com/file/MCRO_27-CR-21-13146_Findings and Order_2021-08-31_20251126183219.pdf","MCRO_27-CR-21-13146_Findings and Order_2021-08-31_20251126183219.pdf")</f>
        <v>MCRO_27-CR-21-13146_Findings and Order_2021-08-31_20251126183219.pdf</v>
      </c>
      <c r="H202" s="2" t="s">
        <v>1368</v>
      </c>
      <c r="I202" s="9" t="s">
        <v>2284</v>
      </c>
      <c r="J202" s="2" t="s">
        <v>2285</v>
      </c>
      <c r="K202" s="2" t="s">
        <v>1362</v>
      </c>
      <c r="L202" s="9" t="s">
        <v>2643</v>
      </c>
      <c r="M202" s="2" t="s">
        <v>2616</v>
      </c>
    </row>
    <row r="203" customFormat="false" ht="18.7" hidden="false" customHeight="true" outlineLevel="0" collapsed="false">
      <c r="A203" s="1" t="n">
        <v>202</v>
      </c>
      <c r="B203" s="7" t="str">
        <f aca="false">HYPERLINK("https://mncourtfraud.com/file/27-CR-21-13146.pdf","27-CR-21-13146")</f>
        <v>27-CR-21-13146</v>
      </c>
      <c r="C203" s="1" t="n">
        <v>1</v>
      </c>
      <c r="D203" s="2" t="s">
        <v>12</v>
      </c>
      <c r="E203" s="8" t="n">
        <v>44593</v>
      </c>
      <c r="F203" s="2" t="s">
        <v>19</v>
      </c>
      <c r="G203" s="7" t="str">
        <f aca="false">HYPERLINK("https://mncourtfraud.com/file/MCRO_27-CR-21-13146_Findings and Order_2022-02-01_20251126183209.pdf","MCRO_27-CR-21-13146_Findings and Order_2022-02-01_20251126183209.pdf")</f>
        <v>MCRO_27-CR-21-13146_Findings and Order_2022-02-01_20251126183209.pdf</v>
      </c>
      <c r="H203" s="2" t="s">
        <v>1368</v>
      </c>
      <c r="I203" s="9" t="s">
        <v>2288</v>
      </c>
      <c r="J203" s="2" t="s">
        <v>2289</v>
      </c>
      <c r="K203" s="2" t="s">
        <v>1362</v>
      </c>
      <c r="L203" s="9" t="s">
        <v>2644</v>
      </c>
      <c r="M203" s="2" t="s">
        <v>2618</v>
      </c>
    </row>
    <row r="204" customFormat="false" ht="18.7" hidden="false" customHeight="true" outlineLevel="0" collapsed="false">
      <c r="A204" s="1" t="n">
        <v>203</v>
      </c>
      <c r="B204" s="7" t="str">
        <f aca="false">HYPERLINK("https://mncourtfraud.com/file/27-CR-21-13146.pdf","27-CR-21-13146")</f>
        <v>27-CR-21-13146</v>
      </c>
      <c r="C204" s="1" t="n">
        <v>1</v>
      </c>
      <c r="D204" s="2" t="s">
        <v>12</v>
      </c>
      <c r="E204" s="8" t="n">
        <v>45093</v>
      </c>
      <c r="F204" s="2" t="s">
        <v>82</v>
      </c>
      <c r="G204" s="7" t="str">
        <f aca="false">HYPERLINK("https://mncourtfraud.com/file/MCRO_27-CR-21-13146_Notice of Case Reassignment_2023-06-16_20251126183231.pdf","MCRO_27-CR-21-13146_Notice of Case Reassignment_2023-06-16_20251126183231.pdf")</f>
        <v>MCRO_27-CR-21-13146_Notice of Case Reassignment_2023-06-16_20251126183231.pdf</v>
      </c>
      <c r="H204" s="2" t="s">
        <v>1362</v>
      </c>
      <c r="I204" s="9" t="s">
        <v>2645</v>
      </c>
      <c r="J204" s="2" t="s">
        <v>2427</v>
      </c>
    </row>
    <row r="205" customFormat="false" ht="18.7" hidden="false" customHeight="true" outlineLevel="0" collapsed="false">
      <c r="A205" s="1" t="n">
        <v>204</v>
      </c>
      <c r="B205" s="7" t="str">
        <f aca="false">HYPERLINK("https://mncourtfraud.com/file/27-CR-21-13146.pdf","27-CR-21-13146")</f>
        <v>27-CR-21-13146</v>
      </c>
      <c r="C205" s="1" t="n">
        <v>1</v>
      </c>
      <c r="D205" s="2" t="s">
        <v>12</v>
      </c>
      <c r="E205" s="8" t="n">
        <v>44460</v>
      </c>
      <c r="F205" s="2" t="s">
        <v>24</v>
      </c>
      <c r="G205" s="7" t="str">
        <f aca="false">HYPERLINK("https://mncourtfraud.com/file/MCRO_27-CR-21-13146_Order for Conditional Release_2021-09-21_20251126183258.pdf","MCRO_27-CR-21-13146_Order for Conditional Release_2021-09-21_20251126183258.pdf")</f>
        <v>MCRO_27-CR-21-13146_Order for Conditional Release_2021-09-21_20251126183258.pdf</v>
      </c>
      <c r="H205" s="2" t="s">
        <v>1362</v>
      </c>
      <c r="I205" s="9" t="s">
        <v>2646</v>
      </c>
      <c r="J205" s="2" t="s">
        <v>2321</v>
      </c>
    </row>
    <row r="206" customFormat="false" ht="18.7" hidden="false" customHeight="true" outlineLevel="0" collapsed="false">
      <c r="A206" s="1" t="n">
        <v>205</v>
      </c>
      <c r="B206" s="7" t="str">
        <f aca="false">HYPERLINK("https://mncourtfraud.com/file/27-CR-21-13146.pdf","27-CR-21-13146")</f>
        <v>27-CR-21-13146</v>
      </c>
      <c r="C206" s="1" t="n">
        <v>1</v>
      </c>
      <c r="D206" s="2" t="s">
        <v>12</v>
      </c>
      <c r="E206" s="8" t="n">
        <v>44468</v>
      </c>
      <c r="F206" s="2" t="s">
        <v>24</v>
      </c>
      <c r="G206" s="7" t="str">
        <f aca="false">HYPERLINK("https://mncourtfraud.com/file/MCRO_27-CR-21-13146_Order for Conditional Release_2021-09-29_20251126183304.pdf","MCRO_27-CR-21-13146_Order for Conditional Release_2021-09-29_20251126183304.pdf")</f>
        <v>MCRO_27-CR-21-13146_Order for Conditional Release_2021-09-29_20251126183304.pdf</v>
      </c>
      <c r="H206" s="2" t="s">
        <v>1362</v>
      </c>
      <c r="I206" s="9" t="s">
        <v>2647</v>
      </c>
      <c r="J206" s="2" t="s">
        <v>2648</v>
      </c>
    </row>
    <row r="207" customFormat="false" ht="18.7" hidden="false" customHeight="true" outlineLevel="0" collapsed="false">
      <c r="A207" s="1" t="n">
        <v>206</v>
      </c>
      <c r="B207" s="7" t="str">
        <f aca="false">HYPERLINK("https://mncourtfraud.com/file/27-CR-21-13146.pdf","27-CR-21-13146")</f>
        <v>27-CR-21-13146</v>
      </c>
      <c r="C207" s="1" t="n">
        <v>1</v>
      </c>
      <c r="D207" s="2" t="s">
        <v>12</v>
      </c>
      <c r="E207" s="8" t="n">
        <v>45412</v>
      </c>
      <c r="F207" s="2" t="s">
        <v>24</v>
      </c>
      <c r="G207" s="7" t="str">
        <f aca="false">HYPERLINK("https://mncourtfraud.com/file/MCRO_27-CR-21-13146_Order for Conditional Release_2024-04-30_20251126183251.pdf","MCRO_27-CR-21-13146_Order for Conditional Release_2024-04-30_20251126183251.pdf")</f>
        <v>MCRO_27-CR-21-13146_Order for Conditional Release_2024-04-30_20251126183251.pdf</v>
      </c>
      <c r="H207" s="2" t="s">
        <v>1362</v>
      </c>
      <c r="I207" s="9" t="s">
        <v>2649</v>
      </c>
      <c r="J207" s="2" t="s">
        <v>2650</v>
      </c>
    </row>
    <row r="208" customFormat="false" ht="18.7" hidden="false" customHeight="true" outlineLevel="0" collapsed="false">
      <c r="A208" s="1" t="n">
        <v>207</v>
      </c>
      <c r="B208" s="7" t="str">
        <f aca="false">HYPERLINK("https://mncourtfraud.com/file/27-CR-21-13146.pdf","27-CR-21-13146")</f>
        <v>27-CR-21-13146</v>
      </c>
      <c r="C208" s="1" t="n">
        <v>1</v>
      </c>
      <c r="D208" s="2" t="s">
        <v>12</v>
      </c>
      <c r="E208" s="8" t="n">
        <v>44396</v>
      </c>
      <c r="F208" s="2" t="s">
        <v>15</v>
      </c>
      <c r="G208" s="7" t="str">
        <f aca="false">HYPERLINK("https://mncourtfraud.com/file/MCRO_27-CR-21-13146_Order-Evaluation for Competency to Proceed (Rule 20.01)_2021-07-19_20251126183316.pdf","MCRO_27-CR-21-13146_Order-Evaluation for Competency to Proceed (Rule 20.01)_2021-07-19_20251126183316.pdf")</f>
        <v>MCRO_27-CR-21-13146_Order-Evaluation for Competency to Proceed (Rule 20.01)_2021-07-19_20251126183316.pdf</v>
      </c>
      <c r="H208" s="2" t="s">
        <v>1362</v>
      </c>
      <c r="I208" s="9" t="s">
        <v>2651</v>
      </c>
      <c r="J208" s="2" t="s">
        <v>2652</v>
      </c>
    </row>
    <row r="209" customFormat="false" ht="18.7" hidden="false" customHeight="true" outlineLevel="0" collapsed="false">
      <c r="A209" s="1" t="n">
        <v>208</v>
      </c>
      <c r="B209" s="7" t="str">
        <f aca="false">HYPERLINK("https://mncourtfraud.com/file/27-CR-21-13146.pdf","27-CR-21-13146")</f>
        <v>27-CR-21-13146</v>
      </c>
      <c r="C209" s="1" t="n">
        <v>1</v>
      </c>
      <c r="D209" s="2" t="s">
        <v>12</v>
      </c>
      <c r="E209" s="8" t="n">
        <v>44543</v>
      </c>
      <c r="F209" s="2" t="s">
        <v>15</v>
      </c>
      <c r="G209" s="7" t="str">
        <f aca="false">HYPERLINK("https://mncourtfraud.com/file/MCRO_27-CR-21-13146_Order-Evaluation for Competency to Proceed (Rule 20.01)_2021-12-13_20251126183322.pdf","MCRO_27-CR-21-13146_Order-Evaluation for Competency to Proceed (Rule 20.01)_2021-12-13_20251126183322.pdf")</f>
        <v>MCRO_27-CR-21-13146_Order-Evaluation for Competency to Proceed (Rule 20.01)_2021-12-13_20251126183322.pdf</v>
      </c>
      <c r="H209" s="2" t="s">
        <v>1362</v>
      </c>
      <c r="I209" s="9" t="s">
        <v>2653</v>
      </c>
      <c r="J209" s="2" t="s">
        <v>2654</v>
      </c>
    </row>
    <row r="210" customFormat="false" ht="18.7" hidden="false" customHeight="true" outlineLevel="0" collapsed="false">
      <c r="A210" s="1" t="n">
        <v>209</v>
      </c>
      <c r="B210" s="7" t="str">
        <f aca="false">HYPERLINK("https://mncourtfraud.com/file/27-CR-21-13146.pdf","27-CR-21-13146")</f>
        <v>27-CR-21-13146</v>
      </c>
      <c r="C210" s="1" t="n">
        <v>1</v>
      </c>
      <c r="D210" s="2" t="s">
        <v>12</v>
      </c>
      <c r="E210" s="8" t="n">
        <v>44558</v>
      </c>
      <c r="F210" s="2" t="s">
        <v>15</v>
      </c>
      <c r="G210" s="7" t="str">
        <f aca="false">HYPERLINK("https://mncourtfraud.com/file/MCRO_27-CR-21-13146_Order-Evaluation for Competency to Proceed (Rule 20.01)_2021-12-28_20251126183331.pdf","MCRO_27-CR-21-13146_Order-Evaluation for Competency to Proceed (Rule 20.01)_2021-12-28_20251126183331.pdf")</f>
        <v>MCRO_27-CR-21-13146_Order-Evaluation for Competency to Proceed (Rule 20.01)_2021-12-28_20251126183331.pdf</v>
      </c>
      <c r="H210" s="2" t="s">
        <v>1362</v>
      </c>
      <c r="I210" s="9" t="s">
        <v>2655</v>
      </c>
      <c r="J210" s="2" t="s">
        <v>2656</v>
      </c>
    </row>
    <row r="211" customFormat="false" ht="18.7" hidden="false" customHeight="true" outlineLevel="0" collapsed="false">
      <c r="A211" s="1" t="n">
        <v>210</v>
      </c>
      <c r="B211" s="7" t="str">
        <f aca="false">HYPERLINK("https://mncourtfraud.com/file/27-CR-21-13146.pdf","27-CR-21-13146")</f>
        <v>27-CR-21-13146</v>
      </c>
      <c r="C211" s="1" t="n">
        <v>1</v>
      </c>
      <c r="D211" s="2" t="s">
        <v>12</v>
      </c>
      <c r="E211" s="8" t="n">
        <v>44692</v>
      </c>
      <c r="F211" s="2" t="s">
        <v>15</v>
      </c>
      <c r="G211" s="7" t="str">
        <f aca="false">HYPERLINK("https://mncourtfraud.com/file/MCRO_27-CR-21-13146_Order-Evaluation for Competency to Proceed (Rule 20.01)_2022-05-11_20251126183340.pdf","MCRO_27-CR-21-13146_Order-Evaluation for Competency to Proceed (Rule 20.01)_2022-05-11_20251126183340.pdf")</f>
        <v>MCRO_27-CR-21-13146_Order-Evaluation for Competency to Proceed (Rule 20.01)_2022-05-11_20251126183340.pdf</v>
      </c>
      <c r="H211" s="2" t="s">
        <v>1362</v>
      </c>
      <c r="I211" s="9" t="s">
        <v>2657</v>
      </c>
      <c r="J211" s="2" t="s">
        <v>2511</v>
      </c>
    </row>
    <row r="212" customFormat="false" ht="18.7" hidden="false" customHeight="true" outlineLevel="0" collapsed="false">
      <c r="A212" s="1" t="n">
        <v>211</v>
      </c>
      <c r="B212" s="7" t="str">
        <f aca="false">HYPERLINK("https://mncourtfraud.com/file/27-CR-21-13146.pdf","27-CR-21-13146")</f>
        <v>27-CR-21-13146</v>
      </c>
      <c r="C212" s="1" t="n">
        <v>1</v>
      </c>
      <c r="D212" s="2" t="s">
        <v>12</v>
      </c>
      <c r="E212" s="8" t="n">
        <v>44895</v>
      </c>
      <c r="F212" s="2" t="s">
        <v>15</v>
      </c>
      <c r="G212" s="7" t="str">
        <f aca="false">HYPERLINK("https://mncourtfraud.com/file/MCRO_27-CR-21-13146_Order-Evaluation for Competency to Proceed (Rule 20.01)_2022-11-30_20251126183348.pdf","MCRO_27-CR-21-13146_Order-Evaluation for Competency to Proceed (Rule 20.01)_2022-11-30_20251126183348.pdf")</f>
        <v>MCRO_27-CR-21-13146_Order-Evaluation for Competency to Proceed (Rule 20.01)_2022-11-30_20251126183348.pdf</v>
      </c>
      <c r="H212" s="2" t="s">
        <v>1362</v>
      </c>
      <c r="I212" s="9" t="s">
        <v>2658</v>
      </c>
      <c r="J212" s="2" t="s">
        <v>2659</v>
      </c>
    </row>
    <row r="213" customFormat="false" ht="18.7" hidden="false" customHeight="true" outlineLevel="0" collapsed="false">
      <c r="A213" s="1" t="n">
        <v>212</v>
      </c>
      <c r="B213" s="7" t="str">
        <f aca="false">HYPERLINK("https://mncourtfraud.com/file/27-CR-21-13146.pdf","27-CR-21-13146")</f>
        <v>27-CR-21-13146</v>
      </c>
      <c r="C213" s="1" t="n">
        <v>1</v>
      </c>
      <c r="D213" s="2" t="s">
        <v>12</v>
      </c>
      <c r="E213" s="8" t="n">
        <v>45160</v>
      </c>
      <c r="F213" s="2" t="s">
        <v>15</v>
      </c>
      <c r="G213" s="7" t="str">
        <f aca="false">HYPERLINK("https://mncourtfraud.com/file/MCRO_27-CR-21-13146_Order-Evaluation for Competency to Proceed (Rule 20.01)_2023-08-22_20251126183356.pdf","MCRO_27-CR-21-13146_Order-Evaluation for Competency to Proceed (Rule 20.01)_2023-08-22_20251126183356.pdf")</f>
        <v>MCRO_27-CR-21-13146_Order-Evaluation for Competency to Proceed (Rule 20.01)_2023-08-22_20251126183356.pdf</v>
      </c>
      <c r="H213" s="2" t="s">
        <v>1519</v>
      </c>
      <c r="I213" s="9" t="s">
        <v>2410</v>
      </c>
      <c r="J213" s="2" t="s">
        <v>2411</v>
      </c>
      <c r="K213" s="2" t="s">
        <v>1362</v>
      </c>
      <c r="L213" s="9" t="s">
        <v>2660</v>
      </c>
      <c r="M213" s="2" t="s">
        <v>2535</v>
      </c>
    </row>
    <row r="214" customFormat="false" ht="18.7" hidden="false" customHeight="true" outlineLevel="0" collapsed="false">
      <c r="A214" s="1" t="n">
        <v>213</v>
      </c>
      <c r="B214" s="7" t="str">
        <f aca="false">HYPERLINK("https://mncourtfraud.com/file/27-CR-21-13146.pdf","27-CR-21-13146")</f>
        <v>27-CR-21-13146</v>
      </c>
      <c r="C214" s="1" t="n">
        <v>1</v>
      </c>
      <c r="D214" s="2" t="s">
        <v>12</v>
      </c>
      <c r="E214" s="8" t="n">
        <v>45412</v>
      </c>
      <c r="F214" s="2" t="s">
        <v>15</v>
      </c>
      <c r="G214" s="7" t="str">
        <f aca="false">HYPERLINK("https://mncourtfraud.com/file/MCRO_27-CR-21-13146_Order-Evaluation for Competency to Proceed (Rule 20.01)_2024-04-30_20251126183404.pdf","MCRO_27-CR-21-13146_Order-Evaluation for Competency to Proceed (Rule 20.01)_2024-04-30_20251126183404.pdf")</f>
        <v>MCRO_27-CR-21-13146_Order-Evaluation for Competency to Proceed (Rule 20.01)_2024-04-30_20251126183404.pdf</v>
      </c>
      <c r="H214" s="2" t="s">
        <v>1362</v>
      </c>
      <c r="I214" s="9" t="s">
        <v>2661</v>
      </c>
      <c r="J214" s="2" t="s">
        <v>2662</v>
      </c>
    </row>
    <row r="215" customFormat="false" ht="18.7" hidden="false" customHeight="true" outlineLevel="0" collapsed="false">
      <c r="A215" s="1" t="n">
        <v>214</v>
      </c>
      <c r="B215" s="7" t="str">
        <f aca="false">HYPERLINK("https://mncourtfraud.com/file/27-CR-21-13146.pdf","27-CR-21-13146")</f>
        <v>27-CR-21-13146</v>
      </c>
      <c r="C215" s="1" t="n">
        <v>1</v>
      </c>
      <c r="D215" s="2" t="s">
        <v>12</v>
      </c>
      <c r="E215" s="8" t="n">
        <v>44999</v>
      </c>
      <c r="F215" s="2" t="s">
        <v>17</v>
      </c>
      <c r="G215" s="7" t="str">
        <f aca="false">HYPERLINK("https://mncourtfraud.com/file/MCRO_27-CR-21-13146_Returned Mail_2023-03-14_20251126183418.pdf","MCRO_27-CR-21-13146_Returned Mail_2023-03-14_20251126183418.pdf")</f>
        <v>MCRO_27-CR-21-13146_Returned Mail_2023-03-14_20251126183418.pdf</v>
      </c>
      <c r="H215" s="2" t="s">
        <v>1362</v>
      </c>
      <c r="I215" s="9" t="s">
        <v>2663</v>
      </c>
      <c r="J215" s="2" t="s">
        <v>2664</v>
      </c>
    </row>
    <row r="216" customFormat="false" ht="18.7" hidden="false" customHeight="true" outlineLevel="0" collapsed="false">
      <c r="A216" s="1" t="n">
        <v>215</v>
      </c>
      <c r="B216" s="7" t="str">
        <f aca="false">HYPERLINK("https://mncourtfraud.com/file/27-CR-21-13147.pdf","27-CR-21-13147")</f>
        <v>27-CR-21-13147</v>
      </c>
      <c r="C216" s="1" t="n">
        <v>1</v>
      </c>
      <c r="D216" s="2" t="s">
        <v>12</v>
      </c>
      <c r="E216" s="8" t="n">
        <v>44405</v>
      </c>
      <c r="F216" s="2" t="s">
        <v>145</v>
      </c>
      <c r="G216" s="7" t="str">
        <f aca="false">HYPERLINK("https://mncourtfraud.com/file/MCRO_27-CR-21-13147_Demand or Request for Discovery_2021-07-28_20251126183447.pdf","MCRO_27-CR-21-13147_Demand or Request for Discovery_2021-07-28_20251126183447.pdf")</f>
        <v>MCRO_27-CR-21-13147_Demand or Request for Discovery_2021-07-28_20251126183447.pdf</v>
      </c>
      <c r="H216" s="2" t="s">
        <v>1362</v>
      </c>
      <c r="I216" s="9" t="s">
        <v>2665</v>
      </c>
      <c r="J216" s="2" t="s">
        <v>2666</v>
      </c>
    </row>
    <row r="217" customFormat="false" ht="18.7" hidden="false" customHeight="true" outlineLevel="0" collapsed="false">
      <c r="A217" s="1" t="n">
        <v>216</v>
      </c>
      <c r="B217" s="7" t="str">
        <f aca="false">HYPERLINK("https://mncourtfraud.com/file/27-CR-21-13147.pdf","27-CR-21-13147")</f>
        <v>27-CR-21-13147</v>
      </c>
      <c r="C217" s="1" t="n">
        <v>1</v>
      </c>
      <c r="D217" s="2" t="s">
        <v>12</v>
      </c>
      <c r="E217" s="8" t="n">
        <v>45048</v>
      </c>
      <c r="F217" s="2" t="s">
        <v>80</v>
      </c>
      <c r="G217" s="7" t="str">
        <f aca="false">HYPERLINK("https://mncourtfraud.com/file/MCRO_27-CR-21-13147_Finding of Incompetency and Order_2023-05-02_20251126183457.pdf","MCRO_27-CR-21-13147_Finding of Incompetency and Order_2023-05-02_20251126183457.pdf")</f>
        <v>MCRO_27-CR-21-13147_Finding of Incompetency and Order_2023-05-02_20251126183457.pdf</v>
      </c>
      <c r="H217" s="2" t="s">
        <v>1492</v>
      </c>
      <c r="I217" s="9" t="s">
        <v>2385</v>
      </c>
      <c r="J217" s="2" t="s">
        <v>2386</v>
      </c>
      <c r="K217" s="2" t="s">
        <v>1496</v>
      </c>
      <c r="L217" s="9" t="s">
        <v>2387</v>
      </c>
      <c r="M217" s="2" t="s">
        <v>2388</v>
      </c>
      <c r="N217" s="2" t="s">
        <v>1362</v>
      </c>
      <c r="O217" s="9" t="s">
        <v>2667</v>
      </c>
      <c r="P217" s="2" t="s">
        <v>2565</v>
      </c>
    </row>
    <row r="218" customFormat="false" ht="18.7" hidden="false" customHeight="true" outlineLevel="0" collapsed="false">
      <c r="A218" s="1" t="n">
        <v>217</v>
      </c>
      <c r="B218" s="7" t="str">
        <f aca="false">HYPERLINK("https://mncourtfraud.com/file/27-CR-21-13147.pdf","27-CR-21-13147")</f>
        <v>27-CR-21-13147</v>
      </c>
      <c r="C218" s="1" t="n">
        <v>1</v>
      </c>
      <c r="D218" s="2" t="s">
        <v>12</v>
      </c>
      <c r="E218" s="8" t="n">
        <v>44439</v>
      </c>
      <c r="F218" s="2" t="s">
        <v>19</v>
      </c>
      <c r="G218" s="7" t="str">
        <f aca="false">HYPERLINK("https://mncourtfraud.com/file/MCRO_27-CR-21-13147_Findings and Order_2021-08-31_20251126183518.pdf","MCRO_27-CR-21-13147_Findings and Order_2021-08-31_20251126183518.pdf")</f>
        <v>MCRO_27-CR-21-13147_Findings and Order_2021-08-31_20251126183518.pdf</v>
      </c>
      <c r="H218" s="2" t="s">
        <v>1368</v>
      </c>
      <c r="I218" s="9" t="s">
        <v>2284</v>
      </c>
      <c r="J218" s="2" t="s">
        <v>2285</v>
      </c>
      <c r="K218" s="2" t="s">
        <v>1362</v>
      </c>
      <c r="L218" s="9" t="s">
        <v>2668</v>
      </c>
      <c r="M218" s="2" t="s">
        <v>2287</v>
      </c>
    </row>
    <row r="219" customFormat="false" ht="18.7" hidden="false" customHeight="true" outlineLevel="0" collapsed="false">
      <c r="A219" s="1" t="n">
        <v>218</v>
      </c>
      <c r="B219" s="7" t="str">
        <f aca="false">HYPERLINK("https://mncourtfraud.com/file/27-CR-21-13147.pdf","27-CR-21-13147")</f>
        <v>27-CR-21-13147</v>
      </c>
      <c r="C219" s="1" t="n">
        <v>1</v>
      </c>
      <c r="D219" s="2" t="s">
        <v>12</v>
      </c>
      <c r="E219" s="8" t="n">
        <v>44593</v>
      </c>
      <c r="F219" s="2" t="s">
        <v>19</v>
      </c>
      <c r="G219" s="7" t="str">
        <f aca="false">HYPERLINK("https://mncourtfraud.com/file/MCRO_27-CR-21-13147_Findings and Order_2022-02-01_20251126183510.pdf","MCRO_27-CR-21-13147_Findings and Order_2022-02-01_20251126183510.pdf")</f>
        <v>MCRO_27-CR-21-13147_Findings and Order_2022-02-01_20251126183510.pdf</v>
      </c>
      <c r="H219" s="2" t="s">
        <v>1368</v>
      </c>
      <c r="I219" s="9" t="s">
        <v>2288</v>
      </c>
      <c r="J219" s="2" t="s">
        <v>2289</v>
      </c>
      <c r="K219" s="2" t="s">
        <v>1362</v>
      </c>
      <c r="L219" s="9" t="s">
        <v>2669</v>
      </c>
      <c r="M219" s="2" t="s">
        <v>2594</v>
      </c>
    </row>
    <row r="220" customFormat="false" ht="18.7" hidden="false" customHeight="true" outlineLevel="0" collapsed="false">
      <c r="A220" s="1" t="n">
        <v>219</v>
      </c>
      <c r="B220" s="7" t="str">
        <f aca="false">HYPERLINK("https://mncourtfraud.com/file/27-CR-21-13147.pdf","27-CR-21-13147")</f>
        <v>27-CR-21-13147</v>
      </c>
      <c r="C220" s="1" t="n">
        <v>1</v>
      </c>
      <c r="D220" s="2" t="s">
        <v>12</v>
      </c>
      <c r="E220" s="8" t="n">
        <v>45093</v>
      </c>
      <c r="F220" s="2" t="s">
        <v>82</v>
      </c>
      <c r="G220" s="7" t="str">
        <f aca="false">HYPERLINK("https://mncourtfraud.com/file/MCRO_27-CR-21-13147_Notice of Case Reassignment_2023-06-16_20251126183529.pdf","MCRO_27-CR-21-13147_Notice of Case Reassignment_2023-06-16_20251126183529.pdf")</f>
        <v>MCRO_27-CR-21-13147_Notice of Case Reassignment_2023-06-16_20251126183529.pdf</v>
      </c>
      <c r="H220" s="2" t="s">
        <v>1362</v>
      </c>
      <c r="I220" s="9" t="s">
        <v>2670</v>
      </c>
      <c r="J220" s="2" t="s">
        <v>2453</v>
      </c>
    </row>
    <row r="221" customFormat="false" ht="18.7" hidden="false" customHeight="true" outlineLevel="0" collapsed="false">
      <c r="A221" s="1" t="n">
        <v>220</v>
      </c>
      <c r="B221" s="7" t="str">
        <f aca="false">HYPERLINK("https://mncourtfraud.com/file/27-CR-21-13147.pdf","27-CR-21-13147")</f>
        <v>27-CR-21-13147</v>
      </c>
      <c r="C221" s="1" t="n">
        <v>1</v>
      </c>
      <c r="D221" s="2" t="s">
        <v>12</v>
      </c>
      <c r="E221" s="8" t="n">
        <v>44460</v>
      </c>
      <c r="F221" s="2" t="s">
        <v>24</v>
      </c>
      <c r="G221" s="7" t="str">
        <f aca="false">HYPERLINK("https://mncourtfraud.com/file/MCRO_27-CR-21-13147_Order for Conditional Release_2021-09-21_20251126183551.pdf","MCRO_27-CR-21-13147_Order for Conditional Release_2021-09-21_20251126183551.pdf")</f>
        <v>MCRO_27-CR-21-13147_Order for Conditional Release_2021-09-21_20251126183551.pdf</v>
      </c>
      <c r="H221" s="2" t="s">
        <v>1362</v>
      </c>
      <c r="I221" s="9" t="s">
        <v>2671</v>
      </c>
      <c r="J221" s="2" t="s">
        <v>2293</v>
      </c>
    </row>
    <row r="222" customFormat="false" ht="18.7" hidden="false" customHeight="true" outlineLevel="0" collapsed="false">
      <c r="A222" s="1" t="n">
        <v>221</v>
      </c>
      <c r="B222" s="7" t="str">
        <f aca="false">HYPERLINK("https://mncourtfraud.com/file/27-CR-21-13147.pdf","27-CR-21-13147")</f>
        <v>27-CR-21-13147</v>
      </c>
      <c r="C222" s="1" t="n">
        <v>1</v>
      </c>
      <c r="D222" s="2" t="s">
        <v>12</v>
      </c>
      <c r="E222" s="8" t="n">
        <v>44468</v>
      </c>
      <c r="F222" s="2" t="s">
        <v>24</v>
      </c>
      <c r="G222" s="7" t="str">
        <f aca="false">HYPERLINK("https://mncourtfraud.com/file/MCRO_27-CR-21-13147_Order for Conditional Release_2021-09-29_20251126183556.pdf","MCRO_27-CR-21-13147_Order for Conditional Release_2021-09-29_20251126183556.pdf")</f>
        <v>MCRO_27-CR-21-13147_Order for Conditional Release_2021-09-29_20251126183556.pdf</v>
      </c>
      <c r="H222" s="2" t="s">
        <v>1362</v>
      </c>
      <c r="I222" s="9" t="s">
        <v>2672</v>
      </c>
      <c r="J222" s="2" t="s">
        <v>2398</v>
      </c>
    </row>
    <row r="223" customFormat="false" ht="18.7" hidden="false" customHeight="true" outlineLevel="0" collapsed="false">
      <c r="A223" s="1" t="n">
        <v>222</v>
      </c>
      <c r="B223" s="7" t="str">
        <f aca="false">HYPERLINK("https://mncourtfraud.com/file/27-CR-21-13147.pdf","27-CR-21-13147")</f>
        <v>27-CR-21-13147</v>
      </c>
      <c r="C223" s="1" t="n">
        <v>1</v>
      </c>
      <c r="D223" s="2" t="s">
        <v>12</v>
      </c>
      <c r="E223" s="8" t="n">
        <v>45412</v>
      </c>
      <c r="F223" s="2" t="s">
        <v>24</v>
      </c>
      <c r="G223" s="7" t="str">
        <f aca="false">HYPERLINK("https://mncourtfraud.com/file/MCRO_27-CR-21-13147_Order for Conditional Release_2024-04-30_20251126183543.pdf","MCRO_27-CR-21-13147_Order for Conditional Release_2024-04-30_20251126183543.pdf")</f>
        <v>MCRO_27-CR-21-13147_Order for Conditional Release_2024-04-30_20251126183543.pdf</v>
      </c>
      <c r="H223" s="2" t="s">
        <v>1362</v>
      </c>
      <c r="I223" s="9" t="s">
        <v>2673</v>
      </c>
      <c r="J223" s="2" t="s">
        <v>2674</v>
      </c>
    </row>
    <row r="224" customFormat="false" ht="18.7" hidden="false" customHeight="true" outlineLevel="0" collapsed="false">
      <c r="A224" s="1" t="n">
        <v>223</v>
      </c>
      <c r="B224" s="7" t="str">
        <f aca="false">HYPERLINK("https://mncourtfraud.com/file/27-CR-21-13147.pdf","27-CR-21-13147")</f>
        <v>27-CR-21-13147</v>
      </c>
      <c r="C224" s="1" t="n">
        <v>1</v>
      </c>
      <c r="D224" s="2" t="s">
        <v>12</v>
      </c>
      <c r="E224" s="8" t="n">
        <v>44396</v>
      </c>
      <c r="F224" s="2" t="s">
        <v>15</v>
      </c>
      <c r="G224" s="7" t="str">
        <f aca="false">HYPERLINK("https://mncourtfraud.com/file/MCRO_27-CR-21-13147_Order-Evaluation for Competency to Proceed (Rule 20.01)_2021-07-19_20251126183607.pdf","MCRO_27-CR-21-13147_Order-Evaluation for Competency to Proceed (Rule 20.01)_2021-07-19_20251126183607.pdf")</f>
        <v>MCRO_27-CR-21-13147_Order-Evaluation for Competency to Proceed (Rule 20.01)_2021-07-19_20251126183607.pdf</v>
      </c>
      <c r="H224" s="2" t="s">
        <v>1362</v>
      </c>
      <c r="I224" s="9" t="s">
        <v>2675</v>
      </c>
      <c r="J224" s="2" t="s">
        <v>2676</v>
      </c>
    </row>
    <row r="225" customFormat="false" ht="18.7" hidden="false" customHeight="true" outlineLevel="0" collapsed="false">
      <c r="A225" s="1" t="n">
        <v>224</v>
      </c>
      <c r="B225" s="7" t="str">
        <f aca="false">HYPERLINK("https://mncourtfraud.com/file/27-CR-21-13147.pdf","27-CR-21-13147")</f>
        <v>27-CR-21-13147</v>
      </c>
      <c r="C225" s="1" t="n">
        <v>1</v>
      </c>
      <c r="D225" s="2" t="s">
        <v>12</v>
      </c>
      <c r="E225" s="8" t="n">
        <v>44543</v>
      </c>
      <c r="F225" s="2" t="s">
        <v>15</v>
      </c>
      <c r="G225" s="7" t="str">
        <f aca="false">HYPERLINK("https://mncourtfraud.com/file/MCRO_27-CR-21-13147_Order-Evaluation for Competency to Proceed (Rule 20.01)_2021-12-13_20251126183615.pdf","MCRO_27-CR-21-13147_Order-Evaluation for Competency to Proceed (Rule 20.01)_2021-12-13_20251126183615.pdf")</f>
        <v>MCRO_27-CR-21-13147_Order-Evaluation for Competency to Proceed (Rule 20.01)_2021-12-13_20251126183615.pdf</v>
      </c>
      <c r="H225" s="2" t="s">
        <v>1362</v>
      </c>
      <c r="I225" s="9" t="s">
        <v>2677</v>
      </c>
      <c r="J225" s="2" t="s">
        <v>2678</v>
      </c>
    </row>
    <row r="226" customFormat="false" ht="18.7" hidden="false" customHeight="true" outlineLevel="0" collapsed="false">
      <c r="A226" s="1" t="n">
        <v>225</v>
      </c>
      <c r="B226" s="7" t="str">
        <f aca="false">HYPERLINK("https://mncourtfraud.com/file/27-CR-21-13147.pdf","27-CR-21-13147")</f>
        <v>27-CR-21-13147</v>
      </c>
      <c r="C226" s="1" t="n">
        <v>1</v>
      </c>
      <c r="D226" s="2" t="s">
        <v>12</v>
      </c>
      <c r="E226" s="8" t="n">
        <v>44558</v>
      </c>
      <c r="F226" s="2" t="s">
        <v>15</v>
      </c>
      <c r="G226" s="7" t="str">
        <f aca="false">HYPERLINK("https://mncourtfraud.com/file/MCRO_27-CR-21-13147_Order-Evaluation for Competency to Proceed (Rule 20.01)_2021-12-28_20251126183624.pdf","MCRO_27-CR-21-13147_Order-Evaluation for Competency to Proceed (Rule 20.01)_2021-12-28_20251126183624.pdf")</f>
        <v>MCRO_27-CR-21-13147_Order-Evaluation for Competency to Proceed (Rule 20.01)_2021-12-28_20251126183624.pdf</v>
      </c>
      <c r="H226" s="2" t="s">
        <v>1362</v>
      </c>
      <c r="I226" s="9" t="s">
        <v>2679</v>
      </c>
      <c r="J226" s="2" t="s">
        <v>2680</v>
      </c>
    </row>
    <row r="227" customFormat="false" ht="18.7" hidden="false" customHeight="true" outlineLevel="0" collapsed="false">
      <c r="A227" s="1" t="n">
        <v>226</v>
      </c>
      <c r="B227" s="7" t="str">
        <f aca="false">HYPERLINK("https://mncourtfraud.com/file/27-CR-21-13147.pdf","27-CR-21-13147")</f>
        <v>27-CR-21-13147</v>
      </c>
      <c r="C227" s="1" t="n">
        <v>1</v>
      </c>
      <c r="D227" s="2" t="s">
        <v>12</v>
      </c>
      <c r="E227" s="8" t="n">
        <v>44692</v>
      </c>
      <c r="F227" s="2" t="s">
        <v>15</v>
      </c>
      <c r="G227" s="7" t="str">
        <f aca="false">HYPERLINK("https://mncourtfraud.com/file/MCRO_27-CR-21-13147_Order-Evaluation for Competency to Proceed (Rule 20.01)_2022-05-11_20251126183632.pdf","MCRO_27-CR-21-13147_Order-Evaluation for Competency to Proceed (Rule 20.01)_2022-05-11_20251126183632.pdf")</f>
        <v>MCRO_27-CR-21-13147_Order-Evaluation for Competency to Proceed (Rule 20.01)_2022-05-11_20251126183632.pdf</v>
      </c>
      <c r="H227" s="2" t="s">
        <v>1362</v>
      </c>
      <c r="I227" s="9" t="s">
        <v>2681</v>
      </c>
      <c r="J227" s="2" t="s">
        <v>2511</v>
      </c>
    </row>
    <row r="228" customFormat="false" ht="18.7" hidden="false" customHeight="true" outlineLevel="0" collapsed="false">
      <c r="A228" s="1" t="n">
        <v>227</v>
      </c>
      <c r="B228" s="7" t="str">
        <f aca="false">HYPERLINK("https://mncourtfraud.com/file/27-CR-21-13147.pdf","27-CR-21-13147")</f>
        <v>27-CR-21-13147</v>
      </c>
      <c r="C228" s="1" t="n">
        <v>1</v>
      </c>
      <c r="D228" s="2" t="s">
        <v>12</v>
      </c>
      <c r="E228" s="8" t="n">
        <v>44895</v>
      </c>
      <c r="F228" s="2" t="s">
        <v>15</v>
      </c>
      <c r="G228" s="7" t="str">
        <f aca="false">HYPERLINK("https://mncourtfraud.com/file/MCRO_27-CR-21-13147_Order-Evaluation for Competency to Proceed (Rule 20.01)_2022-11-30_20251126183640.pdf","MCRO_27-CR-21-13147_Order-Evaluation for Competency to Proceed (Rule 20.01)_2022-11-30_20251126183640.pdf")</f>
        <v>MCRO_27-CR-21-13147_Order-Evaluation for Competency to Proceed (Rule 20.01)_2022-11-30_20251126183640.pdf</v>
      </c>
      <c r="H228" s="2" t="s">
        <v>1362</v>
      </c>
      <c r="I228" s="9" t="s">
        <v>2682</v>
      </c>
      <c r="J228" s="2" t="s">
        <v>2659</v>
      </c>
    </row>
    <row r="229" customFormat="false" ht="18.7" hidden="false" customHeight="true" outlineLevel="0" collapsed="false">
      <c r="A229" s="1" t="n">
        <v>228</v>
      </c>
      <c r="B229" s="7" t="str">
        <f aca="false">HYPERLINK("https://mncourtfraud.com/file/27-CR-21-13147.pdf","27-CR-21-13147")</f>
        <v>27-CR-21-13147</v>
      </c>
      <c r="C229" s="1" t="n">
        <v>1</v>
      </c>
      <c r="D229" s="2" t="s">
        <v>12</v>
      </c>
      <c r="E229" s="8" t="n">
        <v>45160</v>
      </c>
      <c r="F229" s="2" t="s">
        <v>15</v>
      </c>
      <c r="G229" s="7" t="str">
        <f aca="false">HYPERLINK("https://mncourtfraud.com/file/MCRO_27-CR-21-13147_Order-Evaluation for Competency to Proceed (Rule 20.01)_2023-08-22_20251126183648.pdf","MCRO_27-CR-21-13147_Order-Evaluation for Competency to Proceed (Rule 20.01)_2023-08-22_20251126183648.pdf")</f>
        <v>MCRO_27-CR-21-13147_Order-Evaluation for Competency to Proceed (Rule 20.01)_2023-08-22_20251126183648.pdf</v>
      </c>
      <c r="H229" s="2" t="s">
        <v>1519</v>
      </c>
      <c r="I229" s="9" t="s">
        <v>2410</v>
      </c>
      <c r="J229" s="2" t="s">
        <v>2411</v>
      </c>
      <c r="K229" s="2" t="s">
        <v>1362</v>
      </c>
      <c r="L229" s="9" t="s">
        <v>2683</v>
      </c>
      <c r="M229" s="2" t="s">
        <v>2471</v>
      </c>
    </row>
    <row r="230" customFormat="false" ht="18.7" hidden="false" customHeight="true" outlineLevel="0" collapsed="false">
      <c r="A230" s="1" t="n">
        <v>229</v>
      </c>
      <c r="B230" s="7" t="str">
        <f aca="false">HYPERLINK("https://mncourtfraud.com/file/27-CR-21-13147.pdf","27-CR-21-13147")</f>
        <v>27-CR-21-13147</v>
      </c>
      <c r="C230" s="1" t="n">
        <v>1</v>
      </c>
      <c r="D230" s="2" t="s">
        <v>12</v>
      </c>
      <c r="E230" s="8" t="n">
        <v>45412</v>
      </c>
      <c r="F230" s="2" t="s">
        <v>15</v>
      </c>
      <c r="G230" s="7" t="str">
        <f aca="false">HYPERLINK("https://mncourtfraud.com/file/MCRO_27-CR-21-13147_Order-Evaluation for Competency to Proceed (Rule 20.01)_2024-04-30_20251126183656.pdf","MCRO_27-CR-21-13147_Order-Evaluation for Competency to Proceed (Rule 20.01)_2024-04-30_20251126183656.pdf")</f>
        <v>MCRO_27-CR-21-13147_Order-Evaluation for Competency to Proceed (Rule 20.01)_2024-04-30_20251126183656.pdf</v>
      </c>
      <c r="H230" s="2" t="s">
        <v>1362</v>
      </c>
      <c r="I230" s="9" t="s">
        <v>2684</v>
      </c>
      <c r="J230" s="2" t="s">
        <v>2662</v>
      </c>
    </row>
    <row r="231" customFormat="false" ht="18.7" hidden="false" customHeight="true" outlineLevel="0" collapsed="false">
      <c r="A231" s="1" t="n">
        <v>230</v>
      </c>
      <c r="B231" s="7" t="str">
        <f aca="false">HYPERLINK("https://mncourtfraud.com/file/27-CR-21-13147.pdf","27-CR-21-13147")</f>
        <v>27-CR-21-13147</v>
      </c>
      <c r="C231" s="1" t="n">
        <v>1</v>
      </c>
      <c r="D231" s="2" t="s">
        <v>12</v>
      </c>
      <c r="E231" s="8" t="n">
        <v>44999</v>
      </c>
      <c r="F231" s="2" t="s">
        <v>17</v>
      </c>
      <c r="G231" s="7" t="str">
        <f aca="false">HYPERLINK("https://mncourtfraud.com/file/MCRO_27-CR-21-13147_Returned Mail_2023-03-14_20251126183709.pdf","MCRO_27-CR-21-13147_Returned Mail_2023-03-14_20251126183709.pdf")</f>
        <v>MCRO_27-CR-21-13147_Returned Mail_2023-03-14_20251126183709.pdf</v>
      </c>
      <c r="H231" s="2" t="s">
        <v>1362</v>
      </c>
      <c r="I231" s="9" t="s">
        <v>2685</v>
      </c>
      <c r="J231" s="2" t="s">
        <v>2686</v>
      </c>
    </row>
    <row r="232" customFormat="false" ht="18.7" hidden="false" customHeight="true" outlineLevel="0" collapsed="false">
      <c r="A232" s="1" t="n">
        <v>231</v>
      </c>
      <c r="B232" s="7" t="str">
        <f aca="false">HYPERLINK("https://mncourtfraud.com/file/27-CR-21-13150.pdf","27-CR-21-13150")</f>
        <v>27-CR-21-13150</v>
      </c>
      <c r="C232" s="1" t="n">
        <v>1</v>
      </c>
      <c r="D232" s="2" t="s">
        <v>12</v>
      </c>
      <c r="E232" s="8" t="n">
        <v>44405</v>
      </c>
      <c r="F232" s="2" t="s">
        <v>145</v>
      </c>
      <c r="G232" s="7" t="str">
        <f aca="false">HYPERLINK("https://mncourtfraud.com/file/MCRO_27-CR-21-13150_Demand or Request for Discovery_2021-07-28_20251126183738.pdf","MCRO_27-CR-21-13150_Demand or Request for Discovery_2021-07-28_20251126183738.pdf")</f>
        <v>MCRO_27-CR-21-13150_Demand or Request for Discovery_2021-07-28_20251126183738.pdf</v>
      </c>
      <c r="H232" s="2" t="s">
        <v>1362</v>
      </c>
      <c r="I232" s="9" t="s">
        <v>2687</v>
      </c>
      <c r="J232" s="2" t="s">
        <v>2688</v>
      </c>
    </row>
    <row r="233" customFormat="false" ht="18.7" hidden="false" customHeight="true" outlineLevel="0" collapsed="false">
      <c r="A233" s="1" t="n">
        <v>232</v>
      </c>
      <c r="B233" s="7" t="str">
        <f aca="false">HYPERLINK("https://mncourtfraud.com/file/27-CR-21-13150.pdf","27-CR-21-13150")</f>
        <v>27-CR-21-13150</v>
      </c>
      <c r="C233" s="1" t="n">
        <v>1</v>
      </c>
      <c r="D233" s="2" t="s">
        <v>12</v>
      </c>
      <c r="E233" s="8" t="n">
        <v>45048</v>
      </c>
      <c r="F233" s="2" t="s">
        <v>80</v>
      </c>
      <c r="G233" s="7" t="str">
        <f aca="false">HYPERLINK("https://mncourtfraud.com/file/MCRO_27-CR-21-13150_Finding of Incompetency and Order_2023-05-02_20251126183749.pdf","MCRO_27-CR-21-13150_Finding of Incompetency and Order_2023-05-02_20251126183749.pdf")</f>
        <v>MCRO_27-CR-21-13150_Finding of Incompetency and Order_2023-05-02_20251126183749.pdf</v>
      </c>
      <c r="H233" s="2" t="s">
        <v>1492</v>
      </c>
      <c r="I233" s="9" t="s">
        <v>2385</v>
      </c>
      <c r="J233" s="2" t="s">
        <v>2386</v>
      </c>
      <c r="K233" s="2" t="s">
        <v>1496</v>
      </c>
      <c r="L233" s="9" t="s">
        <v>2387</v>
      </c>
      <c r="M233" s="2" t="s">
        <v>2388</v>
      </c>
      <c r="N233" s="2" t="s">
        <v>1362</v>
      </c>
      <c r="O233" s="9" t="s">
        <v>2689</v>
      </c>
      <c r="P233" s="2" t="s">
        <v>2690</v>
      </c>
    </row>
    <row r="234" customFormat="false" ht="18.7" hidden="false" customHeight="true" outlineLevel="0" collapsed="false">
      <c r="A234" s="1" t="n">
        <v>233</v>
      </c>
      <c r="B234" s="7" t="str">
        <f aca="false">HYPERLINK("https://mncourtfraud.com/file/27-CR-21-13150.pdf","27-CR-21-13150")</f>
        <v>27-CR-21-13150</v>
      </c>
      <c r="C234" s="1" t="n">
        <v>1</v>
      </c>
      <c r="D234" s="2" t="s">
        <v>12</v>
      </c>
      <c r="E234" s="8" t="n">
        <v>44439</v>
      </c>
      <c r="F234" s="2" t="s">
        <v>19</v>
      </c>
      <c r="G234" s="7" t="str">
        <f aca="false">HYPERLINK("https://mncourtfraud.com/file/MCRO_27-CR-21-13150_Findings and Order_2021-08-31_20251126183809.pdf","MCRO_27-CR-21-13150_Findings and Order_2021-08-31_20251126183809.pdf")</f>
        <v>MCRO_27-CR-21-13150_Findings and Order_2021-08-31_20251126183809.pdf</v>
      </c>
      <c r="H234" s="2" t="s">
        <v>1368</v>
      </c>
      <c r="I234" s="9" t="s">
        <v>2284</v>
      </c>
      <c r="J234" s="2" t="s">
        <v>2285</v>
      </c>
      <c r="K234" s="2" t="s">
        <v>1362</v>
      </c>
      <c r="L234" s="9" t="s">
        <v>2691</v>
      </c>
      <c r="M234" s="2" t="s">
        <v>2450</v>
      </c>
    </row>
    <row r="235" customFormat="false" ht="18.7" hidden="false" customHeight="true" outlineLevel="0" collapsed="false">
      <c r="A235" s="1" t="n">
        <v>234</v>
      </c>
      <c r="B235" s="7" t="str">
        <f aca="false">HYPERLINK("https://mncourtfraud.com/file/27-CR-21-13150.pdf","27-CR-21-13150")</f>
        <v>27-CR-21-13150</v>
      </c>
      <c r="C235" s="1" t="n">
        <v>1</v>
      </c>
      <c r="D235" s="2" t="s">
        <v>12</v>
      </c>
      <c r="E235" s="8" t="n">
        <v>44593</v>
      </c>
      <c r="F235" s="2" t="s">
        <v>19</v>
      </c>
      <c r="G235" s="7" t="str">
        <f aca="false">HYPERLINK("https://mncourtfraud.com/file/MCRO_27-CR-21-13150_Findings and Order_2022-02-01_20251126183801.pdf","MCRO_27-CR-21-13150_Findings and Order_2022-02-01_20251126183801.pdf")</f>
        <v>MCRO_27-CR-21-13150_Findings and Order_2022-02-01_20251126183801.pdf</v>
      </c>
      <c r="H235" s="2" t="s">
        <v>1368</v>
      </c>
      <c r="I235" s="9" t="s">
        <v>2288</v>
      </c>
      <c r="J235" s="2" t="s">
        <v>2289</v>
      </c>
      <c r="K235" s="2" t="s">
        <v>1362</v>
      </c>
      <c r="L235" s="9" t="s">
        <v>2692</v>
      </c>
      <c r="M235" s="2" t="s">
        <v>2291</v>
      </c>
    </row>
    <row r="236" customFormat="false" ht="18.7" hidden="false" customHeight="true" outlineLevel="0" collapsed="false">
      <c r="A236" s="1" t="n">
        <v>235</v>
      </c>
      <c r="B236" s="7" t="str">
        <f aca="false">HYPERLINK("https://mncourtfraud.com/file/27-CR-21-13150.pdf","27-CR-21-13150")</f>
        <v>27-CR-21-13150</v>
      </c>
      <c r="C236" s="1" t="n">
        <v>1</v>
      </c>
      <c r="D236" s="2" t="s">
        <v>12</v>
      </c>
      <c r="E236" s="8" t="n">
        <v>45093</v>
      </c>
      <c r="F236" s="2" t="s">
        <v>82</v>
      </c>
      <c r="G236" s="7" t="str">
        <f aca="false">HYPERLINK("https://mncourtfraud.com/file/MCRO_27-CR-21-13150_Notice of Case Reassignment_2023-06-16_20251126183821.pdf","MCRO_27-CR-21-13150_Notice of Case Reassignment_2023-06-16_20251126183821.pdf")</f>
        <v>MCRO_27-CR-21-13150_Notice of Case Reassignment_2023-06-16_20251126183821.pdf</v>
      </c>
      <c r="H236" s="2" t="s">
        <v>1362</v>
      </c>
      <c r="I236" s="9" t="s">
        <v>2693</v>
      </c>
      <c r="J236" s="2" t="s">
        <v>2694</v>
      </c>
    </row>
    <row r="237" customFormat="false" ht="18.7" hidden="false" customHeight="true" outlineLevel="0" collapsed="false">
      <c r="A237" s="1" t="n">
        <v>236</v>
      </c>
      <c r="B237" s="7" t="str">
        <f aca="false">HYPERLINK("https://mncourtfraud.com/file/27-CR-21-13150.pdf","27-CR-21-13150")</f>
        <v>27-CR-21-13150</v>
      </c>
      <c r="C237" s="1" t="n">
        <v>1</v>
      </c>
      <c r="D237" s="2" t="s">
        <v>12</v>
      </c>
      <c r="E237" s="8" t="n">
        <v>44460</v>
      </c>
      <c r="F237" s="2" t="s">
        <v>24</v>
      </c>
      <c r="G237" s="7" t="str">
        <f aca="false">HYPERLINK("https://mncourtfraud.com/file/MCRO_27-CR-21-13150_Order for Conditional Release_2021-09-21_20251126183841.pdf","MCRO_27-CR-21-13150_Order for Conditional Release_2021-09-21_20251126183841.pdf")</f>
        <v>MCRO_27-CR-21-13150_Order for Conditional Release_2021-09-21_20251126183841.pdf</v>
      </c>
      <c r="H237" s="2" t="s">
        <v>1362</v>
      </c>
      <c r="I237" s="9" t="s">
        <v>2695</v>
      </c>
      <c r="J237" s="2" t="s">
        <v>2321</v>
      </c>
    </row>
    <row r="238" customFormat="false" ht="18.7" hidden="false" customHeight="true" outlineLevel="0" collapsed="false">
      <c r="A238" s="1" t="n">
        <v>237</v>
      </c>
      <c r="B238" s="7" t="str">
        <f aca="false">HYPERLINK("https://mncourtfraud.com/file/27-CR-21-13150.pdf","27-CR-21-13150")</f>
        <v>27-CR-21-13150</v>
      </c>
      <c r="C238" s="1" t="n">
        <v>1</v>
      </c>
      <c r="D238" s="2" t="s">
        <v>12</v>
      </c>
      <c r="E238" s="8" t="n">
        <v>44468</v>
      </c>
      <c r="F238" s="2" t="s">
        <v>24</v>
      </c>
      <c r="G238" s="7" t="str">
        <f aca="false">HYPERLINK("https://mncourtfraud.com/file/MCRO_27-CR-21-13150_Order for Conditional Release_2021-09-29_20251126183846.pdf","MCRO_27-CR-21-13150_Order for Conditional Release_2021-09-29_20251126183846.pdf")</f>
        <v>MCRO_27-CR-21-13150_Order for Conditional Release_2021-09-29_20251126183846.pdf</v>
      </c>
      <c r="H238" s="2" t="s">
        <v>1362</v>
      </c>
      <c r="I238" s="9" t="s">
        <v>2696</v>
      </c>
      <c r="J238" s="2" t="s">
        <v>2295</v>
      </c>
    </row>
    <row r="239" customFormat="false" ht="18.7" hidden="false" customHeight="true" outlineLevel="0" collapsed="false">
      <c r="A239" s="1" t="n">
        <v>238</v>
      </c>
      <c r="B239" s="7" t="str">
        <f aca="false">HYPERLINK("https://mncourtfraud.com/file/27-CR-21-13150.pdf","27-CR-21-13150")</f>
        <v>27-CR-21-13150</v>
      </c>
      <c r="C239" s="1" t="n">
        <v>1</v>
      </c>
      <c r="D239" s="2" t="s">
        <v>12</v>
      </c>
      <c r="E239" s="8" t="n">
        <v>45412</v>
      </c>
      <c r="F239" s="2" t="s">
        <v>24</v>
      </c>
      <c r="G239" s="7" t="str">
        <f aca="false">HYPERLINK("https://mncourtfraud.com/file/MCRO_27-CR-21-13150_Order for Conditional Release_2024-04-30_20251126183833.pdf","MCRO_27-CR-21-13150_Order for Conditional Release_2024-04-30_20251126183833.pdf")</f>
        <v>MCRO_27-CR-21-13150_Order for Conditional Release_2024-04-30_20251126183833.pdf</v>
      </c>
      <c r="H239" s="2" t="s">
        <v>1362</v>
      </c>
      <c r="I239" s="9" t="s">
        <v>2697</v>
      </c>
      <c r="J239" s="2" t="s">
        <v>2400</v>
      </c>
    </row>
    <row r="240" customFormat="false" ht="18.7" hidden="false" customHeight="true" outlineLevel="0" collapsed="false">
      <c r="A240" s="1" t="n">
        <v>239</v>
      </c>
      <c r="B240" s="7" t="str">
        <f aca="false">HYPERLINK("https://mncourtfraud.com/file/27-CR-21-13150.pdf","27-CR-21-13150")</f>
        <v>27-CR-21-13150</v>
      </c>
      <c r="C240" s="1" t="n">
        <v>1</v>
      </c>
      <c r="D240" s="2" t="s">
        <v>12</v>
      </c>
      <c r="E240" s="8" t="n">
        <v>44396</v>
      </c>
      <c r="F240" s="2" t="s">
        <v>15</v>
      </c>
      <c r="G240" s="7" t="str">
        <f aca="false">HYPERLINK("https://mncourtfraud.com/file/MCRO_27-CR-21-13150_Order-Evaluation for Competency to Proceed (Rule 20.01)_2021-07-19_20251126183857.pdf","MCRO_27-CR-21-13150_Order-Evaluation for Competency to Proceed (Rule 20.01)_2021-07-19_20251126183857.pdf")</f>
        <v>MCRO_27-CR-21-13150_Order-Evaluation for Competency to Proceed (Rule 20.01)_2021-07-19_20251126183857.pdf</v>
      </c>
      <c r="H240" s="2" t="s">
        <v>1362</v>
      </c>
      <c r="I240" s="9" t="s">
        <v>2698</v>
      </c>
      <c r="J240" s="2" t="s">
        <v>2699</v>
      </c>
    </row>
    <row r="241" customFormat="false" ht="18.7" hidden="false" customHeight="true" outlineLevel="0" collapsed="false">
      <c r="A241" s="1" t="n">
        <v>240</v>
      </c>
      <c r="B241" s="7" t="str">
        <f aca="false">HYPERLINK("https://mncourtfraud.com/file/27-CR-21-13150.pdf","27-CR-21-13150")</f>
        <v>27-CR-21-13150</v>
      </c>
      <c r="C241" s="1" t="n">
        <v>1</v>
      </c>
      <c r="D241" s="2" t="s">
        <v>12</v>
      </c>
      <c r="E241" s="8" t="n">
        <v>44543</v>
      </c>
      <c r="F241" s="2" t="s">
        <v>15</v>
      </c>
      <c r="G241" s="7" t="str">
        <f aca="false">HYPERLINK("https://mncourtfraud.com/file/MCRO_27-CR-21-13150_Order-Evaluation for Competency to Proceed (Rule 20.01)_2021-12-13_20251126183906.pdf","MCRO_27-CR-21-13150_Order-Evaluation for Competency to Proceed (Rule 20.01)_2021-12-13_20251126183906.pdf")</f>
        <v>MCRO_27-CR-21-13150_Order-Evaluation for Competency to Proceed (Rule 20.01)_2021-12-13_20251126183906.pdf</v>
      </c>
      <c r="H241" s="2" t="s">
        <v>1362</v>
      </c>
      <c r="I241" s="9" t="s">
        <v>2700</v>
      </c>
      <c r="J241" s="2" t="s">
        <v>2552</v>
      </c>
    </row>
    <row r="242" customFormat="false" ht="18.7" hidden="false" customHeight="true" outlineLevel="0" collapsed="false">
      <c r="A242" s="1" t="n">
        <v>241</v>
      </c>
      <c r="B242" s="7" t="str">
        <f aca="false">HYPERLINK("https://mncourtfraud.com/file/27-CR-21-13150.pdf","27-CR-21-13150")</f>
        <v>27-CR-21-13150</v>
      </c>
      <c r="C242" s="1" t="n">
        <v>1</v>
      </c>
      <c r="D242" s="2" t="s">
        <v>12</v>
      </c>
      <c r="E242" s="8" t="n">
        <v>44558</v>
      </c>
      <c r="F242" s="2" t="s">
        <v>15</v>
      </c>
      <c r="G242" s="7" t="str">
        <f aca="false">HYPERLINK("https://mncourtfraud.com/file/MCRO_27-CR-21-13150_Order-Evaluation for Competency to Proceed (Rule 20.01)_2021-12-28_20251126183913.pdf","MCRO_27-CR-21-13150_Order-Evaluation for Competency to Proceed (Rule 20.01)_2021-12-28_20251126183913.pdf")</f>
        <v>MCRO_27-CR-21-13150_Order-Evaluation for Competency to Proceed (Rule 20.01)_2021-12-28_20251126183913.pdf</v>
      </c>
      <c r="H242" s="2" t="s">
        <v>1362</v>
      </c>
      <c r="I242" s="9" t="s">
        <v>2701</v>
      </c>
      <c r="J242" s="2" t="s">
        <v>2702</v>
      </c>
    </row>
    <row r="243" customFormat="false" ht="18.7" hidden="false" customHeight="true" outlineLevel="0" collapsed="false">
      <c r="A243" s="1" t="n">
        <v>242</v>
      </c>
      <c r="B243" s="7" t="str">
        <f aca="false">HYPERLINK("https://mncourtfraud.com/file/27-CR-21-13150.pdf","27-CR-21-13150")</f>
        <v>27-CR-21-13150</v>
      </c>
      <c r="C243" s="1" t="n">
        <v>1</v>
      </c>
      <c r="D243" s="2" t="s">
        <v>12</v>
      </c>
      <c r="E243" s="8" t="n">
        <v>44692</v>
      </c>
      <c r="F243" s="2" t="s">
        <v>15</v>
      </c>
      <c r="G243" s="7" t="str">
        <f aca="false">HYPERLINK("https://mncourtfraud.com/file/MCRO_27-CR-21-13150_Order-Evaluation for Competency to Proceed (Rule 20.01)_2022-05-11_20251126183920.pdf","MCRO_27-CR-21-13150_Order-Evaluation for Competency to Proceed (Rule 20.01)_2022-05-11_20251126183920.pdf")</f>
        <v>MCRO_27-CR-21-13150_Order-Evaluation for Competency to Proceed (Rule 20.01)_2022-05-11_20251126183920.pdf</v>
      </c>
      <c r="H243" s="2" t="s">
        <v>1362</v>
      </c>
      <c r="I243" s="9" t="s">
        <v>2703</v>
      </c>
      <c r="J243" s="2" t="s">
        <v>2511</v>
      </c>
    </row>
    <row r="244" customFormat="false" ht="18.7" hidden="false" customHeight="true" outlineLevel="0" collapsed="false">
      <c r="A244" s="1" t="n">
        <v>243</v>
      </c>
      <c r="B244" s="7" t="str">
        <f aca="false">HYPERLINK("https://mncourtfraud.com/file/27-CR-21-13150.pdf","27-CR-21-13150")</f>
        <v>27-CR-21-13150</v>
      </c>
      <c r="C244" s="1" t="n">
        <v>1</v>
      </c>
      <c r="D244" s="2" t="s">
        <v>12</v>
      </c>
      <c r="E244" s="8" t="n">
        <v>44895</v>
      </c>
      <c r="F244" s="2" t="s">
        <v>15</v>
      </c>
      <c r="G244" s="7" t="str">
        <f aca="false">HYPERLINK("https://mncourtfraud.com/file/MCRO_27-CR-21-13150_Order-Evaluation for Competency to Proceed (Rule 20.01)_2022-11-30_20251126183927.pdf","MCRO_27-CR-21-13150_Order-Evaluation for Competency to Proceed (Rule 20.01)_2022-11-30_20251126183927.pdf")</f>
        <v>MCRO_27-CR-21-13150_Order-Evaluation for Competency to Proceed (Rule 20.01)_2022-11-30_20251126183927.pdf</v>
      </c>
      <c r="H244" s="2" t="s">
        <v>1362</v>
      </c>
      <c r="I244" s="9" t="s">
        <v>2704</v>
      </c>
      <c r="J244" s="2" t="s">
        <v>2705</v>
      </c>
    </row>
    <row r="245" customFormat="false" ht="18.7" hidden="false" customHeight="true" outlineLevel="0" collapsed="false">
      <c r="A245" s="1" t="n">
        <v>244</v>
      </c>
      <c r="B245" s="7" t="str">
        <f aca="false">HYPERLINK("https://mncourtfraud.com/file/27-CR-21-13150.pdf","27-CR-21-13150")</f>
        <v>27-CR-21-13150</v>
      </c>
      <c r="C245" s="1" t="n">
        <v>1</v>
      </c>
      <c r="D245" s="2" t="s">
        <v>12</v>
      </c>
      <c r="E245" s="8" t="n">
        <v>45160</v>
      </c>
      <c r="F245" s="2" t="s">
        <v>15</v>
      </c>
      <c r="G245" s="7" t="str">
        <f aca="false">HYPERLINK("https://mncourtfraud.com/file/MCRO_27-CR-21-13150_Order-Evaluation for Competency to Proceed (Rule 20.01)_2023-08-22_20251126183934.pdf","MCRO_27-CR-21-13150_Order-Evaluation for Competency to Proceed (Rule 20.01)_2023-08-22_20251126183934.pdf")</f>
        <v>MCRO_27-CR-21-13150_Order-Evaluation for Competency to Proceed (Rule 20.01)_2023-08-22_20251126183934.pdf</v>
      </c>
      <c r="H245" s="2" t="s">
        <v>1519</v>
      </c>
      <c r="I245" s="9" t="s">
        <v>2410</v>
      </c>
      <c r="J245" s="2" t="s">
        <v>2411</v>
      </c>
      <c r="K245" s="2" t="s">
        <v>1362</v>
      </c>
      <c r="L245" s="9" t="s">
        <v>2706</v>
      </c>
      <c r="M245" s="2" t="s">
        <v>2707</v>
      </c>
    </row>
    <row r="246" customFormat="false" ht="18.7" hidden="false" customHeight="true" outlineLevel="0" collapsed="false">
      <c r="A246" s="1" t="n">
        <v>245</v>
      </c>
      <c r="B246" s="7" t="str">
        <f aca="false">HYPERLINK("https://mncourtfraud.com/file/27-CR-21-13150.pdf","27-CR-21-13150")</f>
        <v>27-CR-21-13150</v>
      </c>
      <c r="C246" s="1" t="n">
        <v>1</v>
      </c>
      <c r="D246" s="2" t="s">
        <v>12</v>
      </c>
      <c r="E246" s="8" t="n">
        <v>45412</v>
      </c>
      <c r="F246" s="2" t="s">
        <v>15</v>
      </c>
      <c r="G246" s="7" t="str">
        <f aca="false">HYPERLINK("https://mncourtfraud.com/file/MCRO_27-CR-21-13150_Order-Evaluation for Competency to Proceed (Rule 20.01)_2024-04-30_20251126183942.pdf","MCRO_27-CR-21-13150_Order-Evaluation for Competency to Proceed (Rule 20.01)_2024-04-30_20251126183942.pdf")</f>
        <v>MCRO_27-CR-21-13150_Order-Evaluation for Competency to Proceed (Rule 20.01)_2024-04-30_20251126183942.pdf</v>
      </c>
      <c r="H246" s="2" t="s">
        <v>1362</v>
      </c>
      <c r="I246" s="9" t="s">
        <v>2708</v>
      </c>
      <c r="J246" s="2" t="s">
        <v>2709</v>
      </c>
    </row>
    <row r="247" customFormat="false" ht="18.7" hidden="false" customHeight="true" outlineLevel="0" collapsed="false">
      <c r="A247" s="1" t="n">
        <v>246</v>
      </c>
      <c r="B247" s="7" t="str">
        <f aca="false">HYPERLINK("https://mncourtfraud.com/file/27-CR-21-13526.pdf","27-CR-21-13526")</f>
        <v>27-CR-21-13526</v>
      </c>
      <c r="C247" s="1" t="n">
        <v>5</v>
      </c>
      <c r="D247" s="2" t="s">
        <v>267</v>
      </c>
      <c r="E247" s="8" t="n">
        <v>44873</v>
      </c>
      <c r="F247" s="2" t="s">
        <v>15</v>
      </c>
      <c r="G247" s="7" t="str">
        <f aca="false">HYPERLINK("https://mncourtfraud.com/file/MCRO_27-CR-21-13526_Order-Evaluation for Competency to Proceed (Rule 20.01)_2022-11-08_20251126164716.pdf","MCRO_27-CR-21-13526_Order-Evaluation for Competency to Proceed (Rule 20.01)_2022-11-08_20251126164716.pdf")</f>
        <v>MCRO_27-CR-21-13526_Order-Evaluation for Competency to Proceed (Rule 20.01)_2022-11-08_20251126164716.pdf</v>
      </c>
      <c r="H247" s="2" t="s">
        <v>1362</v>
      </c>
      <c r="I247" s="9" t="s">
        <v>2710</v>
      </c>
      <c r="J247" s="2" t="s">
        <v>2711</v>
      </c>
    </row>
    <row r="248" customFormat="false" ht="18.7" hidden="false" customHeight="true" outlineLevel="0" collapsed="false">
      <c r="A248" s="1" t="n">
        <v>247</v>
      </c>
      <c r="B248" s="7" t="str">
        <f aca="false">HYPERLINK("https://mncourtfraud.com/file/27-CR-21-13526.pdf","27-CR-21-13526")</f>
        <v>27-CR-21-13526</v>
      </c>
      <c r="C248" s="1" t="n">
        <v>5</v>
      </c>
      <c r="D248" s="2" t="s">
        <v>267</v>
      </c>
      <c r="E248" s="8" t="n">
        <v>45023</v>
      </c>
      <c r="F248" s="2" t="s">
        <v>15</v>
      </c>
      <c r="G248" s="7" t="str">
        <f aca="false">HYPERLINK("https://mncourtfraud.com/file/MCRO_27-CR-21-13526_Order-Evaluation for Competency to Proceed (Rule 20.01)_2023-04-07_20251126164730.pdf","MCRO_27-CR-21-13526_Order-Evaluation for Competency to Proceed (Rule 20.01)_2023-04-07_20251126164730.pdf")</f>
        <v>MCRO_27-CR-21-13526_Order-Evaluation for Competency to Proceed (Rule 20.01)_2023-04-07_20251126164730.pdf</v>
      </c>
      <c r="H248" s="2" t="s">
        <v>1362</v>
      </c>
      <c r="I248" s="9" t="s">
        <v>2712</v>
      </c>
      <c r="J248" s="2" t="s">
        <v>2713</v>
      </c>
    </row>
    <row r="249" customFormat="false" ht="18.7" hidden="false" customHeight="true" outlineLevel="0" collapsed="false">
      <c r="A249" s="1" t="n">
        <v>248</v>
      </c>
      <c r="B249" s="7" t="str">
        <f aca="false">HYPERLINK("https://mncourtfraud.com/file/27-CR-21-13526.pdf","27-CR-21-13526")</f>
        <v>27-CR-21-13526</v>
      </c>
      <c r="C249" s="1" t="n">
        <v>5</v>
      </c>
      <c r="D249" s="2" t="s">
        <v>267</v>
      </c>
      <c r="E249" s="8" t="n">
        <v>45194</v>
      </c>
      <c r="F249" s="2" t="s">
        <v>15</v>
      </c>
      <c r="G249" s="7" t="str">
        <f aca="false">HYPERLINK("https://mncourtfraud.com/file/MCRO_27-CR-21-13526_Order-Evaluation for Competency to Proceed (Rule 20.01)_2023-09-25_20251126164657.pdf","MCRO_27-CR-21-13526_Order-Evaluation for Competency to Proceed (Rule 20.01)_2023-09-25_20251126164657.pdf")</f>
        <v>MCRO_27-CR-21-13526_Order-Evaluation for Competency to Proceed (Rule 20.01)_2023-09-25_20251126164657.pdf</v>
      </c>
      <c r="H249" s="2" t="s">
        <v>1362</v>
      </c>
      <c r="I249" s="9" t="s">
        <v>2714</v>
      </c>
      <c r="J249" s="2" t="s">
        <v>2715</v>
      </c>
    </row>
    <row r="250" customFormat="false" ht="18.7" hidden="false" customHeight="true" outlineLevel="0" collapsed="false">
      <c r="A250" s="1" t="n">
        <v>249</v>
      </c>
      <c r="B250" s="7" t="str">
        <f aca="false">HYPERLINK("https://mncourtfraud.com/file/27-CR-21-13526.pdf","27-CR-21-13526")</f>
        <v>27-CR-21-13526</v>
      </c>
      <c r="C250" s="1" t="n">
        <v>5</v>
      </c>
      <c r="D250" s="2" t="s">
        <v>267</v>
      </c>
      <c r="E250" s="8" t="n">
        <v>44733</v>
      </c>
      <c r="F250" s="2" t="s">
        <v>17</v>
      </c>
      <c r="G250" s="7" t="str">
        <f aca="false">HYPERLINK("https://mncourtfraud.com/file/MCRO_27-CR-21-13526_Returned Mail_2022-06-21_20251126164634.pdf","MCRO_27-CR-21-13526_Returned Mail_2022-06-21_20251126164634.pdf")</f>
        <v>MCRO_27-CR-21-13526_Returned Mail_2022-06-21_20251126164634.pdf</v>
      </c>
      <c r="H250" s="2" t="s">
        <v>1362</v>
      </c>
      <c r="I250" s="9" t="s">
        <v>2716</v>
      </c>
      <c r="J250" s="2" t="s">
        <v>2717</v>
      </c>
    </row>
    <row r="251" customFormat="false" ht="18.7" hidden="false" customHeight="true" outlineLevel="0" collapsed="false">
      <c r="A251" s="1" t="n">
        <v>250</v>
      </c>
      <c r="B251" s="7" t="str">
        <f aca="false">HYPERLINK("https://mncourtfraud.com/file/27-CR-21-13526.pdf","27-CR-21-13526")</f>
        <v>27-CR-21-13526</v>
      </c>
      <c r="C251" s="1" t="n">
        <v>5</v>
      </c>
      <c r="D251" s="2" t="s">
        <v>267</v>
      </c>
      <c r="E251" s="8" t="n">
        <v>44837</v>
      </c>
      <c r="F251" s="2" t="s">
        <v>17</v>
      </c>
      <c r="G251" s="7" t="str">
        <f aca="false">HYPERLINK("https://mncourtfraud.com/file/MCRO_27-CR-21-13526_Returned Mail_2022-10-03_20251126164501.pdf","MCRO_27-CR-21-13526_Returned Mail_2022-10-03_20251126164501.pdf")</f>
        <v>MCRO_27-CR-21-13526_Returned Mail_2022-10-03_20251126164501.pdf</v>
      </c>
      <c r="H251" s="2" t="s">
        <v>1362</v>
      </c>
      <c r="I251" s="9" t="s">
        <v>2718</v>
      </c>
      <c r="J251" s="2" t="s">
        <v>2719</v>
      </c>
    </row>
    <row r="252" customFormat="false" ht="18.7" hidden="false" customHeight="true" outlineLevel="0" collapsed="false">
      <c r="A252" s="1" t="n">
        <v>251</v>
      </c>
      <c r="B252" s="7" t="str">
        <f aca="false">HYPERLINK("https://mncourtfraud.com/file/27-CR-21-14266.pdf","27-CR-21-14266")</f>
        <v>27-CR-21-14266</v>
      </c>
      <c r="C252" s="1" t="n">
        <v>5</v>
      </c>
      <c r="D252" s="2" t="s">
        <v>267</v>
      </c>
      <c r="E252" s="8" t="n">
        <v>44873</v>
      </c>
      <c r="F252" s="2" t="s">
        <v>15</v>
      </c>
      <c r="G252" s="7" t="str">
        <f aca="false">HYPERLINK("https://mncourtfraud.com/file/MCRO_27-CR-21-14266_Order-Evaluation for Competency to Proceed (Rule 20.01)_2022-11-08_20251126164836.pdf","MCRO_27-CR-21-14266_Order-Evaluation for Competency to Proceed (Rule 20.01)_2022-11-08_20251126164836.pdf")</f>
        <v>MCRO_27-CR-21-14266_Order-Evaluation for Competency to Proceed (Rule 20.01)_2022-11-08_20251126164836.pdf</v>
      </c>
      <c r="H252" s="2" t="s">
        <v>1362</v>
      </c>
      <c r="I252" s="9" t="s">
        <v>2720</v>
      </c>
      <c r="J252" s="2" t="s">
        <v>2721</v>
      </c>
    </row>
    <row r="253" customFormat="false" ht="18.7" hidden="false" customHeight="true" outlineLevel="0" collapsed="false">
      <c r="A253" s="1" t="n">
        <v>252</v>
      </c>
      <c r="B253" s="7" t="str">
        <f aca="false">HYPERLINK("https://mncourtfraud.com/file/27-CR-21-14266.pdf","27-CR-21-14266")</f>
        <v>27-CR-21-14266</v>
      </c>
      <c r="C253" s="1" t="n">
        <v>5</v>
      </c>
      <c r="D253" s="2" t="s">
        <v>267</v>
      </c>
      <c r="E253" s="8" t="n">
        <v>45023</v>
      </c>
      <c r="F253" s="2" t="s">
        <v>15</v>
      </c>
      <c r="G253" s="7" t="str">
        <f aca="false">HYPERLINK("https://mncourtfraud.com/file/MCRO_27-CR-21-14266_Order-Evaluation for Competency to Proceed (Rule 20.01)_2023-04-07_20251126164851.pdf","MCRO_27-CR-21-14266_Order-Evaluation for Competency to Proceed (Rule 20.01)_2023-04-07_20251126164851.pdf")</f>
        <v>MCRO_27-CR-21-14266_Order-Evaluation for Competency to Proceed (Rule 20.01)_2023-04-07_20251126164851.pdf</v>
      </c>
      <c r="H253" s="2" t="s">
        <v>1362</v>
      </c>
      <c r="I253" s="9" t="s">
        <v>2722</v>
      </c>
      <c r="J253" s="2" t="s">
        <v>2723</v>
      </c>
    </row>
    <row r="254" customFormat="false" ht="18.7" hidden="false" customHeight="true" outlineLevel="0" collapsed="false">
      <c r="A254" s="1" t="n">
        <v>253</v>
      </c>
      <c r="B254" s="7" t="str">
        <f aca="false">HYPERLINK("https://mncourtfraud.com/file/27-CR-21-14266.pdf","27-CR-21-14266")</f>
        <v>27-CR-21-14266</v>
      </c>
      <c r="C254" s="1" t="n">
        <v>5</v>
      </c>
      <c r="D254" s="2" t="s">
        <v>267</v>
      </c>
      <c r="E254" s="8" t="n">
        <v>45194</v>
      </c>
      <c r="F254" s="2" t="s">
        <v>15</v>
      </c>
      <c r="G254" s="7" t="str">
        <f aca="false">HYPERLINK("https://mncourtfraud.com/file/MCRO_27-CR-21-14266_Order-Evaluation for Competency to Proceed (Rule 20.01)_2023-09-25_20251126164823.pdf","MCRO_27-CR-21-14266_Order-Evaluation for Competency to Proceed (Rule 20.01)_2023-09-25_20251126164823.pdf")</f>
        <v>MCRO_27-CR-21-14266_Order-Evaluation for Competency to Proceed (Rule 20.01)_2023-09-25_20251126164823.pdf</v>
      </c>
      <c r="H254" s="2" t="s">
        <v>1362</v>
      </c>
      <c r="I254" s="9" t="s">
        <v>2724</v>
      </c>
      <c r="J254" s="2" t="s">
        <v>2725</v>
      </c>
    </row>
    <row r="255" customFormat="false" ht="18.7" hidden="false" customHeight="true" outlineLevel="0" collapsed="false">
      <c r="A255" s="1" t="n">
        <v>254</v>
      </c>
      <c r="B255" s="7" t="str">
        <f aca="false">HYPERLINK("https://mncourtfraud.com/file/27-CR-21-14266.pdf","27-CR-21-14266")</f>
        <v>27-CR-21-14266</v>
      </c>
      <c r="C255" s="1" t="n">
        <v>5</v>
      </c>
      <c r="D255" s="2" t="s">
        <v>267</v>
      </c>
      <c r="E255" s="8" t="n">
        <v>44733</v>
      </c>
      <c r="F255" s="2" t="s">
        <v>17</v>
      </c>
      <c r="G255" s="7" t="str">
        <f aca="false">HYPERLINK("https://mncourtfraud.com/file/MCRO_27-CR-21-14266_Returned Mail_2022-06-21_20251126164918.pdf","MCRO_27-CR-21-14266_Returned Mail_2022-06-21_20251126164918.pdf")</f>
        <v>MCRO_27-CR-21-14266_Returned Mail_2022-06-21_20251126164918.pdf</v>
      </c>
      <c r="H255" s="2" t="s">
        <v>1362</v>
      </c>
      <c r="I255" s="9" t="s">
        <v>2726</v>
      </c>
      <c r="J255" s="2" t="s">
        <v>2727</v>
      </c>
    </row>
    <row r="256" customFormat="false" ht="18.7" hidden="false" customHeight="true" outlineLevel="0" collapsed="false">
      <c r="A256" s="1" t="n">
        <v>255</v>
      </c>
      <c r="B256" s="7" t="str">
        <f aca="false">HYPERLINK("https://mncourtfraud.com/file/27-CR-21-14266.pdf","27-CR-21-14266")</f>
        <v>27-CR-21-14266</v>
      </c>
      <c r="C256" s="1" t="n">
        <v>5</v>
      </c>
      <c r="D256" s="2" t="s">
        <v>267</v>
      </c>
      <c r="E256" s="8" t="n">
        <v>44837</v>
      </c>
      <c r="F256" s="2" t="s">
        <v>17</v>
      </c>
      <c r="G256" s="7" t="str">
        <f aca="false">HYPERLINK("https://mncourtfraud.com/file/MCRO_27-CR-21-14266_Returned Mail_2022-10-03_20251126164905.pdf","MCRO_27-CR-21-14266_Returned Mail_2022-10-03_20251126164905.pdf")</f>
        <v>MCRO_27-CR-21-14266_Returned Mail_2022-10-03_20251126164905.pdf</v>
      </c>
      <c r="H256" s="2" t="s">
        <v>1362</v>
      </c>
      <c r="I256" s="9" t="s">
        <v>2728</v>
      </c>
      <c r="J256" s="2" t="s">
        <v>2729</v>
      </c>
    </row>
    <row r="257" customFormat="false" ht="18.7" hidden="false" customHeight="true" outlineLevel="0" collapsed="false">
      <c r="A257" s="1" t="n">
        <v>256</v>
      </c>
      <c r="B257" s="7" t="str">
        <f aca="false">HYPERLINK("https://mncourtfraud.com/file/27-CR-21-17656.pdf","27-CR-21-17656")</f>
        <v>27-CR-21-17656</v>
      </c>
      <c r="C257" s="1" t="n">
        <v>5</v>
      </c>
      <c r="D257" s="2" t="s">
        <v>267</v>
      </c>
      <c r="E257" s="8" t="n">
        <v>44873</v>
      </c>
      <c r="F257" s="2" t="s">
        <v>15</v>
      </c>
      <c r="G257" s="7" t="str">
        <f aca="false">HYPERLINK("https://mncourtfraud.com/file/MCRO_27-CR-21-17656_Order-Evaluation for Competency to Proceed (Rule 20.01)_2022-11-08_20251126165032.pdf","MCRO_27-CR-21-17656_Order-Evaluation for Competency to Proceed (Rule 20.01)_2022-11-08_20251126165032.pdf")</f>
        <v>MCRO_27-CR-21-17656_Order-Evaluation for Competency to Proceed (Rule 20.01)_2022-11-08_20251126165032.pdf</v>
      </c>
      <c r="H257" s="2" t="s">
        <v>1362</v>
      </c>
      <c r="I257" s="9" t="s">
        <v>2730</v>
      </c>
      <c r="J257" s="2" t="s">
        <v>2731</v>
      </c>
    </row>
    <row r="258" customFormat="false" ht="18.7" hidden="false" customHeight="true" outlineLevel="0" collapsed="false">
      <c r="A258" s="1" t="n">
        <v>257</v>
      </c>
      <c r="B258" s="7" t="str">
        <f aca="false">HYPERLINK("https://mncourtfraud.com/file/27-CR-21-17656.pdf","27-CR-21-17656")</f>
        <v>27-CR-21-17656</v>
      </c>
      <c r="C258" s="1" t="n">
        <v>5</v>
      </c>
      <c r="D258" s="2" t="s">
        <v>267</v>
      </c>
      <c r="E258" s="8" t="n">
        <v>45023</v>
      </c>
      <c r="F258" s="2" t="s">
        <v>15</v>
      </c>
      <c r="G258" s="7" t="str">
        <f aca="false">HYPERLINK("https://mncourtfraud.com/file/MCRO_27-CR-21-17656_Order-Evaluation for Competency to Proceed (Rule 20.01)_2023-04-07_20251126165044.pdf","MCRO_27-CR-21-17656_Order-Evaluation for Competency to Proceed (Rule 20.01)_2023-04-07_20251126165044.pdf")</f>
        <v>MCRO_27-CR-21-17656_Order-Evaluation for Competency to Proceed (Rule 20.01)_2023-04-07_20251126165044.pdf</v>
      </c>
      <c r="H258" s="2" t="s">
        <v>1362</v>
      </c>
      <c r="I258" s="9" t="s">
        <v>2732</v>
      </c>
      <c r="J258" s="2" t="s">
        <v>2733</v>
      </c>
    </row>
    <row r="259" customFormat="false" ht="18.7" hidden="false" customHeight="true" outlineLevel="0" collapsed="false">
      <c r="A259" s="1" t="n">
        <v>258</v>
      </c>
      <c r="B259" s="7" t="str">
        <f aca="false">HYPERLINK("https://mncourtfraud.com/file/27-CR-21-17656.pdf","27-CR-21-17656")</f>
        <v>27-CR-21-17656</v>
      </c>
      <c r="C259" s="1" t="n">
        <v>5</v>
      </c>
      <c r="D259" s="2" t="s">
        <v>267</v>
      </c>
      <c r="E259" s="8" t="n">
        <v>45194</v>
      </c>
      <c r="F259" s="2" t="s">
        <v>15</v>
      </c>
      <c r="G259" s="7" t="str">
        <f aca="false">HYPERLINK("https://mncourtfraud.com/file/MCRO_27-CR-21-17656_Order-Evaluation for Competency to Proceed (Rule 20.01)_2023-09-25_20251126165021.pdf","MCRO_27-CR-21-17656_Order-Evaluation for Competency to Proceed (Rule 20.01)_2023-09-25_20251126165021.pdf")</f>
        <v>MCRO_27-CR-21-17656_Order-Evaluation for Competency to Proceed (Rule 20.01)_2023-09-25_20251126165021.pdf</v>
      </c>
      <c r="H259" s="2" t="s">
        <v>1362</v>
      </c>
      <c r="I259" s="9" t="s">
        <v>2734</v>
      </c>
      <c r="J259" s="2" t="s">
        <v>2735</v>
      </c>
    </row>
    <row r="260" customFormat="false" ht="18.7" hidden="false" customHeight="true" outlineLevel="0" collapsed="false">
      <c r="A260" s="1" t="n">
        <v>259</v>
      </c>
      <c r="B260" s="7" t="str">
        <f aca="false">HYPERLINK("https://mncourtfraud.com/file/27-CR-21-17656.pdf","27-CR-21-17656")</f>
        <v>27-CR-21-17656</v>
      </c>
      <c r="C260" s="1" t="n">
        <v>5</v>
      </c>
      <c r="D260" s="2" t="s">
        <v>267</v>
      </c>
      <c r="E260" s="8" t="n">
        <v>44733</v>
      </c>
      <c r="F260" s="2" t="s">
        <v>17</v>
      </c>
      <c r="G260" s="7" t="str">
        <f aca="false">HYPERLINK("https://mncourtfraud.com/file/MCRO_27-CR-21-17656_Returned Mail_2022-06-21_20251126165007.pdf","MCRO_27-CR-21-17656_Returned Mail_2022-06-21_20251126165007.pdf")</f>
        <v>MCRO_27-CR-21-17656_Returned Mail_2022-06-21_20251126165007.pdf</v>
      </c>
      <c r="H260" s="2" t="s">
        <v>1362</v>
      </c>
      <c r="I260" s="9" t="s">
        <v>2736</v>
      </c>
      <c r="J260" s="2" t="s">
        <v>2717</v>
      </c>
    </row>
    <row r="261" customFormat="false" ht="18.7" hidden="false" customHeight="true" outlineLevel="0" collapsed="false">
      <c r="A261" s="1" t="n">
        <v>260</v>
      </c>
      <c r="B261" s="7" t="str">
        <f aca="false">HYPERLINK("https://mncourtfraud.com/file/27-CR-21-17656.pdf","27-CR-21-17656")</f>
        <v>27-CR-21-17656</v>
      </c>
      <c r="C261" s="1" t="n">
        <v>5</v>
      </c>
      <c r="D261" s="2" t="s">
        <v>267</v>
      </c>
      <c r="E261" s="8" t="n">
        <v>44837</v>
      </c>
      <c r="F261" s="2" t="s">
        <v>17</v>
      </c>
      <c r="G261" s="7" t="str">
        <f aca="false">HYPERLINK("https://mncourtfraud.com/file/MCRO_27-CR-21-17656_Returned Mail_2022-10-03_20251126164949.pdf","MCRO_27-CR-21-17656_Returned Mail_2022-10-03_20251126164949.pdf")</f>
        <v>MCRO_27-CR-21-17656_Returned Mail_2022-10-03_20251126164949.pdf</v>
      </c>
      <c r="H261" s="2" t="s">
        <v>1362</v>
      </c>
      <c r="I261" s="9" t="s">
        <v>2737</v>
      </c>
      <c r="J261" s="2" t="s">
        <v>2729</v>
      </c>
    </row>
    <row r="262" customFormat="false" ht="18.7" hidden="false" customHeight="true" outlineLevel="0" collapsed="false">
      <c r="A262" s="1" t="n">
        <v>261</v>
      </c>
      <c r="B262" s="7" t="str">
        <f aca="false">HYPERLINK("https://mncourtfraud.com/file/27-CR-21-21707.pdf","27-CR-21-21707")</f>
        <v>27-CR-21-21707</v>
      </c>
      <c r="C262" s="1" t="n">
        <v>5</v>
      </c>
      <c r="D262" s="2" t="s">
        <v>267</v>
      </c>
      <c r="E262" s="8" t="n">
        <v>44873</v>
      </c>
      <c r="F262" s="2" t="s">
        <v>15</v>
      </c>
      <c r="G262" s="7" t="str">
        <f aca="false">HYPERLINK("https://mncourtfraud.com/file/MCRO_27-CR-21-21707_Order-Evaluation for Competency to Proceed (Rule 20.01)_2022-11-08_20251126165112.pdf","MCRO_27-CR-21-21707_Order-Evaluation for Competency to Proceed (Rule 20.01)_2022-11-08_20251126165112.pdf")</f>
        <v>MCRO_27-CR-21-21707_Order-Evaluation for Competency to Proceed (Rule 20.01)_2022-11-08_20251126165112.pdf</v>
      </c>
      <c r="H262" s="2" t="s">
        <v>1362</v>
      </c>
      <c r="I262" s="9" t="s">
        <v>2738</v>
      </c>
      <c r="J262" s="2" t="s">
        <v>2739</v>
      </c>
    </row>
    <row r="263" customFormat="false" ht="18.7" hidden="false" customHeight="true" outlineLevel="0" collapsed="false">
      <c r="A263" s="1" t="n">
        <v>262</v>
      </c>
      <c r="B263" s="7" t="str">
        <f aca="false">HYPERLINK("https://mncourtfraud.com/file/27-CR-21-21707.pdf","27-CR-21-21707")</f>
        <v>27-CR-21-21707</v>
      </c>
      <c r="C263" s="1" t="n">
        <v>5</v>
      </c>
      <c r="D263" s="2" t="s">
        <v>267</v>
      </c>
      <c r="E263" s="8" t="n">
        <v>45023</v>
      </c>
      <c r="F263" s="2" t="s">
        <v>15</v>
      </c>
      <c r="G263" s="7" t="str">
        <f aca="false">HYPERLINK("https://mncourtfraud.com/file/MCRO_27-CR-21-21707_Order-Evaluation for Competency to Proceed (Rule 20.01)_2023-04-07_20251126165123.pdf","MCRO_27-CR-21-21707_Order-Evaluation for Competency to Proceed (Rule 20.01)_2023-04-07_20251126165123.pdf")</f>
        <v>MCRO_27-CR-21-21707_Order-Evaluation for Competency to Proceed (Rule 20.01)_2023-04-07_20251126165123.pdf</v>
      </c>
      <c r="H263" s="2" t="s">
        <v>1362</v>
      </c>
      <c r="I263" s="9" t="s">
        <v>2740</v>
      </c>
      <c r="J263" s="2" t="s">
        <v>2741</v>
      </c>
    </row>
    <row r="264" customFormat="false" ht="18.7" hidden="false" customHeight="true" outlineLevel="0" collapsed="false">
      <c r="A264" s="1" t="n">
        <v>263</v>
      </c>
      <c r="B264" s="7" t="str">
        <f aca="false">HYPERLINK("https://mncourtfraud.com/file/27-CR-21-21707.pdf","27-CR-21-21707")</f>
        <v>27-CR-21-21707</v>
      </c>
      <c r="C264" s="1" t="n">
        <v>5</v>
      </c>
      <c r="D264" s="2" t="s">
        <v>267</v>
      </c>
      <c r="E264" s="8" t="n">
        <v>45194</v>
      </c>
      <c r="F264" s="2" t="s">
        <v>15</v>
      </c>
      <c r="G264" s="7" t="str">
        <f aca="false">HYPERLINK("https://mncourtfraud.com/file/MCRO_27-CR-21-21707_Order-Evaluation for Competency to Proceed (Rule 20.01)_2023-09-25_20251126165133.pdf","MCRO_27-CR-21-21707_Order-Evaluation for Competency to Proceed (Rule 20.01)_2023-09-25_20251126165133.pdf")</f>
        <v>MCRO_27-CR-21-21707_Order-Evaluation for Competency to Proceed (Rule 20.01)_2023-09-25_20251126165133.pdf</v>
      </c>
      <c r="H264" s="2" t="s">
        <v>1362</v>
      </c>
      <c r="I264" s="9" t="s">
        <v>2742</v>
      </c>
      <c r="J264" s="2" t="s">
        <v>2715</v>
      </c>
    </row>
    <row r="265" customFormat="false" ht="18.7" hidden="false" customHeight="true" outlineLevel="0" collapsed="false">
      <c r="A265" s="1" t="n">
        <v>264</v>
      </c>
      <c r="B265" s="7" t="str">
        <f aca="false">HYPERLINK("https://mncourtfraud.com/file/27-CR-21-21707.pdf","27-CR-21-21707")</f>
        <v>27-CR-21-21707</v>
      </c>
      <c r="C265" s="1" t="n">
        <v>5</v>
      </c>
      <c r="D265" s="2" t="s">
        <v>267</v>
      </c>
      <c r="E265" s="8" t="n">
        <v>44733</v>
      </c>
      <c r="F265" s="2" t="s">
        <v>17</v>
      </c>
      <c r="G265" s="7" t="str">
        <f aca="false">HYPERLINK("https://mncourtfraud.com/file/MCRO_27-CR-21-21707_Returned Mail_2022-06-21_20251126165201.pdf","MCRO_27-CR-21-21707_Returned Mail_2022-06-21_20251126165201.pdf")</f>
        <v>MCRO_27-CR-21-21707_Returned Mail_2022-06-21_20251126165201.pdf</v>
      </c>
      <c r="H265" s="2" t="s">
        <v>1362</v>
      </c>
      <c r="I265" s="9" t="s">
        <v>2743</v>
      </c>
      <c r="J265" s="2" t="s">
        <v>2727</v>
      </c>
    </row>
    <row r="266" customFormat="false" ht="18.7" hidden="false" customHeight="true" outlineLevel="0" collapsed="false">
      <c r="A266" s="1" t="n">
        <v>265</v>
      </c>
      <c r="B266" s="7" t="str">
        <f aca="false">HYPERLINK("https://mncourtfraud.com/file/27-CR-21-21707.pdf","27-CR-21-21707")</f>
        <v>27-CR-21-21707</v>
      </c>
      <c r="C266" s="1" t="n">
        <v>5</v>
      </c>
      <c r="D266" s="2" t="s">
        <v>267</v>
      </c>
      <c r="E266" s="8" t="n">
        <v>44837</v>
      </c>
      <c r="F266" s="2" t="s">
        <v>17</v>
      </c>
      <c r="G266" s="7" t="str">
        <f aca="false">HYPERLINK("https://mncourtfraud.com/file/MCRO_27-CR-21-21707_Returned Mail_2022-10-03_20251126165146.pdf","MCRO_27-CR-21-21707_Returned Mail_2022-10-03_20251126165146.pdf")</f>
        <v>MCRO_27-CR-21-21707_Returned Mail_2022-10-03_20251126165146.pdf</v>
      </c>
      <c r="H266" s="2" t="s">
        <v>1362</v>
      </c>
      <c r="I266" s="9" t="s">
        <v>2744</v>
      </c>
      <c r="J266" s="2" t="s">
        <v>2729</v>
      </c>
    </row>
    <row r="267" customFormat="false" ht="18.7" hidden="false" customHeight="true" outlineLevel="0" collapsed="false">
      <c r="A267" s="1" t="n">
        <v>266</v>
      </c>
      <c r="B267" s="7" t="str">
        <f aca="false">HYPERLINK("https://mncourtfraud.com/file/27-CR-21-21833.pdf","27-CR-21-21833")</f>
        <v>27-CR-21-21833</v>
      </c>
      <c r="C267" s="1" t="n">
        <v>5</v>
      </c>
      <c r="D267" s="2" t="s">
        <v>267</v>
      </c>
      <c r="E267" s="8" t="n">
        <v>44873</v>
      </c>
      <c r="F267" s="2" t="s">
        <v>15</v>
      </c>
      <c r="G267" s="7" t="str">
        <f aca="false">HYPERLINK("https://mncourtfraud.com/file/MCRO_27-CR-21-21833_Order-Evaluation for Competency to Proceed (Rule 20.01)_2022-11-08_20251126165318.pdf","MCRO_27-CR-21-21833_Order-Evaluation for Competency to Proceed (Rule 20.01)_2022-11-08_20251126165318.pdf")</f>
        <v>MCRO_27-CR-21-21833_Order-Evaluation for Competency to Proceed (Rule 20.01)_2022-11-08_20251126165318.pdf</v>
      </c>
      <c r="H267" s="2" t="s">
        <v>1362</v>
      </c>
      <c r="I267" s="9" t="s">
        <v>2745</v>
      </c>
      <c r="J267" s="2" t="s">
        <v>2721</v>
      </c>
    </row>
    <row r="268" customFormat="false" ht="18.7" hidden="false" customHeight="true" outlineLevel="0" collapsed="false">
      <c r="A268" s="1" t="n">
        <v>267</v>
      </c>
      <c r="B268" s="7" t="str">
        <f aca="false">HYPERLINK("https://mncourtfraud.com/file/27-CR-21-21833.pdf","27-CR-21-21833")</f>
        <v>27-CR-21-21833</v>
      </c>
      <c r="C268" s="1" t="n">
        <v>5</v>
      </c>
      <c r="D268" s="2" t="s">
        <v>267</v>
      </c>
      <c r="E268" s="8" t="n">
        <v>45023</v>
      </c>
      <c r="F268" s="2" t="s">
        <v>15</v>
      </c>
      <c r="G268" s="7" t="str">
        <f aca="false">HYPERLINK("https://mncourtfraud.com/file/MCRO_27-CR-21-21833_Order-Evaluation for Competency to Proceed (Rule 20.01)_2023-04-07_20251126165327.pdf","MCRO_27-CR-21-21833_Order-Evaluation for Competency to Proceed (Rule 20.01)_2023-04-07_20251126165327.pdf")</f>
        <v>MCRO_27-CR-21-21833_Order-Evaluation for Competency to Proceed (Rule 20.01)_2023-04-07_20251126165327.pdf</v>
      </c>
      <c r="H268" s="2" t="s">
        <v>1362</v>
      </c>
      <c r="I268" s="9" t="s">
        <v>2746</v>
      </c>
      <c r="J268" s="2" t="s">
        <v>2747</v>
      </c>
    </row>
    <row r="269" customFormat="false" ht="18.7" hidden="false" customHeight="true" outlineLevel="0" collapsed="false">
      <c r="A269" s="1" t="n">
        <v>268</v>
      </c>
      <c r="B269" s="7" t="str">
        <f aca="false">HYPERLINK("https://mncourtfraud.com/file/27-CR-21-21833.pdf","27-CR-21-21833")</f>
        <v>27-CR-21-21833</v>
      </c>
      <c r="C269" s="1" t="n">
        <v>5</v>
      </c>
      <c r="D269" s="2" t="s">
        <v>267</v>
      </c>
      <c r="E269" s="8" t="n">
        <v>45194</v>
      </c>
      <c r="F269" s="2" t="s">
        <v>15</v>
      </c>
      <c r="G269" s="7" t="str">
        <f aca="false">HYPERLINK("https://mncourtfraud.com/file/MCRO_27-CR-21-21833_Order-Evaluation for Competency to Proceed (Rule 20.01)_2023-09-25_20251126165306.pdf","MCRO_27-CR-21-21833_Order-Evaluation for Competency to Proceed (Rule 20.01)_2023-09-25_20251126165306.pdf")</f>
        <v>MCRO_27-CR-21-21833_Order-Evaluation for Competency to Proceed (Rule 20.01)_2023-09-25_20251126165306.pdf</v>
      </c>
      <c r="H269" s="2" t="s">
        <v>1362</v>
      </c>
      <c r="I269" s="9" t="s">
        <v>2748</v>
      </c>
      <c r="J269" s="2" t="s">
        <v>2715</v>
      </c>
    </row>
    <row r="270" customFormat="false" ht="18.7" hidden="false" customHeight="true" outlineLevel="0" collapsed="false">
      <c r="A270" s="1" t="n">
        <v>269</v>
      </c>
      <c r="B270" s="7" t="str">
        <f aca="false">HYPERLINK("https://mncourtfraud.com/file/27-CR-21-21833.pdf","27-CR-21-21833")</f>
        <v>27-CR-21-21833</v>
      </c>
      <c r="C270" s="1" t="n">
        <v>5</v>
      </c>
      <c r="D270" s="2" t="s">
        <v>267</v>
      </c>
      <c r="E270" s="8" t="n">
        <v>44733</v>
      </c>
      <c r="F270" s="2" t="s">
        <v>17</v>
      </c>
      <c r="G270" s="7" t="str">
        <f aca="false">HYPERLINK("https://mncourtfraud.com/file/MCRO_27-CR-21-21833_Returned Mail_2022-06-21_20251126165240.pdf","MCRO_27-CR-21-21833_Returned Mail_2022-06-21_20251126165240.pdf")</f>
        <v>MCRO_27-CR-21-21833_Returned Mail_2022-06-21_20251126165240.pdf</v>
      </c>
      <c r="H270" s="2" t="s">
        <v>1362</v>
      </c>
      <c r="I270" s="9" t="s">
        <v>2749</v>
      </c>
      <c r="J270" s="2" t="s">
        <v>2717</v>
      </c>
    </row>
    <row r="271" customFormat="false" ht="18.7" hidden="false" customHeight="true" outlineLevel="0" collapsed="false">
      <c r="A271" s="1" t="n">
        <v>270</v>
      </c>
      <c r="B271" s="7" t="str">
        <f aca="false">HYPERLINK("https://mncourtfraud.com/file/27-CR-21-21833.pdf","27-CR-21-21833")</f>
        <v>27-CR-21-21833</v>
      </c>
      <c r="C271" s="1" t="n">
        <v>5</v>
      </c>
      <c r="D271" s="2" t="s">
        <v>267</v>
      </c>
      <c r="E271" s="8" t="n">
        <v>44837</v>
      </c>
      <c r="F271" s="2" t="s">
        <v>17</v>
      </c>
      <c r="G271" s="7" t="str">
        <f aca="false">HYPERLINK("https://mncourtfraud.com/file/MCRO_27-CR-21-21833_Returned Mail_2022-10-03_20251126165252.pdf","MCRO_27-CR-21-21833_Returned Mail_2022-10-03_20251126165252.pdf")</f>
        <v>MCRO_27-CR-21-21833_Returned Mail_2022-10-03_20251126165252.pdf</v>
      </c>
      <c r="H271" s="2" t="s">
        <v>1362</v>
      </c>
      <c r="I271" s="9" t="s">
        <v>2750</v>
      </c>
      <c r="J271" s="2" t="s">
        <v>2729</v>
      </c>
    </row>
    <row r="272" customFormat="false" ht="18.7" hidden="false" customHeight="true" outlineLevel="0" collapsed="false">
      <c r="A272" s="1" t="n">
        <v>271</v>
      </c>
      <c r="B272" s="7" t="str">
        <f aca="false">HYPERLINK("https://mncourtfraud.com/file/27-CR-21-22737.pdf","27-CR-21-22737")</f>
        <v>27-CR-21-22737</v>
      </c>
      <c r="C272" s="1" t="n">
        <v>5</v>
      </c>
      <c r="D272" s="2" t="s">
        <v>267</v>
      </c>
      <c r="E272" s="8" t="n">
        <v>44873</v>
      </c>
      <c r="F272" s="2" t="s">
        <v>15</v>
      </c>
      <c r="G272" s="7" t="str">
        <f aca="false">HYPERLINK("https://mncourtfraud.com/file/MCRO_27-CR-21-22737_Order-Evaluation for Competency to Proceed (Rule 20.01)_2022-11-08_20251126165353.pdf","MCRO_27-CR-21-22737_Order-Evaluation for Competency to Proceed (Rule 20.01)_2022-11-08_20251126165353.pdf")</f>
        <v>MCRO_27-CR-21-22737_Order-Evaluation for Competency to Proceed (Rule 20.01)_2022-11-08_20251126165353.pdf</v>
      </c>
      <c r="H272" s="2" t="s">
        <v>1362</v>
      </c>
      <c r="I272" s="9" t="s">
        <v>2751</v>
      </c>
      <c r="J272" s="2" t="s">
        <v>2711</v>
      </c>
    </row>
    <row r="273" customFormat="false" ht="18.7" hidden="false" customHeight="true" outlineLevel="0" collapsed="false">
      <c r="A273" s="1" t="n">
        <v>272</v>
      </c>
      <c r="B273" s="7" t="str">
        <f aca="false">HYPERLINK("https://mncourtfraud.com/file/27-CR-21-22737.pdf","27-CR-21-22737")</f>
        <v>27-CR-21-22737</v>
      </c>
      <c r="C273" s="1" t="n">
        <v>5</v>
      </c>
      <c r="D273" s="2" t="s">
        <v>267</v>
      </c>
      <c r="E273" s="8" t="n">
        <v>45023</v>
      </c>
      <c r="F273" s="2" t="s">
        <v>15</v>
      </c>
      <c r="G273" s="7" t="str">
        <f aca="false">HYPERLINK("https://mncourtfraud.com/file/MCRO_27-CR-21-22737_Order-Evaluation for Competency to Proceed (Rule 20.01)_2023-04-07_20251126165404.pdf","MCRO_27-CR-21-22737_Order-Evaluation for Competency to Proceed (Rule 20.01)_2023-04-07_20251126165404.pdf")</f>
        <v>MCRO_27-CR-21-22737_Order-Evaluation for Competency to Proceed (Rule 20.01)_2023-04-07_20251126165404.pdf</v>
      </c>
      <c r="H273" s="2" t="s">
        <v>1362</v>
      </c>
      <c r="I273" s="9" t="s">
        <v>2752</v>
      </c>
      <c r="J273" s="2" t="s">
        <v>2753</v>
      </c>
    </row>
    <row r="274" customFormat="false" ht="18.7" hidden="false" customHeight="true" outlineLevel="0" collapsed="false">
      <c r="A274" s="1" t="n">
        <v>273</v>
      </c>
      <c r="B274" s="7" t="str">
        <f aca="false">HYPERLINK("https://mncourtfraud.com/file/27-CR-21-22737.pdf","27-CR-21-22737")</f>
        <v>27-CR-21-22737</v>
      </c>
      <c r="C274" s="1" t="n">
        <v>5</v>
      </c>
      <c r="D274" s="2" t="s">
        <v>267</v>
      </c>
      <c r="E274" s="8" t="n">
        <v>45194</v>
      </c>
      <c r="F274" s="2" t="s">
        <v>15</v>
      </c>
      <c r="G274" s="7" t="str">
        <f aca="false">HYPERLINK("https://mncourtfraud.com/file/MCRO_27-CR-21-22737_Order-Evaluation for Competency to Proceed (Rule 20.01)_2023-09-25_20251126165414.pdf","MCRO_27-CR-21-22737_Order-Evaluation for Competency to Proceed (Rule 20.01)_2023-09-25_20251126165414.pdf")</f>
        <v>MCRO_27-CR-21-22737_Order-Evaluation for Competency to Proceed (Rule 20.01)_2023-09-25_20251126165414.pdf</v>
      </c>
      <c r="H274" s="2" t="s">
        <v>1362</v>
      </c>
      <c r="I274" s="9" t="s">
        <v>2754</v>
      </c>
      <c r="J274" s="2" t="s">
        <v>2755</v>
      </c>
    </row>
    <row r="275" customFormat="false" ht="18.7" hidden="false" customHeight="true" outlineLevel="0" collapsed="false">
      <c r="A275" s="1" t="n">
        <v>274</v>
      </c>
      <c r="B275" s="7" t="str">
        <f aca="false">HYPERLINK("https://mncourtfraud.com/file/27-CR-21-22737.pdf","27-CR-21-22737")</f>
        <v>27-CR-21-22737</v>
      </c>
      <c r="C275" s="1" t="n">
        <v>5</v>
      </c>
      <c r="D275" s="2" t="s">
        <v>267</v>
      </c>
      <c r="E275" s="8" t="n">
        <v>44733</v>
      </c>
      <c r="F275" s="2" t="s">
        <v>17</v>
      </c>
      <c r="G275" s="7" t="str">
        <f aca="false">HYPERLINK("https://mncourtfraud.com/file/MCRO_27-CR-21-22737_Returned Mail_2022-06-21_20251126165440.pdf","MCRO_27-CR-21-22737_Returned Mail_2022-06-21_20251126165440.pdf")</f>
        <v>MCRO_27-CR-21-22737_Returned Mail_2022-06-21_20251126165440.pdf</v>
      </c>
      <c r="H275" s="2" t="s">
        <v>1362</v>
      </c>
      <c r="I275" s="9" t="s">
        <v>2756</v>
      </c>
      <c r="J275" s="2" t="s">
        <v>2757</v>
      </c>
    </row>
    <row r="276" customFormat="false" ht="18.7" hidden="false" customHeight="true" outlineLevel="0" collapsed="false">
      <c r="A276" s="1" t="n">
        <v>275</v>
      </c>
      <c r="B276" s="7" t="str">
        <f aca="false">HYPERLINK("https://mncourtfraud.com/file/27-CR-21-22737.pdf","27-CR-21-22737")</f>
        <v>27-CR-21-22737</v>
      </c>
      <c r="C276" s="1" t="n">
        <v>5</v>
      </c>
      <c r="D276" s="2" t="s">
        <v>267</v>
      </c>
      <c r="E276" s="8" t="n">
        <v>44837</v>
      </c>
      <c r="F276" s="2" t="s">
        <v>17</v>
      </c>
      <c r="G276" s="7" t="str">
        <f aca="false">HYPERLINK("https://mncourtfraud.com/file/MCRO_27-CR-21-22737_Returned Mail_2022-10-03_20251126165429.pdf","MCRO_27-CR-21-22737_Returned Mail_2022-10-03_20251126165429.pdf")</f>
        <v>MCRO_27-CR-21-22737_Returned Mail_2022-10-03_20251126165429.pdf</v>
      </c>
      <c r="H276" s="2" t="s">
        <v>1362</v>
      </c>
      <c r="I276" s="9" t="s">
        <v>2758</v>
      </c>
      <c r="J276" s="2" t="s">
        <v>2729</v>
      </c>
    </row>
    <row r="277" customFormat="false" ht="18.7" hidden="false" customHeight="true" outlineLevel="0" collapsed="false">
      <c r="A277" s="1" t="n">
        <v>276</v>
      </c>
      <c r="B277" s="7" t="str">
        <f aca="false">HYPERLINK("https://mncourtfraud.com/file/27-CR-21-23724.pdf","27-CR-21-23724")</f>
        <v>27-CR-21-23724</v>
      </c>
      <c r="C277" s="1" t="n">
        <v>1</v>
      </c>
      <c r="D277" s="2" t="s">
        <v>12</v>
      </c>
      <c r="E277" s="8" t="n">
        <v>45048</v>
      </c>
      <c r="F277" s="2" t="s">
        <v>80</v>
      </c>
      <c r="G277" s="7" t="str">
        <f aca="false">HYPERLINK("https://mncourtfraud.com/file/MCRO_27-CR-21-23724_Finding of Incompetency and Order_2023-05-02_20251126184009.pdf","MCRO_27-CR-21-23724_Finding of Incompetency and Order_2023-05-02_20251126184009.pdf")</f>
        <v>MCRO_27-CR-21-23724_Finding of Incompetency and Order_2023-05-02_20251126184009.pdf</v>
      </c>
      <c r="H277" s="2" t="s">
        <v>1492</v>
      </c>
      <c r="I277" s="9" t="s">
        <v>2385</v>
      </c>
      <c r="J277" s="2" t="s">
        <v>2386</v>
      </c>
      <c r="K277" s="2" t="s">
        <v>1496</v>
      </c>
      <c r="L277" s="9" t="s">
        <v>2387</v>
      </c>
      <c r="M277" s="2" t="s">
        <v>2388</v>
      </c>
      <c r="N277" s="2" t="s">
        <v>1362</v>
      </c>
      <c r="O277" s="9" t="s">
        <v>2759</v>
      </c>
      <c r="P277" s="2" t="s">
        <v>2642</v>
      </c>
    </row>
    <row r="278" customFormat="false" ht="18.7" hidden="false" customHeight="true" outlineLevel="0" collapsed="false">
      <c r="A278" s="1" t="n">
        <v>277</v>
      </c>
      <c r="B278" s="7" t="str">
        <f aca="false">HYPERLINK("https://mncourtfraud.com/file/27-CR-21-23724.pdf","27-CR-21-23724")</f>
        <v>27-CR-21-23724</v>
      </c>
      <c r="C278" s="1" t="n">
        <v>1</v>
      </c>
      <c r="D278" s="2" t="s">
        <v>12</v>
      </c>
      <c r="E278" s="8" t="n">
        <v>44593</v>
      </c>
      <c r="F278" s="2" t="s">
        <v>19</v>
      </c>
      <c r="G278" s="7" t="str">
        <f aca="false">HYPERLINK("https://mncourtfraud.com/file/MCRO_27-CR-21-23724_Findings and Order_2022-02-01_20251126184020.pdf","MCRO_27-CR-21-23724_Findings and Order_2022-02-01_20251126184020.pdf")</f>
        <v>MCRO_27-CR-21-23724_Findings and Order_2022-02-01_20251126184020.pdf</v>
      </c>
      <c r="H278" s="2" t="s">
        <v>1368</v>
      </c>
      <c r="I278" s="9" t="s">
        <v>2288</v>
      </c>
      <c r="J278" s="2" t="s">
        <v>2289</v>
      </c>
      <c r="K278" s="2" t="s">
        <v>1362</v>
      </c>
      <c r="L278" s="9" t="s">
        <v>2760</v>
      </c>
      <c r="M278" s="2" t="s">
        <v>2761</v>
      </c>
    </row>
    <row r="279" customFormat="false" ht="18.7" hidden="false" customHeight="true" outlineLevel="0" collapsed="false">
      <c r="A279" s="1" t="n">
        <v>278</v>
      </c>
      <c r="B279" s="7" t="str">
        <f aca="false">HYPERLINK("https://mncourtfraud.com/file/27-CR-21-23724.pdf","27-CR-21-23724")</f>
        <v>27-CR-21-23724</v>
      </c>
      <c r="C279" s="1" t="n">
        <v>1</v>
      </c>
      <c r="D279" s="2" t="s">
        <v>12</v>
      </c>
      <c r="E279" s="8" t="n">
        <v>45093</v>
      </c>
      <c r="F279" s="2" t="s">
        <v>82</v>
      </c>
      <c r="G279" s="7" t="str">
        <f aca="false">HYPERLINK("https://mncourtfraud.com/file/MCRO_27-CR-21-23724_Notice of Case Reassignment_2023-06-16_20251126184032.pdf","MCRO_27-CR-21-23724_Notice of Case Reassignment_2023-06-16_20251126184032.pdf")</f>
        <v>MCRO_27-CR-21-23724_Notice of Case Reassignment_2023-06-16_20251126184032.pdf</v>
      </c>
      <c r="H279" s="2" t="s">
        <v>1362</v>
      </c>
      <c r="I279" s="9" t="s">
        <v>2762</v>
      </c>
      <c r="J279" s="2" t="s">
        <v>2596</v>
      </c>
    </row>
    <row r="280" customFormat="false" ht="18.7" hidden="false" customHeight="true" outlineLevel="0" collapsed="false">
      <c r="A280" s="1" t="n">
        <v>279</v>
      </c>
      <c r="B280" s="7" t="str">
        <f aca="false">HYPERLINK("https://mncourtfraud.com/file/27-CR-21-23724.pdf","27-CR-21-23724")</f>
        <v>27-CR-21-23724</v>
      </c>
      <c r="C280" s="1" t="n">
        <v>1</v>
      </c>
      <c r="D280" s="2" t="s">
        <v>12</v>
      </c>
      <c r="E280" s="8" t="n">
        <v>45412</v>
      </c>
      <c r="F280" s="2" t="s">
        <v>24</v>
      </c>
      <c r="G280" s="7" t="str">
        <f aca="false">HYPERLINK("https://mncourtfraud.com/file/MCRO_27-CR-21-23724_Order for Conditional Release_2024-04-30_20251126184050.pdf","MCRO_27-CR-21-23724_Order for Conditional Release_2024-04-30_20251126184050.pdf")</f>
        <v>MCRO_27-CR-21-23724_Order for Conditional Release_2024-04-30_20251126184050.pdf</v>
      </c>
      <c r="H280" s="2" t="s">
        <v>1362</v>
      </c>
      <c r="I280" s="9" t="s">
        <v>2763</v>
      </c>
      <c r="J280" s="2" t="s">
        <v>2400</v>
      </c>
    </row>
    <row r="281" customFormat="false" ht="18.7" hidden="false" customHeight="true" outlineLevel="0" collapsed="false">
      <c r="A281" s="1" t="n">
        <v>280</v>
      </c>
      <c r="B281" s="7" t="str">
        <f aca="false">HYPERLINK("https://mncourtfraud.com/file/27-CR-21-23724.pdf","27-CR-21-23724")</f>
        <v>27-CR-21-23724</v>
      </c>
      <c r="C281" s="1" t="n">
        <v>1</v>
      </c>
      <c r="D281" s="2" t="s">
        <v>12</v>
      </c>
      <c r="E281" s="8" t="n">
        <v>44558</v>
      </c>
      <c r="F281" s="2" t="s">
        <v>15</v>
      </c>
      <c r="G281" s="7" t="str">
        <f aca="false">HYPERLINK("https://mncourtfraud.com/file/MCRO_27-CR-21-23724_Order-Evaluation for Competency to Proceed (Rule 20.01)_2021-12-28_20251126184113.pdf","MCRO_27-CR-21-23724_Order-Evaluation for Competency to Proceed (Rule 20.01)_2021-12-28_20251126184113.pdf")</f>
        <v>MCRO_27-CR-21-23724_Order-Evaluation for Competency to Proceed (Rule 20.01)_2021-12-28_20251126184113.pdf</v>
      </c>
      <c r="H281" s="2" t="s">
        <v>1362</v>
      </c>
      <c r="I281" s="9" t="s">
        <v>2764</v>
      </c>
      <c r="J281" s="2" t="s">
        <v>2765</v>
      </c>
    </row>
    <row r="282" customFormat="false" ht="18.7" hidden="false" customHeight="true" outlineLevel="0" collapsed="false">
      <c r="A282" s="1" t="n">
        <v>281</v>
      </c>
      <c r="B282" s="7" t="str">
        <f aca="false">HYPERLINK("https://mncourtfraud.com/file/27-CR-21-23724.pdf","27-CR-21-23724")</f>
        <v>27-CR-21-23724</v>
      </c>
      <c r="C282" s="1" t="n">
        <v>1</v>
      </c>
      <c r="D282" s="2" t="s">
        <v>12</v>
      </c>
      <c r="E282" s="8" t="n">
        <v>44692</v>
      </c>
      <c r="F282" s="2" t="s">
        <v>15</v>
      </c>
      <c r="G282" s="7" t="str">
        <f aca="false">HYPERLINK("https://mncourtfraud.com/file/MCRO_27-CR-21-23724_Order-Evaluation for Competency to Proceed (Rule 20.01)_2022-05-11_20251126184121.pdf","MCRO_27-CR-21-23724_Order-Evaluation for Competency to Proceed (Rule 20.01)_2022-05-11_20251126184121.pdf")</f>
        <v>MCRO_27-CR-21-23724_Order-Evaluation for Competency to Proceed (Rule 20.01)_2022-05-11_20251126184121.pdf</v>
      </c>
      <c r="H282" s="2" t="s">
        <v>1362</v>
      </c>
      <c r="I282" s="9" t="s">
        <v>2766</v>
      </c>
      <c r="J282" s="2" t="s">
        <v>2606</v>
      </c>
    </row>
    <row r="283" customFormat="false" ht="18.7" hidden="false" customHeight="true" outlineLevel="0" collapsed="false">
      <c r="A283" s="1" t="n">
        <v>282</v>
      </c>
      <c r="B283" s="7" t="str">
        <f aca="false">HYPERLINK("https://mncourtfraud.com/file/27-CR-21-23724.pdf","27-CR-21-23724")</f>
        <v>27-CR-21-23724</v>
      </c>
      <c r="C283" s="1" t="n">
        <v>1</v>
      </c>
      <c r="D283" s="2" t="s">
        <v>12</v>
      </c>
      <c r="E283" s="8" t="n">
        <v>44895</v>
      </c>
      <c r="F283" s="2" t="s">
        <v>15</v>
      </c>
      <c r="G283" s="7" t="str">
        <f aca="false">HYPERLINK("https://mncourtfraud.com/file/MCRO_27-CR-21-23724_Order-Evaluation for Competency to Proceed (Rule 20.01)_2022-11-30_20251126184131.pdf","MCRO_27-CR-21-23724_Order-Evaluation for Competency to Proceed (Rule 20.01)_2022-11-30_20251126184131.pdf")</f>
        <v>MCRO_27-CR-21-23724_Order-Evaluation for Competency to Proceed (Rule 20.01)_2022-11-30_20251126184131.pdf</v>
      </c>
      <c r="H283" s="2" t="s">
        <v>1362</v>
      </c>
      <c r="I283" s="9" t="s">
        <v>2767</v>
      </c>
      <c r="J283" s="2" t="s">
        <v>2469</v>
      </c>
    </row>
    <row r="284" customFormat="false" ht="18.7" hidden="false" customHeight="true" outlineLevel="0" collapsed="false">
      <c r="A284" s="1" t="n">
        <v>283</v>
      </c>
      <c r="B284" s="7" t="str">
        <f aca="false">HYPERLINK("https://mncourtfraud.com/file/27-CR-21-23724.pdf","27-CR-21-23724")</f>
        <v>27-CR-21-23724</v>
      </c>
      <c r="C284" s="1" t="n">
        <v>1</v>
      </c>
      <c r="D284" s="2" t="s">
        <v>12</v>
      </c>
      <c r="E284" s="8" t="n">
        <v>45160</v>
      </c>
      <c r="F284" s="2" t="s">
        <v>15</v>
      </c>
      <c r="G284" s="7" t="str">
        <f aca="false">HYPERLINK("https://mncourtfraud.com/file/MCRO_27-CR-21-23724_Order-Evaluation for Competency to Proceed (Rule 20.01)_2023-08-22_20251126184139.pdf","MCRO_27-CR-21-23724_Order-Evaluation for Competency to Proceed (Rule 20.01)_2023-08-22_20251126184139.pdf")</f>
        <v>MCRO_27-CR-21-23724_Order-Evaluation for Competency to Proceed (Rule 20.01)_2023-08-22_20251126184139.pdf</v>
      </c>
      <c r="H284" s="2" t="s">
        <v>1519</v>
      </c>
      <c r="I284" s="9" t="s">
        <v>2410</v>
      </c>
      <c r="J284" s="2" t="s">
        <v>2411</v>
      </c>
      <c r="K284" s="2" t="s">
        <v>1362</v>
      </c>
      <c r="L284" s="9" t="s">
        <v>2768</v>
      </c>
      <c r="M284" s="2" t="s">
        <v>2769</v>
      </c>
    </row>
    <row r="285" customFormat="false" ht="18.7" hidden="false" customHeight="true" outlineLevel="0" collapsed="false">
      <c r="A285" s="1" t="n">
        <v>284</v>
      </c>
      <c r="B285" s="7" t="str">
        <f aca="false">HYPERLINK("https://mncourtfraud.com/file/27-CR-21-23724.pdf","27-CR-21-23724")</f>
        <v>27-CR-21-23724</v>
      </c>
      <c r="C285" s="1" t="n">
        <v>1</v>
      </c>
      <c r="D285" s="2" t="s">
        <v>12</v>
      </c>
      <c r="E285" s="8" t="n">
        <v>45412</v>
      </c>
      <c r="F285" s="2" t="s">
        <v>15</v>
      </c>
      <c r="G285" s="7" t="str">
        <f aca="false">HYPERLINK("https://mncourtfraud.com/file/MCRO_27-CR-21-23724_Order-Evaluation for Competency to Proceed (Rule 20.01)_2024-04-30_20251126184103.pdf","MCRO_27-CR-21-23724_Order-Evaluation for Competency to Proceed (Rule 20.01)_2024-04-30_20251126184103.pdf")</f>
        <v>MCRO_27-CR-21-23724_Order-Evaluation for Competency to Proceed (Rule 20.01)_2024-04-30_20251126184103.pdf</v>
      </c>
      <c r="H285" s="2" t="s">
        <v>1362</v>
      </c>
      <c r="I285" s="9" t="s">
        <v>2770</v>
      </c>
      <c r="J285" s="2" t="s">
        <v>2771</v>
      </c>
    </row>
    <row r="286" customFormat="false" ht="18.7" hidden="false" customHeight="true" outlineLevel="0" collapsed="false">
      <c r="A286" s="1" t="n">
        <v>285</v>
      </c>
      <c r="B286" s="7" t="str">
        <f aca="false">HYPERLINK("https://mncourtfraud.com/file/27-CR-21-23724.pdf","27-CR-21-23724")</f>
        <v>27-CR-21-23724</v>
      </c>
      <c r="C286" s="1" t="n">
        <v>1</v>
      </c>
      <c r="D286" s="2" t="s">
        <v>12</v>
      </c>
      <c r="E286" s="8" t="n">
        <v>44999</v>
      </c>
      <c r="F286" s="2" t="s">
        <v>17</v>
      </c>
      <c r="G286" s="7" t="str">
        <f aca="false">HYPERLINK("https://mncourtfraud.com/file/MCRO_27-CR-21-23724_Returned Mail_2023-03-14_20251126184153.pdf","MCRO_27-CR-21-23724_Returned Mail_2023-03-14_20251126184153.pdf")</f>
        <v>MCRO_27-CR-21-23724_Returned Mail_2023-03-14_20251126184153.pdf</v>
      </c>
      <c r="H286" s="2" t="s">
        <v>1362</v>
      </c>
      <c r="I286" s="9" t="s">
        <v>2772</v>
      </c>
      <c r="J286" s="2" t="s">
        <v>2773</v>
      </c>
    </row>
    <row r="287" customFormat="false" ht="18.7" hidden="false" customHeight="true" outlineLevel="0" collapsed="false">
      <c r="A287" s="1" t="n">
        <v>286</v>
      </c>
      <c r="B287" s="7" t="str">
        <f aca="false">HYPERLINK("https://mncourtfraud.com/file/27-CR-21-2803.pdf","27-CR-21-2803")</f>
        <v>27-CR-21-2803</v>
      </c>
      <c r="C287" s="1" t="n">
        <v>1</v>
      </c>
      <c r="D287" s="2" t="s">
        <v>12</v>
      </c>
      <c r="E287" s="8" t="n">
        <v>44439</v>
      </c>
      <c r="F287" s="2" t="s">
        <v>19</v>
      </c>
      <c r="G287" s="7" t="str">
        <f aca="false">HYPERLINK("https://mncourtfraud.com/file/MCRO_27-CR-21-2803_Findings and Order_2021-08-31_20251126184229.pdf","MCRO_27-CR-21-2803_Findings and Order_2021-08-31_20251126184229.pdf")</f>
        <v>MCRO_27-CR-21-2803_Findings and Order_2021-08-31_20251126184229.pdf</v>
      </c>
      <c r="H287" s="2" t="s">
        <v>1368</v>
      </c>
      <c r="I287" s="9" t="s">
        <v>2284</v>
      </c>
      <c r="J287" s="2" t="s">
        <v>2285</v>
      </c>
      <c r="K287" s="2" t="s">
        <v>1362</v>
      </c>
      <c r="L287" s="9" t="s">
        <v>2774</v>
      </c>
      <c r="M287" s="2" t="s">
        <v>2775</v>
      </c>
    </row>
    <row r="288" customFormat="false" ht="18.7" hidden="false" customHeight="true" outlineLevel="0" collapsed="false">
      <c r="A288" s="1" t="n">
        <v>287</v>
      </c>
      <c r="B288" s="7" t="str">
        <f aca="false">HYPERLINK("https://mncourtfraud.com/file/27-CR-21-2803.pdf","27-CR-21-2803")</f>
        <v>27-CR-21-2803</v>
      </c>
      <c r="C288" s="1" t="n">
        <v>1</v>
      </c>
      <c r="D288" s="2" t="s">
        <v>12</v>
      </c>
      <c r="E288" s="8" t="n">
        <v>44593</v>
      </c>
      <c r="F288" s="2" t="s">
        <v>19</v>
      </c>
      <c r="G288" s="7" t="str">
        <f aca="false">HYPERLINK("https://mncourtfraud.com/file/MCRO_27-CR-21-2803_Findings and Order_2022-02-01_20251126184218.pdf","MCRO_27-CR-21-2803_Findings and Order_2022-02-01_20251126184218.pdf")</f>
        <v>MCRO_27-CR-21-2803_Findings and Order_2022-02-01_20251126184218.pdf</v>
      </c>
      <c r="H288" s="2" t="s">
        <v>1368</v>
      </c>
      <c r="I288" s="9" t="s">
        <v>2288</v>
      </c>
      <c r="J288" s="2" t="s">
        <v>2289</v>
      </c>
      <c r="K288" s="2" t="s">
        <v>1362</v>
      </c>
      <c r="L288" s="9" t="s">
        <v>2776</v>
      </c>
      <c r="M288" s="2" t="s">
        <v>2291</v>
      </c>
    </row>
    <row r="289" customFormat="false" ht="18.7" hidden="false" customHeight="true" outlineLevel="0" collapsed="false">
      <c r="A289" s="1" t="n">
        <v>288</v>
      </c>
      <c r="B289" s="7" t="str">
        <f aca="false">HYPERLINK("https://mncourtfraud.com/file/27-CR-21-2803.pdf","27-CR-21-2803")</f>
        <v>27-CR-21-2803</v>
      </c>
      <c r="C289" s="1" t="n">
        <v>1</v>
      </c>
      <c r="D289" s="2" t="s">
        <v>12</v>
      </c>
      <c r="E289" s="8" t="n">
        <v>44439</v>
      </c>
      <c r="F289" s="2" t="s">
        <v>134</v>
      </c>
      <c r="G289" s="7" t="str">
        <f aca="false">HYPERLINK("https://mncourtfraud.com/file/MCRO_27-CR-21-2803_Notice of Intent to Prosecute_2021-08-31_20251126184242.pdf","MCRO_27-CR-21-2803_Notice of Intent to Prosecute_2021-08-31_20251126184242.pdf")</f>
        <v>MCRO_27-CR-21-2803_Notice of Intent to Prosecute_2021-08-31_20251126184242.pdf</v>
      </c>
      <c r="H289" s="2" t="s">
        <v>1362</v>
      </c>
      <c r="I289" s="9" t="s">
        <v>2777</v>
      </c>
      <c r="J289" s="2" t="s">
        <v>2778</v>
      </c>
    </row>
    <row r="290" customFormat="false" ht="18.7" hidden="false" customHeight="true" outlineLevel="0" collapsed="false">
      <c r="A290" s="1" t="n">
        <v>289</v>
      </c>
      <c r="B290" s="7" t="str">
        <f aca="false">HYPERLINK("https://mncourtfraud.com/file/27-CR-21-2803.pdf","27-CR-21-2803")</f>
        <v>27-CR-21-2803</v>
      </c>
      <c r="C290" s="1" t="n">
        <v>1</v>
      </c>
      <c r="D290" s="2" t="s">
        <v>12</v>
      </c>
      <c r="E290" s="8" t="n">
        <v>44460</v>
      </c>
      <c r="F290" s="2" t="s">
        <v>24</v>
      </c>
      <c r="G290" s="7" t="str">
        <f aca="false">HYPERLINK("https://mncourtfraud.com/file/MCRO_27-CR-21-2803_Order for Conditional Release_2021-09-21_20251126184257.pdf","MCRO_27-CR-21-2803_Order for Conditional Release_2021-09-21_20251126184257.pdf")</f>
        <v>MCRO_27-CR-21-2803_Order for Conditional Release_2021-09-21_20251126184257.pdf</v>
      </c>
      <c r="H290" s="2" t="s">
        <v>1362</v>
      </c>
      <c r="I290" s="9" t="s">
        <v>2779</v>
      </c>
      <c r="J290" s="2" t="s">
        <v>2293</v>
      </c>
    </row>
    <row r="291" customFormat="false" ht="18.7" hidden="false" customHeight="true" outlineLevel="0" collapsed="false">
      <c r="A291" s="1" t="n">
        <v>290</v>
      </c>
      <c r="B291" s="7" t="str">
        <f aca="false">HYPERLINK("https://mncourtfraud.com/file/27-CR-21-2803.pdf","27-CR-21-2803")</f>
        <v>27-CR-21-2803</v>
      </c>
      <c r="C291" s="1" t="n">
        <v>1</v>
      </c>
      <c r="D291" s="2" t="s">
        <v>12</v>
      </c>
      <c r="E291" s="8" t="n">
        <v>44468</v>
      </c>
      <c r="F291" s="2" t="s">
        <v>24</v>
      </c>
      <c r="G291" s="7" t="str">
        <f aca="false">HYPERLINK("https://mncourtfraud.com/file/MCRO_27-CR-21-2803_Order for Conditional Release_2021-09-29_20251126184253.pdf","MCRO_27-CR-21-2803_Order for Conditional Release_2021-09-29_20251126184253.pdf")</f>
        <v>MCRO_27-CR-21-2803_Order for Conditional Release_2021-09-29_20251126184253.pdf</v>
      </c>
      <c r="H291" s="2" t="s">
        <v>1362</v>
      </c>
      <c r="I291" s="9" t="s">
        <v>2780</v>
      </c>
      <c r="J291" s="2" t="s">
        <v>2648</v>
      </c>
    </row>
    <row r="292" customFormat="false" ht="18.7" hidden="false" customHeight="true" outlineLevel="0" collapsed="false">
      <c r="A292" s="1" t="n">
        <v>291</v>
      </c>
      <c r="B292" s="7" t="str">
        <f aca="false">HYPERLINK("https://mncourtfraud.com/file/27-CR-21-2803.pdf","27-CR-21-2803")</f>
        <v>27-CR-21-2803</v>
      </c>
      <c r="C292" s="1" t="n">
        <v>1</v>
      </c>
      <c r="D292" s="2" t="s">
        <v>12</v>
      </c>
      <c r="E292" s="8" t="n">
        <v>44396</v>
      </c>
      <c r="F292" s="2" t="s">
        <v>15</v>
      </c>
      <c r="G292" s="7" t="str">
        <f aca="false">HYPERLINK("https://mncourtfraud.com/file/MCRO_27-CR-21-2803_Order-Evaluation for Competency to Proceed (Rule 20.01)_2021-07-19_20251126184309.pdf","MCRO_27-CR-21-2803_Order-Evaluation for Competency to Proceed (Rule 20.01)_2021-07-19_20251126184309.pdf")</f>
        <v>MCRO_27-CR-21-2803_Order-Evaluation for Competency to Proceed (Rule 20.01)_2021-07-19_20251126184309.pdf</v>
      </c>
      <c r="H292" s="2" t="s">
        <v>1362</v>
      </c>
      <c r="I292" s="9" t="s">
        <v>2781</v>
      </c>
      <c r="J292" s="2" t="s">
        <v>2782</v>
      </c>
    </row>
    <row r="293" customFormat="false" ht="18.7" hidden="false" customHeight="true" outlineLevel="0" collapsed="false">
      <c r="A293" s="1" t="n">
        <v>292</v>
      </c>
      <c r="B293" s="7" t="str">
        <f aca="false">HYPERLINK("https://mncourtfraud.com/file/27-CR-21-2803.pdf","27-CR-21-2803")</f>
        <v>27-CR-21-2803</v>
      </c>
      <c r="C293" s="1" t="n">
        <v>1</v>
      </c>
      <c r="D293" s="2" t="s">
        <v>12</v>
      </c>
      <c r="E293" s="8" t="n">
        <v>44543</v>
      </c>
      <c r="F293" s="2" t="s">
        <v>15</v>
      </c>
      <c r="G293" s="7" t="str">
        <f aca="false">HYPERLINK("https://mncourtfraud.com/file/MCRO_27-CR-21-2803_Order-Evaluation for Competency to Proceed (Rule 20.01)_2021-12-13_20251126184318.pdf","MCRO_27-CR-21-2803_Order-Evaluation for Competency to Proceed (Rule 20.01)_2021-12-13_20251126184318.pdf")</f>
        <v>MCRO_27-CR-21-2803_Order-Evaluation for Competency to Proceed (Rule 20.01)_2021-12-13_20251126184318.pdf</v>
      </c>
      <c r="H293" s="2" t="s">
        <v>1362</v>
      </c>
      <c r="I293" s="9" t="s">
        <v>2783</v>
      </c>
      <c r="J293" s="2" t="s">
        <v>2784</v>
      </c>
    </row>
    <row r="294" customFormat="false" ht="18.7" hidden="false" customHeight="true" outlineLevel="0" collapsed="false">
      <c r="A294" s="1" t="n">
        <v>293</v>
      </c>
      <c r="B294" s="7" t="str">
        <f aca="false">HYPERLINK("https://mncourtfraud.com/file/27-CR-21-2803.pdf","27-CR-21-2803")</f>
        <v>27-CR-21-2803</v>
      </c>
      <c r="C294" s="1" t="n">
        <v>1</v>
      </c>
      <c r="D294" s="2" t="s">
        <v>12</v>
      </c>
      <c r="E294" s="8" t="n">
        <v>44558</v>
      </c>
      <c r="F294" s="2" t="s">
        <v>15</v>
      </c>
      <c r="G294" s="7" t="str">
        <f aca="false">HYPERLINK("https://mncourtfraud.com/file/MCRO_27-CR-21-2803_Order-Evaluation for Competency to Proceed (Rule 20.01)_2021-12-28_20251126184326.pdf","MCRO_27-CR-21-2803_Order-Evaluation for Competency to Proceed (Rule 20.01)_2021-12-28_20251126184326.pdf")</f>
        <v>MCRO_27-CR-21-2803_Order-Evaluation for Competency to Proceed (Rule 20.01)_2021-12-28_20251126184326.pdf</v>
      </c>
      <c r="H294" s="2" t="s">
        <v>1362</v>
      </c>
      <c r="I294" s="9" t="s">
        <v>2785</v>
      </c>
      <c r="J294" s="2" t="s">
        <v>2786</v>
      </c>
    </row>
    <row r="295" customFormat="false" ht="18.7" hidden="false" customHeight="true" outlineLevel="0" collapsed="false">
      <c r="A295" s="1" t="n">
        <v>294</v>
      </c>
      <c r="B295" s="7" t="str">
        <f aca="false">HYPERLINK("https://mncourtfraud.com/file/27-CR-21-2803.pdf","27-CR-21-2803")</f>
        <v>27-CR-21-2803</v>
      </c>
      <c r="C295" s="1" t="n">
        <v>1</v>
      </c>
      <c r="D295" s="2" t="s">
        <v>12</v>
      </c>
      <c r="E295" s="8" t="n">
        <v>44692</v>
      </c>
      <c r="F295" s="2" t="s">
        <v>15</v>
      </c>
      <c r="G295" s="7" t="str">
        <f aca="false">HYPERLINK("https://mncourtfraud.com/file/MCRO_27-CR-21-2803_Order-Evaluation for Competency to Proceed (Rule 20.01)_2022-05-11_20251126184334.pdf","MCRO_27-CR-21-2803_Order-Evaluation for Competency to Proceed (Rule 20.01)_2022-05-11_20251126184334.pdf")</f>
        <v>MCRO_27-CR-21-2803_Order-Evaluation for Competency to Proceed (Rule 20.01)_2022-05-11_20251126184334.pdf</v>
      </c>
      <c r="H295" s="2" t="s">
        <v>1362</v>
      </c>
      <c r="I295" s="9" t="s">
        <v>2787</v>
      </c>
      <c r="J295" s="2" t="s">
        <v>2788</v>
      </c>
    </row>
    <row r="296" customFormat="false" ht="18.7" hidden="false" customHeight="true" outlineLevel="0" collapsed="false">
      <c r="A296" s="1" t="n">
        <v>295</v>
      </c>
      <c r="B296" s="7" t="str">
        <f aca="false">HYPERLINK("https://mncourtfraud.com/file/27-CR-21-2803.pdf","27-CR-21-2803")</f>
        <v>27-CR-21-2803</v>
      </c>
      <c r="C296" s="1" t="n">
        <v>1</v>
      </c>
      <c r="D296" s="2" t="s">
        <v>12</v>
      </c>
      <c r="E296" s="8" t="n">
        <v>44895</v>
      </c>
      <c r="F296" s="2" t="s">
        <v>15</v>
      </c>
      <c r="G296" s="7" t="str">
        <f aca="false">HYPERLINK("https://mncourtfraud.com/file/MCRO_27-CR-21-2803_Order-Evaluation for Competency to Proceed (Rule 20.01)_2022-11-30_20251126184340.pdf","MCRO_27-CR-21-2803_Order-Evaluation for Competency to Proceed (Rule 20.01)_2022-11-30_20251126184340.pdf")</f>
        <v>MCRO_27-CR-21-2803_Order-Evaluation for Competency to Proceed (Rule 20.01)_2022-11-30_20251126184340.pdf</v>
      </c>
      <c r="H296" s="2" t="s">
        <v>1362</v>
      </c>
      <c r="I296" s="9" t="s">
        <v>2789</v>
      </c>
      <c r="J296" s="2" t="s">
        <v>2705</v>
      </c>
    </row>
    <row r="297" customFormat="false" ht="18.7" hidden="false" customHeight="true" outlineLevel="0" collapsed="false">
      <c r="A297" s="1" t="n">
        <v>296</v>
      </c>
      <c r="B297" s="7" t="str">
        <f aca="false">HYPERLINK("https://mncourtfraud.com/file/27-CR-21-4099.pdf","27-CR-21-4099")</f>
        <v>27-CR-21-4099</v>
      </c>
      <c r="C297" s="1" t="n">
        <v>1</v>
      </c>
      <c r="D297" s="2" t="s">
        <v>12</v>
      </c>
      <c r="E297" s="8" t="n">
        <v>44439</v>
      </c>
      <c r="F297" s="2" t="s">
        <v>19</v>
      </c>
      <c r="G297" s="7" t="str">
        <f aca="false">HYPERLINK("https://mncourtfraud.com/file/MCRO_27-CR-21-4099_Findings and Order_2021-08-31_20251126184414.pdf","MCRO_27-CR-21-4099_Findings and Order_2021-08-31_20251126184414.pdf")</f>
        <v>MCRO_27-CR-21-4099_Findings and Order_2021-08-31_20251126184414.pdf</v>
      </c>
      <c r="H297" s="2" t="s">
        <v>1368</v>
      </c>
      <c r="I297" s="9" t="s">
        <v>2284</v>
      </c>
      <c r="J297" s="2" t="s">
        <v>2285</v>
      </c>
      <c r="K297" s="2" t="s">
        <v>1362</v>
      </c>
      <c r="L297" s="9" t="s">
        <v>2790</v>
      </c>
      <c r="M297" s="2" t="s">
        <v>2791</v>
      </c>
    </row>
    <row r="298" customFormat="false" ht="18.7" hidden="false" customHeight="true" outlineLevel="0" collapsed="false">
      <c r="A298" s="1" t="n">
        <v>297</v>
      </c>
      <c r="B298" s="7" t="str">
        <f aca="false">HYPERLINK("https://mncourtfraud.com/file/27-CR-21-4099.pdf","27-CR-21-4099")</f>
        <v>27-CR-21-4099</v>
      </c>
      <c r="C298" s="1" t="n">
        <v>1</v>
      </c>
      <c r="D298" s="2" t="s">
        <v>12</v>
      </c>
      <c r="E298" s="8" t="n">
        <v>44593</v>
      </c>
      <c r="F298" s="2" t="s">
        <v>19</v>
      </c>
      <c r="G298" s="7" t="str">
        <f aca="false">HYPERLINK("https://mncourtfraud.com/file/MCRO_27-CR-21-4099_Findings and Order_2022-02-01_20251126184406.pdf","MCRO_27-CR-21-4099_Findings and Order_2022-02-01_20251126184406.pdf")</f>
        <v>MCRO_27-CR-21-4099_Findings and Order_2022-02-01_20251126184406.pdf</v>
      </c>
      <c r="H298" s="2" t="s">
        <v>1368</v>
      </c>
      <c r="I298" s="9" t="s">
        <v>2288</v>
      </c>
      <c r="J298" s="2" t="s">
        <v>2289</v>
      </c>
      <c r="K298" s="2" t="s">
        <v>1362</v>
      </c>
      <c r="L298" s="9" t="s">
        <v>2792</v>
      </c>
      <c r="M298" s="2" t="s">
        <v>2425</v>
      </c>
    </row>
    <row r="299" customFormat="false" ht="18.7" hidden="false" customHeight="true" outlineLevel="0" collapsed="false">
      <c r="A299" s="1" t="n">
        <v>298</v>
      </c>
      <c r="B299" s="7" t="str">
        <f aca="false">HYPERLINK("https://mncourtfraud.com/file/27-CR-21-4099.pdf","27-CR-21-4099")</f>
        <v>27-CR-21-4099</v>
      </c>
      <c r="C299" s="1" t="n">
        <v>1</v>
      </c>
      <c r="D299" s="2" t="s">
        <v>12</v>
      </c>
      <c r="E299" s="8" t="n">
        <v>44439</v>
      </c>
      <c r="F299" s="2" t="s">
        <v>134</v>
      </c>
      <c r="G299" s="7" t="str">
        <f aca="false">HYPERLINK("https://mncourtfraud.com/file/MCRO_27-CR-21-4099_Notice of Intent to Prosecute_2021-08-31_20251126184425.pdf","MCRO_27-CR-21-4099_Notice of Intent to Prosecute_2021-08-31_20251126184425.pdf")</f>
        <v>MCRO_27-CR-21-4099_Notice of Intent to Prosecute_2021-08-31_20251126184425.pdf</v>
      </c>
      <c r="H299" s="2" t="s">
        <v>1362</v>
      </c>
      <c r="I299" s="9" t="s">
        <v>2793</v>
      </c>
      <c r="J299" s="2" t="s">
        <v>2794</v>
      </c>
    </row>
    <row r="300" customFormat="false" ht="18.7" hidden="false" customHeight="true" outlineLevel="0" collapsed="false">
      <c r="A300" s="1" t="n">
        <v>299</v>
      </c>
      <c r="B300" s="7" t="str">
        <f aca="false">HYPERLINK("https://mncourtfraud.com/file/27-CR-21-4099.pdf","27-CR-21-4099")</f>
        <v>27-CR-21-4099</v>
      </c>
      <c r="C300" s="1" t="n">
        <v>1</v>
      </c>
      <c r="D300" s="2" t="s">
        <v>12</v>
      </c>
      <c r="E300" s="8" t="n">
        <v>44460</v>
      </c>
      <c r="F300" s="2" t="s">
        <v>24</v>
      </c>
      <c r="G300" s="7" t="str">
        <f aca="false">HYPERLINK("https://mncourtfraud.com/file/MCRO_27-CR-21-4099_Order for Conditional Release_2021-09-21_20251126184441.pdf","MCRO_27-CR-21-4099_Order for Conditional Release_2021-09-21_20251126184441.pdf")</f>
        <v>MCRO_27-CR-21-4099_Order for Conditional Release_2021-09-21_20251126184441.pdf</v>
      </c>
      <c r="H300" s="2" t="s">
        <v>1362</v>
      </c>
      <c r="I300" s="9" t="s">
        <v>2795</v>
      </c>
      <c r="J300" s="2" t="s">
        <v>2293</v>
      </c>
    </row>
    <row r="301" customFormat="false" ht="18.7" hidden="false" customHeight="true" outlineLevel="0" collapsed="false">
      <c r="A301" s="1" t="n">
        <v>300</v>
      </c>
      <c r="B301" s="7" t="str">
        <f aca="false">HYPERLINK("https://mncourtfraud.com/file/27-CR-21-4099.pdf","27-CR-21-4099")</f>
        <v>27-CR-21-4099</v>
      </c>
      <c r="C301" s="1" t="n">
        <v>1</v>
      </c>
      <c r="D301" s="2" t="s">
        <v>12</v>
      </c>
      <c r="E301" s="8" t="n">
        <v>44468</v>
      </c>
      <c r="F301" s="2" t="s">
        <v>24</v>
      </c>
      <c r="G301" s="7" t="str">
        <f aca="false">HYPERLINK("https://mncourtfraud.com/file/MCRO_27-CR-21-4099_Order for Conditional Release_2021-09-29_20251126184435.pdf","MCRO_27-CR-21-4099_Order for Conditional Release_2021-09-29_20251126184435.pdf")</f>
        <v>MCRO_27-CR-21-4099_Order for Conditional Release_2021-09-29_20251126184435.pdf</v>
      </c>
      <c r="H301" s="2" t="s">
        <v>1362</v>
      </c>
      <c r="I301" s="9" t="s">
        <v>2796</v>
      </c>
      <c r="J301" s="2" t="s">
        <v>2797</v>
      </c>
    </row>
    <row r="302" customFormat="false" ht="18.7" hidden="false" customHeight="true" outlineLevel="0" collapsed="false">
      <c r="A302" s="1" t="n">
        <v>301</v>
      </c>
      <c r="B302" s="7" t="str">
        <f aca="false">HYPERLINK("https://mncourtfraud.com/file/27-CR-21-4099.pdf","27-CR-21-4099")</f>
        <v>27-CR-21-4099</v>
      </c>
      <c r="C302" s="1" t="n">
        <v>1</v>
      </c>
      <c r="D302" s="2" t="s">
        <v>12</v>
      </c>
      <c r="E302" s="8" t="n">
        <v>44396</v>
      </c>
      <c r="F302" s="2" t="s">
        <v>15</v>
      </c>
      <c r="G302" s="7" t="str">
        <f aca="false">HYPERLINK("https://mncourtfraud.com/file/MCRO_27-CR-21-4099_Order-Evaluation for Competency to Proceed (Rule 20.01)_2021-07-19_20251126184452.pdf","MCRO_27-CR-21-4099_Order-Evaluation for Competency to Proceed (Rule 20.01)_2021-07-19_20251126184452.pdf")</f>
        <v>MCRO_27-CR-21-4099_Order-Evaluation for Competency to Proceed (Rule 20.01)_2021-07-19_20251126184452.pdf</v>
      </c>
      <c r="H302" s="2" t="s">
        <v>1362</v>
      </c>
      <c r="I302" s="9" t="s">
        <v>2798</v>
      </c>
      <c r="J302" s="2" t="s">
        <v>2799</v>
      </c>
    </row>
    <row r="303" customFormat="false" ht="18.7" hidden="false" customHeight="true" outlineLevel="0" collapsed="false">
      <c r="A303" s="1" t="n">
        <v>302</v>
      </c>
      <c r="B303" s="7" t="str">
        <f aca="false">HYPERLINK("https://mncourtfraud.com/file/27-CR-21-4099.pdf","27-CR-21-4099")</f>
        <v>27-CR-21-4099</v>
      </c>
      <c r="C303" s="1" t="n">
        <v>1</v>
      </c>
      <c r="D303" s="2" t="s">
        <v>12</v>
      </c>
      <c r="E303" s="8" t="n">
        <v>44543</v>
      </c>
      <c r="F303" s="2" t="s">
        <v>15</v>
      </c>
      <c r="G303" s="7" t="str">
        <f aca="false">HYPERLINK("https://mncourtfraud.com/file/MCRO_27-CR-21-4099_Order-Evaluation for Competency to Proceed (Rule 20.01)_2021-12-13_20251126184501.pdf","MCRO_27-CR-21-4099_Order-Evaluation for Competency to Proceed (Rule 20.01)_2021-12-13_20251126184501.pdf")</f>
        <v>MCRO_27-CR-21-4099_Order-Evaluation for Competency to Proceed (Rule 20.01)_2021-12-13_20251126184501.pdf</v>
      </c>
      <c r="H303" s="2" t="s">
        <v>1362</v>
      </c>
      <c r="I303" s="9" t="s">
        <v>2800</v>
      </c>
      <c r="J303" s="2" t="s">
        <v>2801</v>
      </c>
    </row>
    <row r="304" customFormat="false" ht="18.7" hidden="false" customHeight="true" outlineLevel="0" collapsed="false">
      <c r="A304" s="1" t="n">
        <v>303</v>
      </c>
      <c r="B304" s="7" t="str">
        <f aca="false">HYPERLINK("https://mncourtfraud.com/file/27-CR-21-4099.pdf","27-CR-21-4099")</f>
        <v>27-CR-21-4099</v>
      </c>
      <c r="C304" s="1" t="n">
        <v>1</v>
      </c>
      <c r="D304" s="2" t="s">
        <v>12</v>
      </c>
      <c r="E304" s="8" t="n">
        <v>44558</v>
      </c>
      <c r="F304" s="2" t="s">
        <v>15</v>
      </c>
      <c r="G304" s="7" t="str">
        <f aca="false">HYPERLINK("https://mncourtfraud.com/file/MCRO_27-CR-21-4099_Order-Evaluation for Competency to Proceed (Rule 20.01)_2021-12-28_20251126184509.pdf","MCRO_27-CR-21-4099_Order-Evaluation for Competency to Proceed (Rule 20.01)_2021-12-28_20251126184509.pdf")</f>
        <v>MCRO_27-CR-21-4099_Order-Evaluation for Competency to Proceed (Rule 20.01)_2021-12-28_20251126184509.pdf</v>
      </c>
      <c r="H304" s="2" t="s">
        <v>1362</v>
      </c>
      <c r="I304" s="9" t="s">
        <v>2802</v>
      </c>
      <c r="J304" s="2" t="s">
        <v>2803</v>
      </c>
    </row>
    <row r="305" customFormat="false" ht="18.7" hidden="false" customHeight="true" outlineLevel="0" collapsed="false">
      <c r="A305" s="1" t="n">
        <v>304</v>
      </c>
      <c r="B305" s="7" t="str">
        <f aca="false">HYPERLINK("https://mncourtfraud.com/file/27-CR-21-4099.pdf","27-CR-21-4099")</f>
        <v>27-CR-21-4099</v>
      </c>
      <c r="C305" s="1" t="n">
        <v>1</v>
      </c>
      <c r="D305" s="2" t="s">
        <v>12</v>
      </c>
      <c r="E305" s="8" t="n">
        <v>44692</v>
      </c>
      <c r="F305" s="2" t="s">
        <v>15</v>
      </c>
      <c r="G305" s="7" t="str">
        <f aca="false">HYPERLINK("https://mncourtfraud.com/file/MCRO_27-CR-21-4099_Order-Evaluation for Competency to Proceed (Rule 20.01)_2022-05-11_20251126184519.pdf","MCRO_27-CR-21-4099_Order-Evaluation for Competency to Proceed (Rule 20.01)_2022-05-11_20251126184519.pdf")</f>
        <v>MCRO_27-CR-21-4099_Order-Evaluation for Competency to Proceed (Rule 20.01)_2022-05-11_20251126184519.pdf</v>
      </c>
      <c r="H305" s="2" t="s">
        <v>1362</v>
      </c>
      <c r="I305" s="9" t="s">
        <v>2804</v>
      </c>
      <c r="J305" s="2" t="s">
        <v>2788</v>
      </c>
    </row>
    <row r="306" customFormat="false" ht="18.7" hidden="false" customHeight="true" outlineLevel="0" collapsed="false">
      <c r="A306" s="1" t="n">
        <v>305</v>
      </c>
      <c r="B306" s="7" t="str">
        <f aca="false">HYPERLINK("https://mncourtfraud.com/file/27-CR-21-4099.pdf","27-CR-21-4099")</f>
        <v>27-CR-21-4099</v>
      </c>
      <c r="C306" s="1" t="n">
        <v>1</v>
      </c>
      <c r="D306" s="2" t="s">
        <v>12</v>
      </c>
      <c r="E306" s="8" t="n">
        <v>44895</v>
      </c>
      <c r="F306" s="2" t="s">
        <v>15</v>
      </c>
      <c r="G306" s="7" t="str">
        <f aca="false">HYPERLINK("https://mncourtfraud.com/file/MCRO_27-CR-21-4099_Order-Evaluation for Competency to Proceed (Rule 20.01)_2022-11-30_20251126184526.pdf","MCRO_27-CR-21-4099_Order-Evaluation for Competency to Proceed (Rule 20.01)_2022-11-30_20251126184526.pdf")</f>
        <v>MCRO_27-CR-21-4099_Order-Evaluation for Competency to Proceed (Rule 20.01)_2022-11-30_20251126184526.pdf</v>
      </c>
      <c r="H306" s="2" t="s">
        <v>1362</v>
      </c>
      <c r="I306" s="9" t="s">
        <v>2805</v>
      </c>
      <c r="J306" s="2" t="s">
        <v>2659</v>
      </c>
    </row>
    <row r="307" customFormat="false" ht="18.7" hidden="false" customHeight="true" outlineLevel="0" collapsed="false">
      <c r="A307" s="1" t="n">
        <v>306</v>
      </c>
      <c r="B307" s="7" t="str">
        <f aca="false">HYPERLINK("https://mncourtfraud.com/file/27-CR-21-5179.pdf","27-CR-21-5179")</f>
        <v>27-CR-21-5179</v>
      </c>
      <c r="C307" s="1" t="n">
        <v>5</v>
      </c>
      <c r="D307" s="2" t="s">
        <v>267</v>
      </c>
      <c r="E307" s="8" t="n">
        <v>44873</v>
      </c>
      <c r="F307" s="2" t="s">
        <v>15</v>
      </c>
      <c r="G307" s="7" t="str">
        <f aca="false">HYPERLINK("https://mncourtfraud.com/file/MCRO_27-CR-21-5179_Order-Evaluation for Competency to Proceed (Rule 20.01)_2022-11-08_20251126165604.pdf","MCRO_27-CR-21-5179_Order-Evaluation for Competency to Proceed (Rule 20.01)_2022-11-08_20251126165604.pdf")</f>
        <v>MCRO_27-CR-21-5179_Order-Evaluation for Competency to Proceed (Rule 20.01)_2022-11-08_20251126165604.pdf</v>
      </c>
      <c r="H307" s="2" t="s">
        <v>1362</v>
      </c>
      <c r="I307" s="9" t="s">
        <v>2806</v>
      </c>
      <c r="J307" s="2" t="s">
        <v>2711</v>
      </c>
    </row>
    <row r="308" customFormat="false" ht="18.7" hidden="false" customHeight="true" outlineLevel="0" collapsed="false">
      <c r="A308" s="1" t="n">
        <v>307</v>
      </c>
      <c r="B308" s="7" t="str">
        <f aca="false">HYPERLINK("https://mncourtfraud.com/file/27-CR-21-5179.pdf","27-CR-21-5179")</f>
        <v>27-CR-21-5179</v>
      </c>
      <c r="C308" s="1" t="n">
        <v>5</v>
      </c>
      <c r="D308" s="2" t="s">
        <v>267</v>
      </c>
      <c r="E308" s="8" t="n">
        <v>45023</v>
      </c>
      <c r="F308" s="2" t="s">
        <v>15</v>
      </c>
      <c r="G308" s="7" t="str">
        <f aca="false">HYPERLINK("https://mncourtfraud.com/file/MCRO_27-CR-21-5179_Order-Evaluation for Competency to Proceed (Rule 20.01)_2023-04-07_20251126165613.pdf","MCRO_27-CR-21-5179_Order-Evaluation for Competency to Proceed (Rule 20.01)_2023-04-07_20251126165613.pdf")</f>
        <v>MCRO_27-CR-21-5179_Order-Evaluation for Competency to Proceed (Rule 20.01)_2023-04-07_20251126165613.pdf</v>
      </c>
      <c r="H308" s="2" t="s">
        <v>1362</v>
      </c>
      <c r="I308" s="9" t="s">
        <v>2807</v>
      </c>
      <c r="J308" s="2" t="s">
        <v>2808</v>
      </c>
    </row>
    <row r="309" customFormat="false" ht="18.7" hidden="false" customHeight="true" outlineLevel="0" collapsed="false">
      <c r="A309" s="1" t="n">
        <v>308</v>
      </c>
      <c r="B309" s="7" t="str">
        <f aca="false">HYPERLINK("https://mncourtfraud.com/file/27-CR-21-5179.pdf","27-CR-21-5179")</f>
        <v>27-CR-21-5179</v>
      </c>
      <c r="C309" s="1" t="n">
        <v>5</v>
      </c>
      <c r="D309" s="2" t="s">
        <v>267</v>
      </c>
      <c r="E309" s="8" t="n">
        <v>45194</v>
      </c>
      <c r="F309" s="2" t="s">
        <v>15</v>
      </c>
      <c r="G309" s="7" t="str">
        <f aca="false">HYPERLINK("https://mncourtfraud.com/file/MCRO_27-CR-21-5179_Order-Evaluation for Competency to Proceed (Rule 20.01)_2023-09-25_20251126165545.pdf","MCRO_27-CR-21-5179_Order-Evaluation for Competency to Proceed (Rule 20.01)_2023-09-25_20251126165545.pdf")</f>
        <v>MCRO_27-CR-21-5179_Order-Evaluation for Competency to Proceed (Rule 20.01)_2023-09-25_20251126165545.pdf</v>
      </c>
      <c r="H309" s="2" t="s">
        <v>1362</v>
      </c>
      <c r="I309" s="9" t="s">
        <v>2809</v>
      </c>
      <c r="J309" s="2" t="s">
        <v>2735</v>
      </c>
    </row>
    <row r="310" customFormat="false" ht="18.7" hidden="false" customHeight="true" outlineLevel="0" collapsed="false">
      <c r="A310" s="1" t="n">
        <v>309</v>
      </c>
      <c r="B310" s="7" t="str">
        <f aca="false">HYPERLINK("https://mncourtfraud.com/file/27-CR-21-5179.pdf","27-CR-21-5179")</f>
        <v>27-CR-21-5179</v>
      </c>
      <c r="C310" s="1" t="n">
        <v>5</v>
      </c>
      <c r="D310" s="2" t="s">
        <v>267</v>
      </c>
      <c r="E310" s="8" t="n">
        <v>44733</v>
      </c>
      <c r="F310" s="2" t="s">
        <v>17</v>
      </c>
      <c r="G310" s="7" t="str">
        <f aca="false">HYPERLINK("https://mncourtfraud.com/file/MCRO_27-CR-21-5179_Returned Mail_2022-06-21_20251126165510.pdf","MCRO_27-CR-21-5179_Returned Mail_2022-06-21_20251126165510.pdf")</f>
        <v>MCRO_27-CR-21-5179_Returned Mail_2022-06-21_20251126165510.pdf</v>
      </c>
      <c r="H310" s="2" t="s">
        <v>1362</v>
      </c>
      <c r="I310" s="9" t="s">
        <v>2810</v>
      </c>
      <c r="J310" s="2" t="s">
        <v>2717</v>
      </c>
    </row>
    <row r="311" customFormat="false" ht="18.7" hidden="false" customHeight="true" outlineLevel="0" collapsed="false">
      <c r="A311" s="1" t="n">
        <v>310</v>
      </c>
      <c r="B311" s="7" t="str">
        <f aca="false">HYPERLINK("https://mncourtfraud.com/file/27-CR-21-5179.pdf","27-CR-21-5179")</f>
        <v>27-CR-21-5179</v>
      </c>
      <c r="C311" s="1" t="n">
        <v>5</v>
      </c>
      <c r="D311" s="2" t="s">
        <v>267</v>
      </c>
      <c r="E311" s="8" t="n">
        <v>44837</v>
      </c>
      <c r="F311" s="2" t="s">
        <v>17</v>
      </c>
      <c r="G311" s="7" t="str">
        <f aca="false">HYPERLINK("https://mncourtfraud.com/file/MCRO_27-CR-21-5179_Returned Mail_2022-10-03_20251126165520.pdf","MCRO_27-CR-21-5179_Returned Mail_2022-10-03_20251126165520.pdf")</f>
        <v>MCRO_27-CR-21-5179_Returned Mail_2022-10-03_20251126165520.pdf</v>
      </c>
      <c r="H311" s="2" t="s">
        <v>1362</v>
      </c>
      <c r="I311" s="9" t="s">
        <v>2811</v>
      </c>
      <c r="J311" s="2" t="s">
        <v>2729</v>
      </c>
    </row>
    <row r="312" customFormat="false" ht="18.7" hidden="false" customHeight="true" outlineLevel="0" collapsed="false">
      <c r="A312" s="1" t="n">
        <v>311</v>
      </c>
      <c r="B312" s="7" t="str">
        <f aca="false">HYPERLINK("https://mncourtfraud.com/file/27-CR-22-10565.pdf","27-CR-22-10565")</f>
        <v>27-CR-22-10565</v>
      </c>
      <c r="C312" s="1" t="n">
        <v>5</v>
      </c>
      <c r="D312" s="2" t="s">
        <v>267</v>
      </c>
      <c r="E312" s="8" t="n">
        <v>44873</v>
      </c>
      <c r="F312" s="2" t="s">
        <v>15</v>
      </c>
      <c r="G312" s="7" t="str">
        <f aca="false">HYPERLINK("https://mncourtfraud.com/file/MCRO_27-CR-22-10565_Order-Evaluation for Competency to Proceed (Rule 20.01)_2022-11-08_20251126165641.pdf","MCRO_27-CR-22-10565_Order-Evaluation for Competency to Proceed (Rule 20.01)_2022-11-08_20251126165641.pdf")</f>
        <v>MCRO_27-CR-22-10565_Order-Evaluation for Competency to Proceed (Rule 20.01)_2022-11-08_20251126165641.pdf</v>
      </c>
      <c r="H312" s="2" t="s">
        <v>1362</v>
      </c>
      <c r="I312" s="9" t="s">
        <v>2812</v>
      </c>
      <c r="J312" s="2" t="s">
        <v>2711</v>
      </c>
    </row>
    <row r="313" customFormat="false" ht="18.7" hidden="false" customHeight="true" outlineLevel="0" collapsed="false">
      <c r="A313" s="1" t="n">
        <v>312</v>
      </c>
      <c r="B313" s="7" t="str">
        <f aca="false">HYPERLINK("https://mncourtfraud.com/file/27-CR-22-10565.pdf","27-CR-22-10565")</f>
        <v>27-CR-22-10565</v>
      </c>
      <c r="C313" s="1" t="n">
        <v>5</v>
      </c>
      <c r="D313" s="2" t="s">
        <v>267</v>
      </c>
      <c r="E313" s="8" t="n">
        <v>45023</v>
      </c>
      <c r="F313" s="2" t="s">
        <v>15</v>
      </c>
      <c r="G313" s="7" t="str">
        <f aca="false">HYPERLINK("https://mncourtfraud.com/file/MCRO_27-CR-22-10565_Order-Evaluation for Competency to Proceed (Rule 20.01)_2023-04-07_20251126165651.pdf","MCRO_27-CR-22-10565_Order-Evaluation for Competency to Proceed (Rule 20.01)_2023-04-07_20251126165651.pdf")</f>
        <v>MCRO_27-CR-22-10565_Order-Evaluation for Competency to Proceed (Rule 20.01)_2023-04-07_20251126165651.pdf</v>
      </c>
      <c r="H313" s="2" t="s">
        <v>1362</v>
      </c>
      <c r="I313" s="9" t="s">
        <v>2813</v>
      </c>
      <c r="J313" s="2" t="s">
        <v>2814</v>
      </c>
    </row>
    <row r="314" customFormat="false" ht="18.7" hidden="false" customHeight="true" outlineLevel="0" collapsed="false">
      <c r="A314" s="1" t="n">
        <v>313</v>
      </c>
      <c r="B314" s="7" t="str">
        <f aca="false">HYPERLINK("https://mncourtfraud.com/file/27-CR-22-10565.pdf","27-CR-22-10565")</f>
        <v>27-CR-22-10565</v>
      </c>
      <c r="C314" s="1" t="n">
        <v>5</v>
      </c>
      <c r="D314" s="2" t="s">
        <v>267</v>
      </c>
      <c r="E314" s="8" t="n">
        <v>45194</v>
      </c>
      <c r="F314" s="2" t="s">
        <v>15</v>
      </c>
      <c r="G314" s="7" t="str">
        <f aca="false">HYPERLINK("https://mncourtfraud.com/file/MCRO_27-CR-22-10565_Order-Evaluation for Competency to Proceed (Rule 20.01)_2023-09-25_20251126165659.pdf","MCRO_27-CR-22-10565_Order-Evaluation for Competency to Proceed (Rule 20.01)_2023-09-25_20251126165659.pdf")</f>
        <v>MCRO_27-CR-22-10565_Order-Evaluation for Competency to Proceed (Rule 20.01)_2023-09-25_20251126165659.pdf</v>
      </c>
      <c r="H314" s="2" t="s">
        <v>1362</v>
      </c>
      <c r="I314" s="9" t="s">
        <v>2815</v>
      </c>
      <c r="J314" s="2" t="s">
        <v>2816</v>
      </c>
    </row>
    <row r="315" customFormat="false" ht="18.7" hidden="false" customHeight="true" outlineLevel="0" collapsed="false">
      <c r="A315" s="1" t="n">
        <v>314</v>
      </c>
      <c r="B315" s="7" t="str">
        <f aca="false">HYPERLINK("https://mncourtfraud.com/file/27-CR-22-10565.pdf","27-CR-22-10565")</f>
        <v>27-CR-22-10565</v>
      </c>
      <c r="C315" s="1" t="n">
        <v>5</v>
      </c>
      <c r="D315" s="2" t="s">
        <v>267</v>
      </c>
      <c r="E315" s="8" t="n">
        <v>44837</v>
      </c>
      <c r="F315" s="2" t="s">
        <v>17</v>
      </c>
      <c r="G315" s="7" t="str">
        <f aca="false">HYPERLINK("https://mncourtfraud.com/file/MCRO_27-CR-22-10565_Returned Mail_2022-10-03_20251126165716.pdf","MCRO_27-CR-22-10565_Returned Mail_2022-10-03_20251126165716.pdf")</f>
        <v>MCRO_27-CR-22-10565_Returned Mail_2022-10-03_20251126165716.pdf</v>
      </c>
      <c r="H315" s="2" t="s">
        <v>1362</v>
      </c>
      <c r="I315" s="9" t="s">
        <v>2817</v>
      </c>
      <c r="J315" s="2" t="s">
        <v>2729</v>
      </c>
    </row>
    <row r="316" customFormat="false" ht="18.7" hidden="false" customHeight="true" outlineLevel="0" collapsed="false">
      <c r="A316" s="1" t="n">
        <v>315</v>
      </c>
      <c r="B316" s="7" t="str">
        <f aca="false">HYPERLINK("https://mncourtfraud.com/file/27-CR-22-11847.pdf","27-CR-22-11847")</f>
        <v>27-CR-22-11847</v>
      </c>
      <c r="C316" s="1" t="n">
        <v>1</v>
      </c>
      <c r="D316" s="2" t="s">
        <v>12</v>
      </c>
      <c r="E316" s="8" t="n">
        <v>45048</v>
      </c>
      <c r="F316" s="2" t="s">
        <v>80</v>
      </c>
      <c r="G316" s="7" t="str">
        <f aca="false">HYPERLINK("https://mncourtfraud.com/file/MCRO_27-CR-22-11847_Finding of Incompetency and Order_2023-05-02_20251126184550.pdf","MCRO_27-CR-22-11847_Finding of Incompetency and Order_2023-05-02_20251126184550.pdf")</f>
        <v>MCRO_27-CR-22-11847_Finding of Incompetency and Order_2023-05-02_20251126184550.pdf</v>
      </c>
      <c r="H316" s="2" t="s">
        <v>1492</v>
      </c>
      <c r="I316" s="9" t="s">
        <v>2385</v>
      </c>
      <c r="J316" s="2" t="s">
        <v>2386</v>
      </c>
      <c r="K316" s="2" t="s">
        <v>1496</v>
      </c>
      <c r="L316" s="9" t="s">
        <v>2387</v>
      </c>
      <c r="M316" s="2" t="s">
        <v>2388</v>
      </c>
      <c r="N316" s="2" t="s">
        <v>1362</v>
      </c>
      <c r="O316" s="9" t="s">
        <v>2818</v>
      </c>
      <c r="P316" s="2" t="s">
        <v>2819</v>
      </c>
    </row>
    <row r="317" customFormat="false" ht="18.7" hidden="false" customHeight="true" outlineLevel="0" collapsed="false">
      <c r="A317" s="1" t="n">
        <v>316</v>
      </c>
      <c r="B317" s="7" t="str">
        <f aca="false">HYPERLINK("https://mncourtfraud.com/file/27-CR-22-11847.pdf","27-CR-22-11847")</f>
        <v>27-CR-22-11847</v>
      </c>
      <c r="C317" s="1" t="n">
        <v>1</v>
      </c>
      <c r="D317" s="2" t="s">
        <v>12</v>
      </c>
      <c r="E317" s="8" t="n">
        <v>45093</v>
      </c>
      <c r="F317" s="2" t="s">
        <v>82</v>
      </c>
      <c r="G317" s="7" t="str">
        <f aca="false">HYPERLINK("https://mncourtfraud.com/file/MCRO_27-CR-22-11847_Notice of Case Reassignment_2023-06-16_20251126184603.pdf","MCRO_27-CR-22-11847_Notice of Case Reassignment_2023-06-16_20251126184603.pdf")</f>
        <v>MCRO_27-CR-22-11847_Notice of Case Reassignment_2023-06-16_20251126184603.pdf</v>
      </c>
      <c r="H317" s="2" t="s">
        <v>1362</v>
      </c>
      <c r="I317" s="9" t="s">
        <v>2820</v>
      </c>
      <c r="J317" s="2" t="s">
        <v>2545</v>
      </c>
    </row>
    <row r="318" customFormat="false" ht="18.7" hidden="false" customHeight="true" outlineLevel="0" collapsed="false">
      <c r="A318" s="1" t="n">
        <v>317</v>
      </c>
      <c r="B318" s="7" t="str">
        <f aca="false">HYPERLINK("https://mncourtfraud.com/file/27-CR-22-11847.pdf","27-CR-22-11847")</f>
        <v>27-CR-22-11847</v>
      </c>
      <c r="C318" s="1" t="n">
        <v>1</v>
      </c>
      <c r="D318" s="2" t="s">
        <v>12</v>
      </c>
      <c r="E318" s="8" t="n">
        <v>45412</v>
      </c>
      <c r="F318" s="2" t="s">
        <v>24</v>
      </c>
      <c r="G318" s="7" t="str">
        <f aca="false">HYPERLINK("https://mncourtfraud.com/file/MCRO_27-CR-22-11847_Order for Conditional Release_2024-04-30_20251126184615.pdf","MCRO_27-CR-22-11847_Order for Conditional Release_2024-04-30_20251126184615.pdf")</f>
        <v>MCRO_27-CR-22-11847_Order for Conditional Release_2024-04-30_20251126184615.pdf</v>
      </c>
      <c r="H318" s="2" t="s">
        <v>1362</v>
      </c>
      <c r="I318" s="9" t="s">
        <v>2821</v>
      </c>
      <c r="J318" s="2" t="s">
        <v>2624</v>
      </c>
    </row>
    <row r="319" customFormat="false" ht="18.7" hidden="false" customHeight="true" outlineLevel="0" collapsed="false">
      <c r="A319" s="1" t="n">
        <v>318</v>
      </c>
      <c r="B319" s="7" t="str">
        <f aca="false">HYPERLINK("https://mncourtfraud.com/file/27-CR-22-11847.pdf","27-CR-22-11847")</f>
        <v>27-CR-22-11847</v>
      </c>
      <c r="C319" s="1" t="n">
        <v>1</v>
      </c>
      <c r="D319" s="2" t="s">
        <v>12</v>
      </c>
      <c r="E319" s="8" t="n">
        <v>44761</v>
      </c>
      <c r="F319" s="2" t="s">
        <v>15</v>
      </c>
      <c r="G319" s="7" t="str">
        <f aca="false">HYPERLINK("https://mncourtfraud.com/file/MCRO_27-CR-22-11847_Order-Evaluation for Competency to Proceed (Rule 20.01)_2022-07-19_20251126184637.pdf","MCRO_27-CR-22-11847_Order-Evaluation for Competency to Proceed (Rule 20.01)_2022-07-19_20251126184637.pdf")</f>
        <v>MCRO_27-CR-22-11847_Order-Evaluation for Competency to Proceed (Rule 20.01)_2022-07-19_20251126184637.pdf</v>
      </c>
      <c r="H319" s="2" t="s">
        <v>1362</v>
      </c>
      <c r="I319" s="9" t="s">
        <v>2822</v>
      </c>
      <c r="J319" s="2" t="s">
        <v>2823</v>
      </c>
    </row>
    <row r="320" customFormat="false" ht="18.7" hidden="false" customHeight="true" outlineLevel="0" collapsed="false">
      <c r="A320" s="1" t="n">
        <v>319</v>
      </c>
      <c r="B320" s="7" t="str">
        <f aca="false">HYPERLINK("https://mncourtfraud.com/file/27-CR-22-11847.pdf","27-CR-22-11847")</f>
        <v>27-CR-22-11847</v>
      </c>
      <c r="C320" s="1" t="n">
        <v>1</v>
      </c>
      <c r="D320" s="2" t="s">
        <v>12</v>
      </c>
      <c r="E320" s="8" t="n">
        <v>44895</v>
      </c>
      <c r="F320" s="2" t="s">
        <v>15</v>
      </c>
      <c r="G320" s="7" t="str">
        <f aca="false">HYPERLINK("https://mncourtfraud.com/file/MCRO_27-CR-22-11847_Order-Evaluation for Competency to Proceed (Rule 20.01)_2022-11-30_20251126184645.pdf","MCRO_27-CR-22-11847_Order-Evaluation for Competency to Proceed (Rule 20.01)_2022-11-30_20251126184645.pdf")</f>
        <v>MCRO_27-CR-22-11847_Order-Evaluation for Competency to Proceed (Rule 20.01)_2022-11-30_20251126184645.pdf</v>
      </c>
      <c r="H320" s="2" t="s">
        <v>1362</v>
      </c>
      <c r="I320" s="9" t="s">
        <v>2824</v>
      </c>
      <c r="J320" s="2" t="s">
        <v>2659</v>
      </c>
    </row>
    <row r="321" customFormat="false" ht="18.7" hidden="false" customHeight="true" outlineLevel="0" collapsed="false">
      <c r="A321" s="1" t="n">
        <v>320</v>
      </c>
      <c r="B321" s="7" t="str">
        <f aca="false">HYPERLINK("https://mncourtfraud.com/file/27-CR-22-11847.pdf","27-CR-22-11847")</f>
        <v>27-CR-22-11847</v>
      </c>
      <c r="C321" s="1" t="n">
        <v>1</v>
      </c>
      <c r="D321" s="2" t="s">
        <v>12</v>
      </c>
      <c r="E321" s="8" t="n">
        <v>45160</v>
      </c>
      <c r="F321" s="2" t="s">
        <v>15</v>
      </c>
      <c r="G321" s="7" t="str">
        <f aca="false">HYPERLINK("https://mncourtfraud.com/file/MCRO_27-CR-22-11847_Order-Evaluation for Competency to Proceed (Rule 20.01)_2023-08-22_20251126184653.pdf","MCRO_27-CR-22-11847_Order-Evaluation for Competency to Proceed (Rule 20.01)_2023-08-22_20251126184653.pdf")</f>
        <v>MCRO_27-CR-22-11847_Order-Evaluation for Competency to Proceed (Rule 20.01)_2023-08-22_20251126184653.pdf</v>
      </c>
      <c r="H321" s="2" t="s">
        <v>1519</v>
      </c>
      <c r="I321" s="9" t="s">
        <v>2410</v>
      </c>
      <c r="J321" s="2" t="s">
        <v>2411</v>
      </c>
      <c r="K321" s="2" t="s">
        <v>1362</v>
      </c>
      <c r="L321" s="9" t="s">
        <v>2825</v>
      </c>
      <c r="M321" s="2" t="s">
        <v>2609</v>
      </c>
    </row>
    <row r="322" customFormat="false" ht="18.7" hidden="false" customHeight="true" outlineLevel="0" collapsed="false">
      <c r="A322" s="1" t="n">
        <v>321</v>
      </c>
      <c r="B322" s="7" t="str">
        <f aca="false">HYPERLINK("https://mncourtfraud.com/file/27-CR-22-11847.pdf","27-CR-22-11847")</f>
        <v>27-CR-22-11847</v>
      </c>
      <c r="C322" s="1" t="n">
        <v>1</v>
      </c>
      <c r="D322" s="2" t="s">
        <v>12</v>
      </c>
      <c r="E322" s="8" t="n">
        <v>45412</v>
      </c>
      <c r="F322" s="2" t="s">
        <v>15</v>
      </c>
      <c r="G322" s="7" t="str">
        <f aca="false">HYPERLINK("https://mncourtfraud.com/file/MCRO_27-CR-22-11847_Order-Evaluation for Competency to Proceed (Rule 20.01)_2024-04-30_20251126184629.pdf","MCRO_27-CR-22-11847_Order-Evaluation for Competency to Proceed (Rule 20.01)_2024-04-30_20251126184629.pdf")</f>
        <v>MCRO_27-CR-22-11847_Order-Evaluation for Competency to Proceed (Rule 20.01)_2024-04-30_20251126184629.pdf</v>
      </c>
      <c r="H322" s="2" t="s">
        <v>1362</v>
      </c>
      <c r="I322" s="9" t="s">
        <v>2826</v>
      </c>
      <c r="J322" s="2" t="s">
        <v>2771</v>
      </c>
    </row>
    <row r="323" customFormat="false" ht="18.7" hidden="false" customHeight="true" outlineLevel="0" collapsed="false">
      <c r="A323" s="1" t="n">
        <v>322</v>
      </c>
      <c r="B323" s="7" t="str">
        <f aca="false">HYPERLINK("https://mncourtfraud.com/file/27-CR-22-11847.pdf","27-CR-22-11847")</f>
        <v>27-CR-22-11847</v>
      </c>
      <c r="C323" s="1" t="n">
        <v>1</v>
      </c>
      <c r="D323" s="2" t="s">
        <v>12</v>
      </c>
      <c r="E323" s="8" t="n">
        <v>44999</v>
      </c>
      <c r="F323" s="2" t="s">
        <v>17</v>
      </c>
      <c r="G323" s="7" t="str">
        <f aca="false">HYPERLINK("https://mncourtfraud.com/file/MCRO_27-CR-22-11847_Returned Mail_2023-03-14_20251126184709.pdf","MCRO_27-CR-22-11847_Returned Mail_2023-03-14_20251126184709.pdf")</f>
        <v>MCRO_27-CR-22-11847_Returned Mail_2023-03-14_20251126184709.pdf</v>
      </c>
      <c r="H323" s="2" t="s">
        <v>1362</v>
      </c>
      <c r="I323" s="9" t="s">
        <v>2827</v>
      </c>
      <c r="J323" s="2" t="s">
        <v>2828</v>
      </c>
    </row>
    <row r="324" customFormat="false" ht="18.7" hidden="false" customHeight="true" outlineLevel="0" collapsed="false">
      <c r="A324" s="1" t="n">
        <v>323</v>
      </c>
      <c r="B324" s="7" t="str">
        <f aca="false">HYPERLINK("https://mncourtfraud.com/file/27-CR-22-12695.pdf","27-CR-22-12695")</f>
        <v>27-CR-22-12695</v>
      </c>
      <c r="C324" s="1" t="n">
        <v>1</v>
      </c>
      <c r="D324" s="2" t="s">
        <v>12</v>
      </c>
      <c r="E324" s="8" t="n">
        <v>45048</v>
      </c>
      <c r="F324" s="2" t="s">
        <v>80</v>
      </c>
      <c r="G324" s="7" t="str">
        <f aca="false">HYPERLINK("https://mncourtfraud.com/file/MCRO_27-CR-22-12695_Finding of Incompetency and Order_2023-05-02_20251126184737.pdf","MCRO_27-CR-22-12695_Finding of Incompetency and Order_2023-05-02_20251126184737.pdf")</f>
        <v>MCRO_27-CR-22-12695_Finding of Incompetency and Order_2023-05-02_20251126184737.pdf</v>
      </c>
      <c r="H324" s="2" t="s">
        <v>1492</v>
      </c>
      <c r="I324" s="9" t="s">
        <v>2385</v>
      </c>
      <c r="J324" s="2" t="s">
        <v>2386</v>
      </c>
      <c r="K324" s="2" t="s">
        <v>1496</v>
      </c>
      <c r="L324" s="9" t="s">
        <v>2387</v>
      </c>
      <c r="M324" s="2" t="s">
        <v>2388</v>
      </c>
      <c r="N324" s="2" t="s">
        <v>1362</v>
      </c>
      <c r="O324" s="9" t="s">
        <v>2829</v>
      </c>
      <c r="P324" s="2" t="s">
        <v>2830</v>
      </c>
    </row>
    <row r="325" customFormat="false" ht="18.7" hidden="false" customHeight="true" outlineLevel="0" collapsed="false">
      <c r="A325" s="1" t="n">
        <v>324</v>
      </c>
      <c r="B325" s="7" t="str">
        <f aca="false">HYPERLINK("https://mncourtfraud.com/file/27-CR-22-12695.pdf","27-CR-22-12695")</f>
        <v>27-CR-22-12695</v>
      </c>
      <c r="C325" s="1" t="n">
        <v>1</v>
      </c>
      <c r="D325" s="2" t="s">
        <v>12</v>
      </c>
      <c r="E325" s="8" t="n">
        <v>44761</v>
      </c>
      <c r="F325" s="2" t="s">
        <v>15</v>
      </c>
      <c r="G325" s="7" t="str">
        <f aca="false">HYPERLINK("https://mncourtfraud.com/file/MCRO_27-CR-22-12695_Order-Evaluation for Competency to Proceed (Rule 20.01)_2022-07-19_20251126184801.pdf","MCRO_27-CR-22-12695_Order-Evaluation for Competency to Proceed (Rule 20.01)_2022-07-19_20251126184801.pdf")</f>
        <v>MCRO_27-CR-22-12695_Order-Evaluation for Competency to Proceed (Rule 20.01)_2022-07-19_20251126184801.pdf</v>
      </c>
      <c r="H325" s="2" t="s">
        <v>1362</v>
      </c>
      <c r="I325" s="9" t="s">
        <v>2831</v>
      </c>
      <c r="J325" s="2" t="s">
        <v>2832</v>
      </c>
    </row>
    <row r="326" customFormat="false" ht="18.7" hidden="false" customHeight="true" outlineLevel="0" collapsed="false">
      <c r="A326" s="1" t="n">
        <v>325</v>
      </c>
      <c r="B326" s="7" t="str">
        <f aca="false">HYPERLINK("https://mncourtfraud.com/file/27-CR-22-12695.pdf","27-CR-22-12695")</f>
        <v>27-CR-22-12695</v>
      </c>
      <c r="C326" s="1" t="n">
        <v>1</v>
      </c>
      <c r="D326" s="2" t="s">
        <v>12</v>
      </c>
      <c r="E326" s="8" t="n">
        <v>44895</v>
      </c>
      <c r="F326" s="2" t="s">
        <v>15</v>
      </c>
      <c r="G326" s="7" t="str">
        <f aca="false">HYPERLINK("https://mncourtfraud.com/file/MCRO_27-CR-22-12695_Order-Evaluation for Competency to Proceed (Rule 20.01)_2022-11-30_20251126184750.pdf","MCRO_27-CR-22-12695_Order-Evaluation for Competency to Proceed (Rule 20.01)_2022-11-30_20251126184750.pdf")</f>
        <v>MCRO_27-CR-22-12695_Order-Evaluation for Competency to Proceed (Rule 20.01)_2022-11-30_20251126184750.pdf</v>
      </c>
      <c r="H326" s="2" t="s">
        <v>1362</v>
      </c>
      <c r="I326" s="9" t="s">
        <v>2833</v>
      </c>
      <c r="J326" s="2" t="s">
        <v>2659</v>
      </c>
    </row>
    <row r="327" customFormat="false" ht="18.7" hidden="false" customHeight="true" outlineLevel="0" collapsed="false">
      <c r="A327" s="1" t="n">
        <v>326</v>
      </c>
      <c r="B327" s="7" t="str">
        <f aca="false">HYPERLINK("https://mncourtfraud.com/file/27-CR-22-12695.pdf","27-CR-22-12695")</f>
        <v>27-CR-22-12695</v>
      </c>
      <c r="C327" s="1" t="n">
        <v>1</v>
      </c>
      <c r="D327" s="2" t="s">
        <v>12</v>
      </c>
      <c r="E327" s="8" t="n">
        <v>44999</v>
      </c>
      <c r="F327" s="2" t="s">
        <v>17</v>
      </c>
      <c r="G327" s="7" t="str">
        <f aca="false">HYPERLINK("https://mncourtfraud.com/file/MCRO_27-CR-22-12695_Returned Mail_2023-03-14_20251126184813.pdf","MCRO_27-CR-22-12695_Returned Mail_2023-03-14_20251126184813.pdf")</f>
        <v>MCRO_27-CR-22-12695_Returned Mail_2023-03-14_20251126184813.pdf</v>
      </c>
      <c r="H327" s="2" t="s">
        <v>1362</v>
      </c>
      <c r="I327" s="9" t="s">
        <v>2834</v>
      </c>
      <c r="J327" s="2" t="s">
        <v>2835</v>
      </c>
    </row>
    <row r="328" customFormat="false" ht="18.7" hidden="false" customHeight="true" outlineLevel="0" collapsed="false">
      <c r="A328" s="1" t="n">
        <v>327</v>
      </c>
      <c r="B328" s="7" t="str">
        <f aca="false">HYPERLINK("https://mncourtfraud.com/file/27-CR-22-13797.pdf","27-CR-22-13797")</f>
        <v>27-CR-22-13797</v>
      </c>
      <c r="C328" s="1" t="n">
        <v>1</v>
      </c>
      <c r="D328" s="2" t="s">
        <v>12</v>
      </c>
      <c r="E328" s="8" t="n">
        <v>45048</v>
      </c>
      <c r="F328" s="2" t="s">
        <v>80</v>
      </c>
      <c r="G328" s="7" t="str">
        <f aca="false">HYPERLINK("https://mncourtfraud.com/file/MCRO_27-CR-22-13797_Finding of Incompetency and Order_2023-05-02_20251126184840.pdf","MCRO_27-CR-22-13797_Finding of Incompetency and Order_2023-05-02_20251126184840.pdf")</f>
        <v>MCRO_27-CR-22-13797_Finding of Incompetency and Order_2023-05-02_20251126184840.pdf</v>
      </c>
      <c r="H328" s="2" t="s">
        <v>1492</v>
      </c>
      <c r="I328" s="9" t="s">
        <v>2385</v>
      </c>
      <c r="J328" s="2" t="s">
        <v>2386</v>
      </c>
      <c r="K328" s="2" t="s">
        <v>1496</v>
      </c>
      <c r="L328" s="9" t="s">
        <v>2387</v>
      </c>
      <c r="M328" s="2" t="s">
        <v>2388</v>
      </c>
      <c r="N328" s="2" t="s">
        <v>1362</v>
      </c>
      <c r="O328" s="9" t="s">
        <v>2836</v>
      </c>
      <c r="P328" s="2" t="s">
        <v>2837</v>
      </c>
    </row>
    <row r="329" customFormat="false" ht="18.7" hidden="false" customHeight="true" outlineLevel="0" collapsed="false">
      <c r="A329" s="1" t="n">
        <v>328</v>
      </c>
      <c r="B329" s="7" t="str">
        <f aca="false">HYPERLINK("https://mncourtfraud.com/file/27-CR-22-13797.pdf","27-CR-22-13797")</f>
        <v>27-CR-22-13797</v>
      </c>
      <c r="C329" s="1" t="n">
        <v>1</v>
      </c>
      <c r="D329" s="2" t="s">
        <v>12</v>
      </c>
      <c r="E329" s="8" t="n">
        <v>44761</v>
      </c>
      <c r="F329" s="2" t="s">
        <v>15</v>
      </c>
      <c r="G329" s="7" t="str">
        <f aca="false">HYPERLINK("https://mncourtfraud.com/file/MCRO_27-CR-22-13797_Order-Evaluation for Competency to Proceed (Rule 20.01)_2022-07-19_20251126185033.pdf","MCRO_27-CR-22-13797_Order-Evaluation for Competency to Proceed (Rule 20.01)_2022-07-19_20251126185033.pdf")</f>
        <v>MCRO_27-CR-22-13797_Order-Evaluation for Competency to Proceed (Rule 20.01)_2022-07-19_20251126185033.pdf</v>
      </c>
      <c r="H329" s="2" t="s">
        <v>1362</v>
      </c>
      <c r="I329" s="9" t="s">
        <v>2838</v>
      </c>
      <c r="J329" s="2" t="s">
        <v>2832</v>
      </c>
    </row>
    <row r="330" customFormat="false" ht="18.7" hidden="false" customHeight="true" outlineLevel="0" collapsed="false">
      <c r="A330" s="1" t="n">
        <v>329</v>
      </c>
      <c r="B330" s="7" t="str">
        <f aca="false">HYPERLINK("https://mncourtfraud.com/file/27-CR-22-13797.pdf","27-CR-22-13797")</f>
        <v>27-CR-22-13797</v>
      </c>
      <c r="C330" s="1" t="n">
        <v>1</v>
      </c>
      <c r="D330" s="2" t="s">
        <v>12</v>
      </c>
      <c r="E330" s="8" t="n">
        <v>44895</v>
      </c>
      <c r="F330" s="2" t="s">
        <v>15</v>
      </c>
      <c r="G330" s="7" t="str">
        <f aca="false">HYPERLINK("https://mncourtfraud.com/file/MCRO_27-CR-22-13797_Order-Evaluation for Competency to Proceed (Rule 20.01)_2022-11-30_20251126185022.pdf","MCRO_27-CR-22-13797_Order-Evaluation for Competency to Proceed (Rule 20.01)_2022-11-30_20251126185022.pdf")</f>
        <v>MCRO_27-CR-22-13797_Order-Evaluation for Competency to Proceed (Rule 20.01)_2022-11-30_20251126185022.pdf</v>
      </c>
      <c r="H330" s="2" t="s">
        <v>1362</v>
      </c>
      <c r="I330" s="9" t="s">
        <v>2839</v>
      </c>
      <c r="J330" s="2" t="s">
        <v>2659</v>
      </c>
    </row>
    <row r="331" customFormat="false" ht="18.7" hidden="false" customHeight="true" outlineLevel="0" collapsed="false">
      <c r="A331" s="1" t="n">
        <v>330</v>
      </c>
      <c r="B331" s="7" t="str">
        <f aca="false">HYPERLINK("https://mncourtfraud.com/file/27-CR-22-14239.pdf","27-CR-22-14239")</f>
        <v>27-CR-22-14239</v>
      </c>
      <c r="C331" s="1" t="n">
        <v>5</v>
      </c>
      <c r="D331" s="2" t="s">
        <v>267</v>
      </c>
      <c r="E331" s="8" t="n">
        <v>44873</v>
      </c>
      <c r="F331" s="2" t="s">
        <v>15</v>
      </c>
      <c r="G331" s="7" t="str">
        <f aca="false">HYPERLINK("https://mncourtfraud.com/file/MCRO_27-CR-22-14239_Order-Evaluation for Competency to Proceed (Rule 20.01)_2022-11-08_20251126165804.pdf","MCRO_27-CR-22-14239_Order-Evaluation for Competency to Proceed (Rule 20.01)_2022-11-08_20251126165804.pdf")</f>
        <v>MCRO_27-CR-22-14239_Order-Evaluation for Competency to Proceed (Rule 20.01)_2022-11-08_20251126165804.pdf</v>
      </c>
      <c r="H331" s="2" t="s">
        <v>1362</v>
      </c>
      <c r="I331" s="9" t="s">
        <v>2840</v>
      </c>
      <c r="J331" s="2" t="s">
        <v>2711</v>
      </c>
    </row>
    <row r="332" customFormat="false" ht="18.7" hidden="false" customHeight="true" outlineLevel="0" collapsed="false">
      <c r="A332" s="1" t="n">
        <v>331</v>
      </c>
      <c r="B332" s="7" t="str">
        <f aca="false">HYPERLINK("https://mncourtfraud.com/file/27-CR-22-14239.pdf","27-CR-22-14239")</f>
        <v>27-CR-22-14239</v>
      </c>
      <c r="C332" s="1" t="n">
        <v>5</v>
      </c>
      <c r="D332" s="2" t="s">
        <v>267</v>
      </c>
      <c r="E332" s="8" t="n">
        <v>45023</v>
      </c>
      <c r="F332" s="2" t="s">
        <v>15</v>
      </c>
      <c r="G332" s="7" t="str">
        <f aca="false">HYPERLINK("https://mncourtfraud.com/file/MCRO_27-CR-22-14239_Order-Evaluation for Competency to Proceed (Rule 20.01)_2023-04-07_20251126165814.pdf","MCRO_27-CR-22-14239_Order-Evaluation for Competency to Proceed (Rule 20.01)_2023-04-07_20251126165814.pdf")</f>
        <v>MCRO_27-CR-22-14239_Order-Evaluation for Competency to Proceed (Rule 20.01)_2023-04-07_20251126165814.pdf</v>
      </c>
      <c r="H332" s="2" t="s">
        <v>1362</v>
      </c>
      <c r="I332" s="9" t="s">
        <v>2841</v>
      </c>
      <c r="J332" s="2" t="s">
        <v>2842</v>
      </c>
    </row>
    <row r="333" customFormat="false" ht="18.7" hidden="false" customHeight="true" outlineLevel="0" collapsed="false">
      <c r="A333" s="1" t="n">
        <v>332</v>
      </c>
      <c r="B333" s="7" t="str">
        <f aca="false">HYPERLINK("https://mncourtfraud.com/file/27-CR-22-14239.pdf","27-CR-22-14239")</f>
        <v>27-CR-22-14239</v>
      </c>
      <c r="C333" s="1" t="n">
        <v>5</v>
      </c>
      <c r="D333" s="2" t="s">
        <v>267</v>
      </c>
      <c r="E333" s="8" t="n">
        <v>45194</v>
      </c>
      <c r="F333" s="2" t="s">
        <v>15</v>
      </c>
      <c r="G333" s="7" t="str">
        <f aca="false">HYPERLINK("https://mncourtfraud.com/file/MCRO_27-CR-22-14239_Order-Evaluation for Competency to Proceed (Rule 20.01)_2023-09-25_20251126165753.pdf","MCRO_27-CR-22-14239_Order-Evaluation for Competency to Proceed (Rule 20.01)_2023-09-25_20251126165753.pdf")</f>
        <v>MCRO_27-CR-22-14239_Order-Evaluation for Competency to Proceed (Rule 20.01)_2023-09-25_20251126165753.pdf</v>
      </c>
      <c r="H333" s="2" t="s">
        <v>1362</v>
      </c>
      <c r="I333" s="9" t="s">
        <v>2843</v>
      </c>
      <c r="J333" s="2" t="s">
        <v>2735</v>
      </c>
    </row>
    <row r="334" customFormat="false" ht="18.7" hidden="false" customHeight="true" outlineLevel="0" collapsed="false">
      <c r="A334" s="1" t="n">
        <v>333</v>
      </c>
      <c r="B334" s="7" t="str">
        <f aca="false">HYPERLINK("https://mncourtfraud.com/file/27-CR-22-14239.pdf","27-CR-22-14239")</f>
        <v>27-CR-22-14239</v>
      </c>
      <c r="C334" s="1" t="n">
        <v>5</v>
      </c>
      <c r="D334" s="2" t="s">
        <v>267</v>
      </c>
      <c r="E334" s="8" t="n">
        <v>44837</v>
      </c>
      <c r="F334" s="2" t="s">
        <v>17</v>
      </c>
      <c r="G334" s="7" t="str">
        <f aca="false">HYPERLINK("https://mncourtfraud.com/file/MCRO_27-CR-22-14239_Returned Mail_2022-10-03_20251126165740.pdf","MCRO_27-CR-22-14239_Returned Mail_2022-10-03_20251126165740.pdf")</f>
        <v>MCRO_27-CR-22-14239_Returned Mail_2022-10-03_20251126165740.pdf</v>
      </c>
      <c r="H334" s="2" t="s">
        <v>1362</v>
      </c>
      <c r="I334" s="9" t="s">
        <v>2844</v>
      </c>
      <c r="J334" s="2" t="s">
        <v>2729</v>
      </c>
    </row>
    <row r="335" customFormat="false" ht="18.7" hidden="false" customHeight="true" outlineLevel="0" collapsed="false">
      <c r="A335" s="1" t="n">
        <v>334</v>
      </c>
      <c r="B335" s="7" t="str">
        <f aca="false">HYPERLINK("https://mncourtfraud.com/file/27-CR-22-1664.pdf","27-CR-22-1664")</f>
        <v>27-CR-22-1664</v>
      </c>
      <c r="C335" s="1" t="n">
        <v>5</v>
      </c>
      <c r="D335" s="2" t="s">
        <v>267</v>
      </c>
      <c r="E335" s="8" t="n">
        <v>44873</v>
      </c>
      <c r="F335" s="2" t="s">
        <v>15</v>
      </c>
      <c r="G335" s="7" t="str">
        <f aca="false">HYPERLINK("https://mncourtfraud.com/file/MCRO_27-CR-22-1664_Order-Evaluation for Competency to Proceed (Rule 20.01)_2022-11-08_20251126165858.pdf","MCRO_27-CR-22-1664_Order-Evaluation for Competency to Proceed (Rule 20.01)_2022-11-08_20251126165858.pdf")</f>
        <v>MCRO_27-CR-22-1664_Order-Evaluation for Competency to Proceed (Rule 20.01)_2022-11-08_20251126165858.pdf</v>
      </c>
      <c r="H335" s="2" t="s">
        <v>1362</v>
      </c>
      <c r="I335" s="9" t="s">
        <v>2845</v>
      </c>
      <c r="J335" s="2" t="s">
        <v>2846</v>
      </c>
    </row>
    <row r="336" customFormat="false" ht="18.7" hidden="false" customHeight="true" outlineLevel="0" collapsed="false">
      <c r="A336" s="1" t="n">
        <v>335</v>
      </c>
      <c r="B336" s="7" t="str">
        <f aca="false">HYPERLINK("https://mncourtfraud.com/file/27-CR-22-1664.pdf","27-CR-22-1664")</f>
        <v>27-CR-22-1664</v>
      </c>
      <c r="C336" s="1" t="n">
        <v>5</v>
      </c>
      <c r="D336" s="2" t="s">
        <v>267</v>
      </c>
      <c r="E336" s="8" t="n">
        <v>45023</v>
      </c>
      <c r="F336" s="2" t="s">
        <v>15</v>
      </c>
      <c r="G336" s="7" t="str">
        <f aca="false">HYPERLINK("https://mncourtfraud.com/file/MCRO_27-CR-22-1664_Order-Evaluation for Competency to Proceed (Rule 20.01)_2023-04-07_20251126165909.pdf","MCRO_27-CR-22-1664_Order-Evaluation for Competency to Proceed (Rule 20.01)_2023-04-07_20251126165909.pdf")</f>
        <v>MCRO_27-CR-22-1664_Order-Evaluation for Competency to Proceed (Rule 20.01)_2023-04-07_20251126165909.pdf</v>
      </c>
      <c r="H336" s="2" t="s">
        <v>1362</v>
      </c>
      <c r="I336" s="9" t="s">
        <v>2847</v>
      </c>
      <c r="J336" s="2" t="s">
        <v>2848</v>
      </c>
    </row>
    <row r="337" customFormat="false" ht="18.7" hidden="false" customHeight="true" outlineLevel="0" collapsed="false">
      <c r="A337" s="1" t="n">
        <v>336</v>
      </c>
      <c r="B337" s="7" t="str">
        <f aca="false">HYPERLINK("https://mncourtfraud.com/file/27-CR-22-1664.pdf","27-CR-22-1664")</f>
        <v>27-CR-22-1664</v>
      </c>
      <c r="C337" s="1" t="n">
        <v>5</v>
      </c>
      <c r="D337" s="2" t="s">
        <v>267</v>
      </c>
      <c r="E337" s="8" t="n">
        <v>45194</v>
      </c>
      <c r="F337" s="2" t="s">
        <v>15</v>
      </c>
      <c r="G337" s="7" t="str">
        <f aca="false">HYPERLINK("https://mncourtfraud.com/file/MCRO_27-CR-22-1664_Order-Evaluation for Competency to Proceed (Rule 20.01)_2023-09-25_20251126165920.pdf","MCRO_27-CR-22-1664_Order-Evaluation for Competency to Proceed (Rule 20.01)_2023-09-25_20251126165920.pdf")</f>
        <v>MCRO_27-CR-22-1664_Order-Evaluation for Competency to Proceed (Rule 20.01)_2023-09-25_20251126165920.pdf</v>
      </c>
      <c r="H337" s="2" t="s">
        <v>1362</v>
      </c>
      <c r="I337" s="9" t="s">
        <v>2849</v>
      </c>
      <c r="J337" s="2" t="s">
        <v>2715</v>
      </c>
    </row>
    <row r="338" customFormat="false" ht="18.7" hidden="false" customHeight="true" outlineLevel="0" collapsed="false">
      <c r="A338" s="1" t="n">
        <v>337</v>
      </c>
      <c r="B338" s="7" t="str">
        <f aca="false">HYPERLINK("https://mncourtfraud.com/file/27-CR-22-1664.pdf","27-CR-22-1664")</f>
        <v>27-CR-22-1664</v>
      </c>
      <c r="C338" s="1" t="n">
        <v>5</v>
      </c>
      <c r="D338" s="2" t="s">
        <v>267</v>
      </c>
      <c r="E338" s="8" t="n">
        <v>44733</v>
      </c>
      <c r="F338" s="2" t="s">
        <v>17</v>
      </c>
      <c r="G338" s="7" t="str">
        <f aca="false">HYPERLINK("https://mncourtfraud.com/file/MCRO_27-CR-22-1664_Returned Mail_2022-06-21_20251126170019.pdf","MCRO_27-CR-22-1664_Returned Mail_2022-06-21_20251126170019.pdf")</f>
        <v>MCRO_27-CR-22-1664_Returned Mail_2022-06-21_20251126170019.pdf</v>
      </c>
      <c r="H338" s="2" t="s">
        <v>1362</v>
      </c>
      <c r="I338" s="9" t="s">
        <v>2850</v>
      </c>
      <c r="J338" s="2" t="s">
        <v>2851</v>
      </c>
    </row>
    <row r="339" customFormat="false" ht="18.7" hidden="false" customHeight="true" outlineLevel="0" collapsed="false">
      <c r="A339" s="1" t="n">
        <v>338</v>
      </c>
      <c r="B339" s="7" t="str">
        <f aca="false">HYPERLINK("https://mncourtfraud.com/file/27-CR-22-1664.pdf","27-CR-22-1664")</f>
        <v>27-CR-22-1664</v>
      </c>
      <c r="C339" s="1" t="n">
        <v>5</v>
      </c>
      <c r="D339" s="2" t="s">
        <v>267</v>
      </c>
      <c r="E339" s="8" t="n">
        <v>44733</v>
      </c>
      <c r="F339" s="2" t="s">
        <v>17</v>
      </c>
      <c r="G339" s="7" t="str">
        <f aca="false">HYPERLINK("https://mncourtfraud.com/file/MCRO_27-CR-22-1664_Returned Mail_2022-06-21_20251126170027.pdf","MCRO_27-CR-22-1664_Returned Mail_2022-06-21_20251126170027.pdf")</f>
        <v>MCRO_27-CR-22-1664_Returned Mail_2022-06-21_20251126170027.pdf</v>
      </c>
      <c r="H339" s="2" t="s">
        <v>1362</v>
      </c>
      <c r="I339" s="9" t="s">
        <v>2852</v>
      </c>
      <c r="J339" s="2" t="s">
        <v>2727</v>
      </c>
    </row>
    <row r="340" customFormat="false" ht="18.7" hidden="false" customHeight="true" outlineLevel="0" collapsed="false">
      <c r="A340" s="1" t="n">
        <v>339</v>
      </c>
      <c r="B340" s="7" t="str">
        <f aca="false">HYPERLINK("https://mncourtfraud.com/file/27-CR-22-1664.pdf","27-CR-22-1664")</f>
        <v>27-CR-22-1664</v>
      </c>
      <c r="C340" s="1" t="n">
        <v>5</v>
      </c>
      <c r="D340" s="2" t="s">
        <v>267</v>
      </c>
      <c r="E340" s="8" t="n">
        <v>44733</v>
      </c>
      <c r="F340" s="2" t="s">
        <v>17</v>
      </c>
      <c r="G340" s="7" t="str">
        <f aca="false">HYPERLINK("https://mncourtfraud.com/file/MCRO_27-CR-22-1664_Returned Mail_2022-06-21_20251126170031.pdf","MCRO_27-CR-22-1664_Returned Mail_2022-06-21_20251126170031.pdf")</f>
        <v>MCRO_27-CR-22-1664_Returned Mail_2022-06-21_20251126170031.pdf</v>
      </c>
      <c r="H340" s="2" t="s">
        <v>1362</v>
      </c>
      <c r="I340" s="9" t="s">
        <v>2853</v>
      </c>
      <c r="J340" s="2" t="s">
        <v>2854</v>
      </c>
    </row>
    <row r="341" customFormat="false" ht="18.7" hidden="false" customHeight="true" outlineLevel="0" collapsed="false">
      <c r="A341" s="1" t="n">
        <v>340</v>
      </c>
      <c r="B341" s="7" t="str">
        <f aca="false">HYPERLINK("https://mncourtfraud.com/file/27-CR-22-1664.pdf","27-CR-22-1664")</f>
        <v>27-CR-22-1664</v>
      </c>
      <c r="C341" s="1" t="n">
        <v>5</v>
      </c>
      <c r="D341" s="2" t="s">
        <v>267</v>
      </c>
      <c r="E341" s="8" t="n">
        <v>44837</v>
      </c>
      <c r="F341" s="2" t="s">
        <v>17</v>
      </c>
      <c r="G341" s="7" t="str">
        <f aca="false">HYPERLINK("https://mncourtfraud.com/file/MCRO_27-CR-22-1664_Returned Mail_2022-10-03_20251126165936.pdf","MCRO_27-CR-22-1664_Returned Mail_2022-10-03_20251126165936.pdf")</f>
        <v>MCRO_27-CR-22-1664_Returned Mail_2022-10-03_20251126165936.pdf</v>
      </c>
      <c r="H341" s="2" t="s">
        <v>1362</v>
      </c>
      <c r="I341" s="9" t="s">
        <v>2855</v>
      </c>
      <c r="J341" s="2" t="s">
        <v>2729</v>
      </c>
    </row>
    <row r="342" customFormat="false" ht="18.7" hidden="false" customHeight="true" outlineLevel="0" collapsed="false">
      <c r="A342" s="1" t="n">
        <v>341</v>
      </c>
      <c r="B342" s="7" t="str">
        <f aca="false">HYPERLINK("https://mncourtfraud.com/file/27-CR-22-18472.pdf","27-CR-22-18472")</f>
        <v>27-CR-22-18472</v>
      </c>
      <c r="C342" s="1" t="n">
        <v>5</v>
      </c>
      <c r="D342" s="2" t="s">
        <v>267</v>
      </c>
      <c r="E342" s="8" t="n">
        <v>44873</v>
      </c>
      <c r="F342" s="2" t="s">
        <v>15</v>
      </c>
      <c r="G342" s="7" t="str">
        <f aca="false">HYPERLINK("https://mncourtfraud.com/file/MCRO_27-CR-22-18472_Order-Evaluation for Competency to Proceed (Rule 20.01)_2022-11-08_20251126170119.pdf","MCRO_27-CR-22-18472_Order-Evaluation for Competency to Proceed (Rule 20.01)_2022-11-08_20251126170119.pdf")</f>
        <v>MCRO_27-CR-22-18472_Order-Evaluation for Competency to Proceed (Rule 20.01)_2022-11-08_20251126170119.pdf</v>
      </c>
      <c r="H342" s="2" t="s">
        <v>1362</v>
      </c>
      <c r="I342" s="9" t="s">
        <v>2856</v>
      </c>
      <c r="J342" s="2" t="s">
        <v>2857</v>
      </c>
    </row>
    <row r="343" customFormat="false" ht="18.7" hidden="false" customHeight="true" outlineLevel="0" collapsed="false">
      <c r="A343" s="1" t="n">
        <v>342</v>
      </c>
      <c r="B343" s="7" t="str">
        <f aca="false">HYPERLINK("https://mncourtfraud.com/file/27-CR-22-18472.pdf","27-CR-22-18472")</f>
        <v>27-CR-22-18472</v>
      </c>
      <c r="C343" s="1" t="n">
        <v>5</v>
      </c>
      <c r="D343" s="2" t="s">
        <v>267</v>
      </c>
      <c r="E343" s="8" t="n">
        <v>45023</v>
      </c>
      <c r="F343" s="2" t="s">
        <v>15</v>
      </c>
      <c r="G343" s="7" t="str">
        <f aca="false">HYPERLINK("https://mncourtfraud.com/file/MCRO_27-CR-22-18472_Order-Evaluation for Competency to Proceed (Rule 20.01)_2023-04-07_20251126170128.pdf","MCRO_27-CR-22-18472_Order-Evaluation for Competency to Proceed (Rule 20.01)_2023-04-07_20251126170128.pdf")</f>
        <v>MCRO_27-CR-22-18472_Order-Evaluation for Competency to Proceed (Rule 20.01)_2023-04-07_20251126170128.pdf</v>
      </c>
      <c r="H343" s="2" t="s">
        <v>1362</v>
      </c>
      <c r="I343" s="9" t="s">
        <v>2858</v>
      </c>
      <c r="J343" s="2" t="s">
        <v>2859</v>
      </c>
    </row>
    <row r="344" customFormat="false" ht="18.7" hidden="false" customHeight="true" outlineLevel="0" collapsed="false">
      <c r="A344" s="1" t="n">
        <v>343</v>
      </c>
      <c r="B344" s="7" t="str">
        <f aca="false">HYPERLINK("https://mncourtfraud.com/file/27-CR-22-18472.pdf","27-CR-22-18472")</f>
        <v>27-CR-22-18472</v>
      </c>
      <c r="C344" s="1" t="n">
        <v>5</v>
      </c>
      <c r="D344" s="2" t="s">
        <v>267</v>
      </c>
      <c r="E344" s="8" t="n">
        <v>45194</v>
      </c>
      <c r="F344" s="2" t="s">
        <v>15</v>
      </c>
      <c r="G344" s="7" t="str">
        <f aca="false">HYPERLINK("https://mncourtfraud.com/file/MCRO_27-CR-22-18472_Order-Evaluation for Competency to Proceed (Rule 20.01)_2023-09-25_20251126170110.pdf","MCRO_27-CR-22-18472_Order-Evaluation for Competency to Proceed (Rule 20.01)_2023-09-25_20251126170110.pdf")</f>
        <v>MCRO_27-CR-22-18472_Order-Evaluation for Competency to Proceed (Rule 20.01)_2023-09-25_20251126170110.pdf</v>
      </c>
      <c r="H344" s="2" t="s">
        <v>1362</v>
      </c>
      <c r="I344" s="9" t="s">
        <v>2860</v>
      </c>
      <c r="J344" s="2" t="s">
        <v>2755</v>
      </c>
    </row>
    <row r="345" customFormat="false" ht="18.7" hidden="false" customHeight="true" outlineLevel="0" collapsed="false">
      <c r="A345" s="1" t="n">
        <v>344</v>
      </c>
      <c r="B345" s="7" t="str">
        <f aca="false">HYPERLINK("https://mncourtfraud.com/file/27-CR-22-2444.pdf","27-CR-22-2444")</f>
        <v>27-CR-22-2444</v>
      </c>
      <c r="C345" s="1" t="n">
        <v>5</v>
      </c>
      <c r="D345" s="2" t="s">
        <v>267</v>
      </c>
      <c r="E345" s="8" t="n">
        <v>44873</v>
      </c>
      <c r="F345" s="2" t="s">
        <v>15</v>
      </c>
      <c r="G345" s="7" t="str">
        <f aca="false">HYPERLINK("https://mncourtfraud.com/file/MCRO_27-CR-22-2444_Order-Evaluation for Competency to Proceed (Rule 20.01)_2022-11-08_20251126170154.pdf","MCRO_27-CR-22-2444_Order-Evaluation for Competency to Proceed (Rule 20.01)_2022-11-08_20251126170154.pdf")</f>
        <v>MCRO_27-CR-22-2444_Order-Evaluation for Competency to Proceed (Rule 20.01)_2022-11-08_20251126170154.pdf</v>
      </c>
      <c r="H345" s="2" t="s">
        <v>1362</v>
      </c>
      <c r="I345" s="9" t="s">
        <v>2861</v>
      </c>
      <c r="J345" s="2" t="s">
        <v>2862</v>
      </c>
    </row>
    <row r="346" customFormat="false" ht="18.7" hidden="false" customHeight="true" outlineLevel="0" collapsed="false">
      <c r="A346" s="1" t="n">
        <v>345</v>
      </c>
      <c r="B346" s="7" t="str">
        <f aca="false">HYPERLINK("https://mncourtfraud.com/file/27-CR-22-2444.pdf","27-CR-22-2444")</f>
        <v>27-CR-22-2444</v>
      </c>
      <c r="C346" s="1" t="n">
        <v>5</v>
      </c>
      <c r="D346" s="2" t="s">
        <v>267</v>
      </c>
      <c r="E346" s="8" t="n">
        <v>45023</v>
      </c>
      <c r="F346" s="2" t="s">
        <v>15</v>
      </c>
      <c r="G346" s="7" t="str">
        <f aca="false">HYPERLINK("https://mncourtfraud.com/file/MCRO_27-CR-22-2444_Order-Evaluation for Competency to Proceed (Rule 20.01)_2023-04-07_20251126170204.pdf","MCRO_27-CR-22-2444_Order-Evaluation for Competency to Proceed (Rule 20.01)_2023-04-07_20251126170204.pdf")</f>
        <v>MCRO_27-CR-22-2444_Order-Evaluation for Competency to Proceed (Rule 20.01)_2023-04-07_20251126170204.pdf</v>
      </c>
      <c r="H346" s="2" t="s">
        <v>1362</v>
      </c>
      <c r="I346" s="9" t="s">
        <v>2863</v>
      </c>
      <c r="J346" s="2" t="s">
        <v>2864</v>
      </c>
    </row>
    <row r="347" customFormat="false" ht="18.7" hidden="false" customHeight="true" outlineLevel="0" collapsed="false">
      <c r="A347" s="1" t="n">
        <v>346</v>
      </c>
      <c r="B347" s="7" t="str">
        <f aca="false">HYPERLINK("https://mncourtfraud.com/file/27-CR-22-2444.pdf","27-CR-22-2444")</f>
        <v>27-CR-22-2444</v>
      </c>
      <c r="C347" s="1" t="n">
        <v>5</v>
      </c>
      <c r="D347" s="2" t="s">
        <v>267</v>
      </c>
      <c r="E347" s="8" t="n">
        <v>45194</v>
      </c>
      <c r="F347" s="2" t="s">
        <v>15</v>
      </c>
      <c r="G347" s="7" t="str">
        <f aca="false">HYPERLINK("https://mncourtfraud.com/file/MCRO_27-CR-22-2444_Order-Evaluation for Competency to Proceed (Rule 20.01)_2023-09-25_20251126170213.pdf","MCRO_27-CR-22-2444_Order-Evaluation for Competency to Proceed (Rule 20.01)_2023-09-25_20251126170213.pdf")</f>
        <v>MCRO_27-CR-22-2444_Order-Evaluation for Competency to Proceed (Rule 20.01)_2023-09-25_20251126170213.pdf</v>
      </c>
      <c r="H347" s="2" t="s">
        <v>1362</v>
      </c>
      <c r="I347" s="9" t="s">
        <v>2865</v>
      </c>
      <c r="J347" s="2" t="s">
        <v>2866</v>
      </c>
    </row>
    <row r="348" customFormat="false" ht="18.7" hidden="false" customHeight="true" outlineLevel="0" collapsed="false">
      <c r="A348" s="1" t="n">
        <v>347</v>
      </c>
      <c r="B348" s="7" t="str">
        <f aca="false">HYPERLINK("https://mncourtfraud.com/file/27-CR-22-2444.pdf","27-CR-22-2444")</f>
        <v>27-CR-22-2444</v>
      </c>
      <c r="C348" s="1" t="n">
        <v>5</v>
      </c>
      <c r="D348" s="2" t="s">
        <v>267</v>
      </c>
      <c r="E348" s="8" t="n">
        <v>44733</v>
      </c>
      <c r="F348" s="2" t="s">
        <v>17</v>
      </c>
      <c r="G348" s="7" t="str">
        <f aca="false">HYPERLINK("https://mncourtfraud.com/file/MCRO_27-CR-22-2444_Returned Mail_2022-06-21_20251126170235.pdf","MCRO_27-CR-22-2444_Returned Mail_2022-06-21_20251126170235.pdf")</f>
        <v>MCRO_27-CR-22-2444_Returned Mail_2022-06-21_20251126170235.pdf</v>
      </c>
      <c r="H348" s="2" t="s">
        <v>1362</v>
      </c>
      <c r="I348" s="9" t="s">
        <v>2867</v>
      </c>
      <c r="J348" s="2" t="s">
        <v>2717</v>
      </c>
    </row>
    <row r="349" customFormat="false" ht="18.7" hidden="false" customHeight="true" outlineLevel="0" collapsed="false">
      <c r="A349" s="1" t="n">
        <v>348</v>
      </c>
      <c r="B349" s="7" t="str">
        <f aca="false">HYPERLINK("https://mncourtfraud.com/file/27-CR-22-2444.pdf","27-CR-22-2444")</f>
        <v>27-CR-22-2444</v>
      </c>
      <c r="C349" s="1" t="n">
        <v>5</v>
      </c>
      <c r="D349" s="2" t="s">
        <v>267</v>
      </c>
      <c r="E349" s="8" t="n">
        <v>44837</v>
      </c>
      <c r="F349" s="2" t="s">
        <v>17</v>
      </c>
      <c r="G349" s="7" t="str">
        <f aca="false">HYPERLINK("https://mncourtfraud.com/file/MCRO_27-CR-22-2444_Returned Mail_2022-10-03_20251126170225.pdf","MCRO_27-CR-22-2444_Returned Mail_2022-10-03_20251126170225.pdf")</f>
        <v>MCRO_27-CR-22-2444_Returned Mail_2022-10-03_20251126170225.pdf</v>
      </c>
      <c r="H349" s="2" t="s">
        <v>1362</v>
      </c>
      <c r="I349" s="9" t="s">
        <v>2868</v>
      </c>
      <c r="J349" s="2" t="s">
        <v>2729</v>
      </c>
    </row>
    <row r="350" customFormat="false" ht="18.7" hidden="false" customHeight="true" outlineLevel="0" collapsed="false">
      <c r="A350" s="1" t="n">
        <v>349</v>
      </c>
      <c r="B350" s="7" t="str">
        <f aca="false">HYPERLINK("https://mncourtfraud.com/file/27-CR-22-25069.pdf","27-CR-22-25069")</f>
        <v>27-CR-22-25069</v>
      </c>
      <c r="C350" s="1" t="n">
        <v>1</v>
      </c>
      <c r="D350" s="2" t="s">
        <v>12</v>
      </c>
      <c r="E350" s="8" t="n">
        <v>45048</v>
      </c>
      <c r="F350" s="2" t="s">
        <v>80</v>
      </c>
      <c r="G350" s="7" t="str">
        <f aca="false">HYPERLINK("https://mncourtfraud.com/file/MCRO_27-CR-22-25069_Finding of Incompetency and Order_2023-05-02_20251126185303.pdf","MCRO_27-CR-22-25069_Finding of Incompetency and Order_2023-05-02_20251126185303.pdf")</f>
        <v>MCRO_27-CR-22-25069_Finding of Incompetency and Order_2023-05-02_20251126185303.pdf</v>
      </c>
      <c r="H350" s="2" t="s">
        <v>1492</v>
      </c>
      <c r="I350" s="9" t="s">
        <v>2385</v>
      </c>
      <c r="J350" s="2" t="s">
        <v>2386</v>
      </c>
      <c r="K350" s="2" t="s">
        <v>1496</v>
      </c>
      <c r="L350" s="9" t="s">
        <v>2387</v>
      </c>
      <c r="M350" s="2" t="s">
        <v>2388</v>
      </c>
      <c r="N350" s="2" t="s">
        <v>1362</v>
      </c>
      <c r="O350" s="9" t="s">
        <v>2869</v>
      </c>
      <c r="P350" s="2" t="s">
        <v>2870</v>
      </c>
    </row>
    <row r="351" customFormat="false" ht="18.7" hidden="false" customHeight="true" outlineLevel="0" collapsed="false">
      <c r="A351" s="1" t="n">
        <v>350</v>
      </c>
      <c r="B351" s="7" t="str">
        <f aca="false">HYPERLINK("https://mncourtfraud.com/file/27-CR-22-25069.pdf","27-CR-22-25069")</f>
        <v>27-CR-22-25069</v>
      </c>
      <c r="C351" s="1" t="n">
        <v>1</v>
      </c>
      <c r="D351" s="2" t="s">
        <v>12</v>
      </c>
      <c r="E351" s="8" t="n">
        <v>45093</v>
      </c>
      <c r="F351" s="2" t="s">
        <v>82</v>
      </c>
      <c r="G351" s="7" t="str">
        <f aca="false">HYPERLINK("https://mncourtfraud.com/file/MCRO_27-CR-22-25069_Notice of Case Reassignment_2023-06-16_20251126185315.pdf","MCRO_27-CR-22-25069_Notice of Case Reassignment_2023-06-16_20251126185315.pdf")</f>
        <v>MCRO_27-CR-22-25069_Notice of Case Reassignment_2023-06-16_20251126185315.pdf</v>
      </c>
      <c r="H351" s="2" t="s">
        <v>1362</v>
      </c>
      <c r="I351" s="9" t="s">
        <v>2871</v>
      </c>
      <c r="J351" s="2" t="s">
        <v>2872</v>
      </c>
    </row>
    <row r="352" customFormat="false" ht="18.7" hidden="false" customHeight="true" outlineLevel="0" collapsed="false">
      <c r="A352" s="1" t="n">
        <v>351</v>
      </c>
      <c r="B352" s="7" t="str">
        <f aca="false">HYPERLINK("https://mncourtfraud.com/file/27-CR-22-25069.pdf","27-CR-22-25069")</f>
        <v>27-CR-22-25069</v>
      </c>
      <c r="C352" s="1" t="n">
        <v>1</v>
      </c>
      <c r="D352" s="2" t="s">
        <v>12</v>
      </c>
      <c r="E352" s="8" t="n">
        <v>45412</v>
      </c>
      <c r="F352" s="2" t="s">
        <v>24</v>
      </c>
      <c r="G352" s="7" t="str">
        <f aca="false">HYPERLINK("https://mncourtfraud.com/file/MCRO_27-CR-22-25069_Order for Conditional Release_2024-04-30_20251126185327.pdf","MCRO_27-CR-22-25069_Order for Conditional Release_2024-04-30_20251126185327.pdf")</f>
        <v>MCRO_27-CR-22-25069_Order for Conditional Release_2024-04-30_20251126185327.pdf</v>
      </c>
      <c r="H352" s="2" t="s">
        <v>1362</v>
      </c>
      <c r="I352" s="9" t="s">
        <v>2873</v>
      </c>
      <c r="J352" s="2" t="s">
        <v>2574</v>
      </c>
    </row>
    <row r="353" customFormat="false" ht="18.7" hidden="false" customHeight="true" outlineLevel="0" collapsed="false">
      <c r="A353" s="1" t="n">
        <v>352</v>
      </c>
      <c r="B353" s="7" t="str">
        <f aca="false">HYPERLINK("https://mncourtfraud.com/file/27-CR-22-25069.pdf","27-CR-22-25069")</f>
        <v>27-CR-22-25069</v>
      </c>
      <c r="C353" s="1" t="n">
        <v>1</v>
      </c>
      <c r="D353" s="2" t="s">
        <v>12</v>
      </c>
      <c r="E353" s="8" t="n">
        <v>45160</v>
      </c>
      <c r="F353" s="2" t="s">
        <v>15</v>
      </c>
      <c r="G353" s="7" t="str">
        <f aca="false">HYPERLINK("https://mncourtfraud.com/file/MCRO_27-CR-22-25069_Order-Evaluation for Competency to Proceed (Rule 20.01)_2023-08-22_20251126185424.pdf","MCRO_27-CR-22-25069_Order-Evaluation for Competency to Proceed (Rule 20.01)_2023-08-22_20251126185424.pdf")</f>
        <v>MCRO_27-CR-22-25069_Order-Evaluation for Competency to Proceed (Rule 20.01)_2023-08-22_20251126185424.pdf</v>
      </c>
      <c r="H353" s="2" t="s">
        <v>1519</v>
      </c>
      <c r="I353" s="9" t="s">
        <v>2410</v>
      </c>
      <c r="J353" s="2" t="s">
        <v>2411</v>
      </c>
      <c r="K353" s="2" t="s">
        <v>1362</v>
      </c>
      <c r="L353" s="9" t="s">
        <v>2874</v>
      </c>
      <c r="M353" s="2" t="s">
        <v>2471</v>
      </c>
    </row>
    <row r="354" customFormat="false" ht="18.7" hidden="false" customHeight="true" outlineLevel="0" collapsed="false">
      <c r="A354" s="1" t="n">
        <v>353</v>
      </c>
      <c r="B354" s="7" t="str">
        <f aca="false">HYPERLINK("https://mncourtfraud.com/file/27-CR-22-25069.pdf","27-CR-22-25069")</f>
        <v>27-CR-22-25069</v>
      </c>
      <c r="C354" s="1" t="n">
        <v>1</v>
      </c>
      <c r="D354" s="2" t="s">
        <v>12</v>
      </c>
      <c r="E354" s="8" t="n">
        <v>45412</v>
      </c>
      <c r="F354" s="2" t="s">
        <v>15</v>
      </c>
      <c r="G354" s="7" t="str">
        <f aca="false">HYPERLINK("https://mncourtfraud.com/file/MCRO_27-CR-22-25069_Order-Evaluation for Competency to Proceed (Rule 20.01)_2024-04-30_20251126185403.pdf","MCRO_27-CR-22-25069_Order-Evaluation for Competency to Proceed (Rule 20.01)_2024-04-30_20251126185403.pdf")</f>
        <v>MCRO_27-CR-22-25069_Order-Evaluation for Competency to Proceed (Rule 20.01)_2024-04-30_20251126185403.pdf</v>
      </c>
      <c r="H354" s="2" t="s">
        <v>1362</v>
      </c>
      <c r="I354" s="9" t="s">
        <v>2875</v>
      </c>
      <c r="J354" s="2" t="s">
        <v>2876</v>
      </c>
    </row>
    <row r="355" customFormat="false" ht="18.7" hidden="false" customHeight="true" outlineLevel="0" collapsed="false">
      <c r="A355" s="1" t="n">
        <v>354</v>
      </c>
      <c r="B355" s="7" t="str">
        <f aca="false">HYPERLINK("https://mncourtfraud.com/file/27-CR-22-25069.pdf","27-CR-22-25069")</f>
        <v>27-CR-22-25069</v>
      </c>
      <c r="C355" s="1" t="n">
        <v>1</v>
      </c>
      <c r="D355" s="2" t="s">
        <v>12</v>
      </c>
      <c r="E355" s="8" t="n">
        <v>44999</v>
      </c>
      <c r="F355" s="2" t="s">
        <v>17</v>
      </c>
      <c r="G355" s="7" t="str">
        <f aca="false">HYPERLINK("https://mncourtfraud.com/file/MCRO_27-CR-22-25069_Returned Mail_2023-03-14_20251126185437.pdf","MCRO_27-CR-22-25069_Returned Mail_2023-03-14_20251126185437.pdf")</f>
        <v>MCRO_27-CR-22-25069_Returned Mail_2023-03-14_20251126185437.pdf</v>
      </c>
      <c r="H355" s="2" t="s">
        <v>1362</v>
      </c>
      <c r="I355" s="9" t="s">
        <v>2877</v>
      </c>
      <c r="J355" s="2" t="s">
        <v>2878</v>
      </c>
    </row>
    <row r="356" customFormat="false" ht="18.7" hidden="false" customHeight="true" outlineLevel="0" collapsed="false">
      <c r="A356" s="1" t="n">
        <v>355</v>
      </c>
      <c r="B356" s="7" t="str">
        <f aca="false">HYPERLINK("https://mncourtfraud.com/file/27-CR-22-3864.pdf","27-CR-22-3864")</f>
        <v>27-CR-22-3864</v>
      </c>
      <c r="C356" s="1" t="n">
        <v>1</v>
      </c>
      <c r="D356" s="2" t="s">
        <v>12</v>
      </c>
      <c r="E356" s="8" t="n">
        <v>45048</v>
      </c>
      <c r="F356" s="2" t="s">
        <v>80</v>
      </c>
      <c r="G356" s="7" t="str">
        <f aca="false">HYPERLINK("https://mncourtfraud.com/file/MCRO_27-CR-22-3864_Finding of Incompetency and Order_2023-05-02_20251126185519.pdf","MCRO_27-CR-22-3864_Finding of Incompetency and Order_2023-05-02_20251126185519.pdf")</f>
        <v>MCRO_27-CR-22-3864_Finding of Incompetency and Order_2023-05-02_20251126185519.pdf</v>
      </c>
      <c r="H356" s="2" t="s">
        <v>1492</v>
      </c>
      <c r="I356" s="9" t="s">
        <v>2385</v>
      </c>
      <c r="J356" s="2" t="s">
        <v>2386</v>
      </c>
      <c r="K356" s="2" t="s">
        <v>1496</v>
      </c>
      <c r="L356" s="9" t="s">
        <v>2387</v>
      </c>
      <c r="M356" s="2" t="s">
        <v>2388</v>
      </c>
      <c r="N356" s="2" t="s">
        <v>1362</v>
      </c>
      <c r="O356" s="9" t="s">
        <v>2879</v>
      </c>
      <c r="P356" s="2" t="s">
        <v>2880</v>
      </c>
    </row>
    <row r="357" customFormat="false" ht="18.7" hidden="false" customHeight="true" outlineLevel="0" collapsed="false">
      <c r="A357" s="1" t="n">
        <v>356</v>
      </c>
      <c r="B357" s="7" t="str">
        <f aca="false">HYPERLINK("https://mncourtfraud.com/file/27-CR-22-3864.pdf","27-CR-22-3864")</f>
        <v>27-CR-22-3864</v>
      </c>
      <c r="C357" s="1" t="n">
        <v>1</v>
      </c>
      <c r="D357" s="2" t="s">
        <v>12</v>
      </c>
      <c r="E357" s="8" t="n">
        <v>44761</v>
      </c>
      <c r="F357" s="2" t="s">
        <v>15</v>
      </c>
      <c r="G357" s="7" t="str">
        <f aca="false">HYPERLINK("https://mncourtfraud.com/file/MCRO_27-CR-22-3864_Order-Evaluation for Competency to Proceed (Rule 20.01)_2022-07-19_20251126185540.pdf","MCRO_27-CR-22-3864_Order-Evaluation for Competency to Proceed (Rule 20.01)_2022-07-19_20251126185540.pdf")</f>
        <v>MCRO_27-CR-22-3864_Order-Evaluation for Competency to Proceed (Rule 20.01)_2022-07-19_20251126185540.pdf</v>
      </c>
      <c r="H357" s="2" t="s">
        <v>1362</v>
      </c>
      <c r="I357" s="9" t="s">
        <v>2881</v>
      </c>
      <c r="J357" s="2" t="s">
        <v>2832</v>
      </c>
    </row>
    <row r="358" customFormat="false" ht="18.7" hidden="false" customHeight="true" outlineLevel="0" collapsed="false">
      <c r="A358" s="1" t="n">
        <v>357</v>
      </c>
      <c r="B358" s="7" t="str">
        <f aca="false">HYPERLINK("https://mncourtfraud.com/file/27-CR-22-3864.pdf","27-CR-22-3864")</f>
        <v>27-CR-22-3864</v>
      </c>
      <c r="C358" s="1" t="n">
        <v>1</v>
      </c>
      <c r="D358" s="2" t="s">
        <v>12</v>
      </c>
      <c r="E358" s="8" t="n">
        <v>44895</v>
      </c>
      <c r="F358" s="2" t="s">
        <v>15</v>
      </c>
      <c r="G358" s="7" t="str">
        <f aca="false">HYPERLINK("https://mncourtfraud.com/file/MCRO_27-CR-22-3864_Order-Evaluation for Competency to Proceed (Rule 20.01)_2022-11-30_20251126185532.pdf","MCRO_27-CR-22-3864_Order-Evaluation for Competency to Proceed (Rule 20.01)_2022-11-30_20251126185532.pdf")</f>
        <v>MCRO_27-CR-22-3864_Order-Evaluation for Competency to Proceed (Rule 20.01)_2022-11-30_20251126185532.pdf</v>
      </c>
      <c r="H358" s="2" t="s">
        <v>1362</v>
      </c>
      <c r="I358" s="9" t="s">
        <v>2882</v>
      </c>
      <c r="J358" s="2" t="s">
        <v>2469</v>
      </c>
    </row>
    <row r="359" customFormat="false" ht="18.7" hidden="false" customHeight="true" outlineLevel="0" collapsed="false">
      <c r="A359" s="1" t="n">
        <v>358</v>
      </c>
      <c r="B359" s="7" t="str">
        <f aca="false">HYPERLINK("https://mncourtfraud.com/file/27-CR-22-3864.pdf","27-CR-22-3864")</f>
        <v>27-CR-22-3864</v>
      </c>
      <c r="C359" s="1" t="n">
        <v>1</v>
      </c>
      <c r="D359" s="2" t="s">
        <v>12</v>
      </c>
      <c r="E359" s="8" t="n">
        <v>44999</v>
      </c>
      <c r="F359" s="2" t="s">
        <v>17</v>
      </c>
      <c r="G359" s="7" t="str">
        <f aca="false">HYPERLINK("https://mncourtfraud.com/file/MCRO_27-CR-22-3864_Returned Mail_2023-03-14_20251126185557.pdf","MCRO_27-CR-22-3864_Returned Mail_2023-03-14_20251126185557.pdf")</f>
        <v>MCRO_27-CR-22-3864_Returned Mail_2023-03-14_20251126185557.pdf</v>
      </c>
      <c r="H359" s="2" t="s">
        <v>1362</v>
      </c>
      <c r="I359" s="9" t="s">
        <v>2883</v>
      </c>
      <c r="J359" s="2" t="s">
        <v>2884</v>
      </c>
    </row>
    <row r="360" customFormat="false" ht="18.7" hidden="false" customHeight="true" outlineLevel="0" collapsed="false">
      <c r="A360" s="1" t="n">
        <v>359</v>
      </c>
      <c r="B360" s="7" t="str">
        <f aca="false">HYPERLINK("https://mncourtfraud.com/file/27-CR-22-6512.pdf","27-CR-22-6512")</f>
        <v>27-CR-22-6512</v>
      </c>
      <c r="C360" s="1" t="n">
        <v>5</v>
      </c>
      <c r="D360" s="2" t="s">
        <v>267</v>
      </c>
      <c r="E360" s="8" t="n">
        <v>44873</v>
      </c>
      <c r="F360" s="2" t="s">
        <v>15</v>
      </c>
      <c r="G360" s="7" t="str">
        <f aca="false">HYPERLINK("https://mncourtfraud.com/file/MCRO_27-CR-22-6512_Order-Evaluation for Competency to Proceed (Rule 20.01)_2022-11-08_20251126170328.pdf","MCRO_27-CR-22-6512_Order-Evaluation for Competency to Proceed (Rule 20.01)_2022-11-08_20251126170328.pdf")</f>
        <v>MCRO_27-CR-22-6512_Order-Evaluation for Competency to Proceed (Rule 20.01)_2022-11-08_20251126170328.pdf</v>
      </c>
      <c r="H360" s="2" t="s">
        <v>1362</v>
      </c>
      <c r="I360" s="9" t="s">
        <v>2885</v>
      </c>
      <c r="J360" s="2" t="s">
        <v>2739</v>
      </c>
    </row>
    <row r="361" customFormat="false" ht="18.7" hidden="false" customHeight="true" outlineLevel="0" collapsed="false">
      <c r="A361" s="1" t="n">
        <v>360</v>
      </c>
      <c r="B361" s="7" t="str">
        <f aca="false">HYPERLINK("https://mncourtfraud.com/file/27-CR-22-6512.pdf","27-CR-22-6512")</f>
        <v>27-CR-22-6512</v>
      </c>
      <c r="C361" s="1" t="n">
        <v>5</v>
      </c>
      <c r="D361" s="2" t="s">
        <v>267</v>
      </c>
      <c r="E361" s="8" t="n">
        <v>45023</v>
      </c>
      <c r="F361" s="2" t="s">
        <v>15</v>
      </c>
      <c r="G361" s="7" t="str">
        <f aca="false">HYPERLINK("https://mncourtfraud.com/file/MCRO_27-CR-22-6512_Order-Evaluation for Competency to Proceed (Rule 20.01)_2023-04-07_20251126170337.pdf","MCRO_27-CR-22-6512_Order-Evaluation for Competency to Proceed (Rule 20.01)_2023-04-07_20251126170337.pdf")</f>
        <v>MCRO_27-CR-22-6512_Order-Evaluation for Competency to Proceed (Rule 20.01)_2023-04-07_20251126170337.pdf</v>
      </c>
      <c r="H361" s="2" t="s">
        <v>1362</v>
      </c>
      <c r="I361" s="9" t="s">
        <v>2886</v>
      </c>
      <c r="J361" s="2" t="s">
        <v>2887</v>
      </c>
    </row>
    <row r="362" customFormat="false" ht="18.7" hidden="false" customHeight="true" outlineLevel="0" collapsed="false">
      <c r="A362" s="1" t="n">
        <v>361</v>
      </c>
      <c r="B362" s="7" t="str">
        <f aca="false">HYPERLINK("https://mncourtfraud.com/file/27-CR-22-6512.pdf","27-CR-22-6512")</f>
        <v>27-CR-22-6512</v>
      </c>
      <c r="C362" s="1" t="n">
        <v>5</v>
      </c>
      <c r="D362" s="2" t="s">
        <v>267</v>
      </c>
      <c r="E362" s="8" t="n">
        <v>45194</v>
      </c>
      <c r="F362" s="2" t="s">
        <v>15</v>
      </c>
      <c r="G362" s="7" t="str">
        <f aca="false">HYPERLINK("https://mncourtfraud.com/file/MCRO_27-CR-22-6512_Order-Evaluation for Competency to Proceed (Rule 20.01)_2023-09-25_20251126170316.pdf","MCRO_27-CR-22-6512_Order-Evaluation for Competency to Proceed (Rule 20.01)_2023-09-25_20251126170316.pdf")</f>
        <v>MCRO_27-CR-22-6512_Order-Evaluation for Competency to Proceed (Rule 20.01)_2023-09-25_20251126170316.pdf</v>
      </c>
      <c r="H362" s="2" t="s">
        <v>1362</v>
      </c>
      <c r="I362" s="9" t="s">
        <v>2888</v>
      </c>
      <c r="J362" s="2" t="s">
        <v>2866</v>
      </c>
    </row>
    <row r="363" customFormat="false" ht="18.7" hidden="false" customHeight="true" outlineLevel="0" collapsed="false">
      <c r="A363" s="1" t="n">
        <v>362</v>
      </c>
      <c r="B363" s="7" t="str">
        <f aca="false">HYPERLINK("https://mncourtfraud.com/file/27-CR-22-6512.pdf","27-CR-22-6512")</f>
        <v>27-CR-22-6512</v>
      </c>
      <c r="C363" s="1" t="n">
        <v>5</v>
      </c>
      <c r="D363" s="2" t="s">
        <v>267</v>
      </c>
      <c r="E363" s="8" t="n">
        <v>44837</v>
      </c>
      <c r="F363" s="2" t="s">
        <v>17</v>
      </c>
      <c r="G363" s="7" t="str">
        <f aca="false">HYPERLINK("https://mncourtfraud.com/file/MCRO_27-CR-22-6512_Returned Mail_2022-10-03_20251126170305.pdf","MCRO_27-CR-22-6512_Returned Mail_2022-10-03_20251126170305.pdf")</f>
        <v>MCRO_27-CR-22-6512_Returned Mail_2022-10-03_20251126170305.pdf</v>
      </c>
      <c r="H363" s="2" t="s">
        <v>1362</v>
      </c>
      <c r="I363" s="9" t="s">
        <v>2889</v>
      </c>
      <c r="J363" s="2" t="s">
        <v>2719</v>
      </c>
    </row>
    <row r="364" customFormat="false" ht="18.7" hidden="false" customHeight="true" outlineLevel="0" collapsed="false">
      <c r="A364" s="1" t="n">
        <v>363</v>
      </c>
      <c r="B364" s="7" t="str">
        <f aca="false">HYPERLINK("https://mncourtfraud.com/file/27-CR-22-6895.pdf","27-CR-22-6895")</f>
        <v>27-CR-22-6895</v>
      </c>
      <c r="C364" s="1" t="n">
        <v>5</v>
      </c>
      <c r="D364" s="2" t="s">
        <v>267</v>
      </c>
      <c r="E364" s="8" t="n">
        <v>44873</v>
      </c>
      <c r="F364" s="2" t="s">
        <v>15</v>
      </c>
      <c r="G364" s="7" t="str">
        <f aca="false">HYPERLINK("https://mncourtfraud.com/file/MCRO_27-CR-22-6895_Order-Evaluation for Competency to Proceed (Rule 20.01)_2022-11-08_20251126170402.pdf","MCRO_27-CR-22-6895_Order-Evaluation for Competency to Proceed (Rule 20.01)_2022-11-08_20251126170402.pdf")</f>
        <v>MCRO_27-CR-22-6895_Order-Evaluation for Competency to Proceed (Rule 20.01)_2022-11-08_20251126170402.pdf</v>
      </c>
      <c r="H364" s="2" t="s">
        <v>1362</v>
      </c>
      <c r="I364" s="9" t="s">
        <v>2890</v>
      </c>
      <c r="J364" s="2" t="s">
        <v>2731</v>
      </c>
    </row>
    <row r="365" customFormat="false" ht="18.7" hidden="false" customHeight="true" outlineLevel="0" collapsed="false">
      <c r="A365" s="1" t="n">
        <v>364</v>
      </c>
      <c r="B365" s="7" t="str">
        <f aca="false">HYPERLINK("https://mncourtfraud.com/file/27-CR-22-6895.pdf","27-CR-22-6895")</f>
        <v>27-CR-22-6895</v>
      </c>
      <c r="C365" s="1" t="n">
        <v>5</v>
      </c>
      <c r="D365" s="2" t="s">
        <v>267</v>
      </c>
      <c r="E365" s="8" t="n">
        <v>45023</v>
      </c>
      <c r="F365" s="2" t="s">
        <v>15</v>
      </c>
      <c r="G365" s="7" t="str">
        <f aca="false">HYPERLINK("https://mncourtfraud.com/file/MCRO_27-CR-22-6895_Order-Evaluation for Competency to Proceed (Rule 20.01)_2023-04-07_20251126170421.pdf","MCRO_27-CR-22-6895_Order-Evaluation for Competency to Proceed (Rule 20.01)_2023-04-07_20251126170421.pdf")</f>
        <v>MCRO_27-CR-22-6895_Order-Evaluation for Competency to Proceed (Rule 20.01)_2023-04-07_20251126170421.pdf</v>
      </c>
      <c r="H365" s="2" t="s">
        <v>1362</v>
      </c>
      <c r="I365" s="9" t="s">
        <v>2891</v>
      </c>
      <c r="J365" s="2" t="s">
        <v>2892</v>
      </c>
    </row>
    <row r="366" customFormat="false" ht="18.7" hidden="false" customHeight="true" outlineLevel="0" collapsed="false">
      <c r="A366" s="1" t="n">
        <v>365</v>
      </c>
      <c r="B366" s="7" t="str">
        <f aca="false">HYPERLINK("https://mncourtfraud.com/file/27-CR-22-6895.pdf","27-CR-22-6895")</f>
        <v>27-CR-22-6895</v>
      </c>
      <c r="C366" s="1" t="n">
        <v>5</v>
      </c>
      <c r="D366" s="2" t="s">
        <v>267</v>
      </c>
      <c r="E366" s="8" t="n">
        <v>45194</v>
      </c>
      <c r="F366" s="2" t="s">
        <v>15</v>
      </c>
      <c r="G366" s="7" t="str">
        <f aca="false">HYPERLINK("https://mncourtfraud.com/file/MCRO_27-CR-22-6895_Order-Evaluation for Competency to Proceed (Rule 20.01)_2023-09-25_20251126170434.pdf","MCRO_27-CR-22-6895_Order-Evaluation for Competency to Proceed (Rule 20.01)_2023-09-25_20251126170434.pdf")</f>
        <v>MCRO_27-CR-22-6895_Order-Evaluation for Competency to Proceed (Rule 20.01)_2023-09-25_20251126170434.pdf</v>
      </c>
      <c r="H366" s="2" t="s">
        <v>1362</v>
      </c>
      <c r="I366" s="9" t="s">
        <v>2893</v>
      </c>
      <c r="J366" s="2" t="s">
        <v>2735</v>
      </c>
    </row>
    <row r="367" customFormat="false" ht="18.7" hidden="false" customHeight="true" outlineLevel="0" collapsed="false">
      <c r="A367" s="1" t="n">
        <v>366</v>
      </c>
      <c r="B367" s="7" t="str">
        <f aca="false">HYPERLINK("https://mncourtfraud.com/file/27-CR-22-6895.pdf","27-CR-22-6895")</f>
        <v>27-CR-22-6895</v>
      </c>
      <c r="C367" s="1" t="n">
        <v>5</v>
      </c>
      <c r="D367" s="2" t="s">
        <v>267</v>
      </c>
      <c r="E367" s="8" t="n">
        <v>44837</v>
      </c>
      <c r="F367" s="2" t="s">
        <v>17</v>
      </c>
      <c r="G367" s="7" t="str">
        <f aca="false">HYPERLINK("https://mncourtfraud.com/file/MCRO_27-CR-22-6895_Returned Mail_2022-10-03_20251126170447.pdf","MCRO_27-CR-22-6895_Returned Mail_2022-10-03_20251126170447.pdf")</f>
        <v>MCRO_27-CR-22-6895_Returned Mail_2022-10-03_20251126170447.pdf</v>
      </c>
      <c r="H367" s="2" t="s">
        <v>1362</v>
      </c>
      <c r="I367" s="9" t="s">
        <v>2894</v>
      </c>
      <c r="J367" s="2" t="s">
        <v>2729</v>
      </c>
    </row>
    <row r="368" customFormat="false" ht="18.7" hidden="false" customHeight="true" outlineLevel="0" collapsed="false">
      <c r="A368" s="1" t="n">
        <v>367</v>
      </c>
      <c r="B368" s="7" t="str">
        <f aca="false">HYPERLINK("https://mncourtfraud.com/file/27-CR-22-7520.pdf","27-CR-22-7520")</f>
        <v>27-CR-22-7520</v>
      </c>
      <c r="C368" s="1" t="n">
        <v>5</v>
      </c>
      <c r="D368" s="2" t="s">
        <v>267</v>
      </c>
      <c r="E368" s="8" t="n">
        <v>44873</v>
      </c>
      <c r="F368" s="2" t="s">
        <v>15</v>
      </c>
      <c r="G368" s="7" t="str">
        <f aca="false">HYPERLINK("https://mncourtfraud.com/file/MCRO_27-CR-22-7520_Order-Evaluation for Competency to Proceed (Rule 20.01)_2022-11-08_20251126170532.pdf","MCRO_27-CR-22-7520_Order-Evaluation for Competency to Proceed (Rule 20.01)_2022-11-08_20251126170532.pdf")</f>
        <v>MCRO_27-CR-22-7520_Order-Evaluation for Competency to Proceed (Rule 20.01)_2022-11-08_20251126170532.pdf</v>
      </c>
      <c r="H368" s="2" t="s">
        <v>1362</v>
      </c>
      <c r="I368" s="9" t="s">
        <v>2895</v>
      </c>
      <c r="J368" s="2" t="s">
        <v>2731</v>
      </c>
    </row>
    <row r="369" customFormat="false" ht="18.7" hidden="false" customHeight="true" outlineLevel="0" collapsed="false">
      <c r="A369" s="1" t="n">
        <v>368</v>
      </c>
      <c r="B369" s="7" t="str">
        <f aca="false">HYPERLINK("https://mncourtfraud.com/file/27-CR-22-7520.pdf","27-CR-22-7520")</f>
        <v>27-CR-22-7520</v>
      </c>
      <c r="C369" s="1" t="n">
        <v>5</v>
      </c>
      <c r="D369" s="2" t="s">
        <v>267</v>
      </c>
      <c r="E369" s="8" t="n">
        <v>45023</v>
      </c>
      <c r="F369" s="2" t="s">
        <v>15</v>
      </c>
      <c r="G369" s="7" t="str">
        <f aca="false">HYPERLINK("https://mncourtfraud.com/file/MCRO_27-CR-22-7520_Order-Evaluation for Competency to Proceed (Rule 20.01)_2023-04-07_20251126170542.pdf","MCRO_27-CR-22-7520_Order-Evaluation for Competency to Proceed (Rule 20.01)_2023-04-07_20251126170542.pdf")</f>
        <v>MCRO_27-CR-22-7520_Order-Evaluation for Competency to Proceed (Rule 20.01)_2023-04-07_20251126170542.pdf</v>
      </c>
      <c r="H369" s="2" t="s">
        <v>1362</v>
      </c>
      <c r="I369" s="9" t="s">
        <v>2896</v>
      </c>
      <c r="J369" s="2" t="s">
        <v>2897</v>
      </c>
    </row>
    <row r="370" customFormat="false" ht="18.7" hidden="false" customHeight="true" outlineLevel="0" collapsed="false">
      <c r="A370" s="1" t="n">
        <v>369</v>
      </c>
      <c r="B370" s="7" t="str">
        <f aca="false">HYPERLINK("https://mncourtfraud.com/file/27-CR-22-7520.pdf","27-CR-22-7520")</f>
        <v>27-CR-22-7520</v>
      </c>
      <c r="C370" s="1" t="n">
        <v>5</v>
      </c>
      <c r="D370" s="2" t="s">
        <v>267</v>
      </c>
      <c r="E370" s="8" t="n">
        <v>45194</v>
      </c>
      <c r="F370" s="2" t="s">
        <v>15</v>
      </c>
      <c r="G370" s="7" t="str">
        <f aca="false">HYPERLINK("https://mncourtfraud.com/file/MCRO_27-CR-22-7520_Order-Evaluation for Competency to Proceed (Rule 20.01)_2023-09-25_20251126170523.pdf","MCRO_27-CR-22-7520_Order-Evaluation for Competency to Proceed (Rule 20.01)_2023-09-25_20251126170523.pdf")</f>
        <v>MCRO_27-CR-22-7520_Order-Evaluation for Competency to Proceed (Rule 20.01)_2023-09-25_20251126170523.pdf</v>
      </c>
      <c r="H370" s="2" t="s">
        <v>1362</v>
      </c>
      <c r="I370" s="9" t="s">
        <v>2898</v>
      </c>
      <c r="J370" s="2" t="s">
        <v>2866</v>
      </c>
    </row>
    <row r="371" customFormat="false" ht="18.7" hidden="false" customHeight="true" outlineLevel="0" collapsed="false">
      <c r="A371" s="1" t="n">
        <v>370</v>
      </c>
      <c r="B371" s="7" t="str">
        <f aca="false">HYPERLINK("https://mncourtfraud.com/file/27-CR-22-7520.pdf","27-CR-22-7520")</f>
        <v>27-CR-22-7520</v>
      </c>
      <c r="C371" s="1" t="n">
        <v>5</v>
      </c>
      <c r="D371" s="2" t="s">
        <v>267</v>
      </c>
      <c r="E371" s="8" t="n">
        <v>44837</v>
      </c>
      <c r="F371" s="2" t="s">
        <v>17</v>
      </c>
      <c r="G371" s="7" t="str">
        <f aca="false">HYPERLINK("https://mncourtfraud.com/file/MCRO_27-CR-22-7520_Returned Mail_2022-10-03_20251126170511.pdf","MCRO_27-CR-22-7520_Returned Mail_2022-10-03_20251126170511.pdf")</f>
        <v>MCRO_27-CR-22-7520_Returned Mail_2022-10-03_20251126170511.pdf</v>
      </c>
      <c r="H371" s="2" t="s">
        <v>1362</v>
      </c>
      <c r="I371" s="9" t="s">
        <v>2899</v>
      </c>
      <c r="J371" s="2" t="s">
        <v>2900</v>
      </c>
    </row>
    <row r="372" customFormat="false" ht="18.7" hidden="false" customHeight="true" outlineLevel="0" collapsed="false">
      <c r="A372" s="1" t="n">
        <v>371</v>
      </c>
      <c r="B372" s="7" t="str">
        <f aca="false">HYPERLINK("https://mncourtfraud.com/file/27-CR-22-8126.pdf","27-CR-22-8126")</f>
        <v>27-CR-22-8126</v>
      </c>
      <c r="C372" s="1" t="n">
        <v>1</v>
      </c>
      <c r="D372" s="2" t="s">
        <v>12</v>
      </c>
      <c r="E372" s="8" t="n">
        <v>45048</v>
      </c>
      <c r="F372" s="2" t="s">
        <v>80</v>
      </c>
      <c r="G372" s="7" t="str">
        <f aca="false">HYPERLINK("https://mncourtfraud.com/file/MCRO_27-CR-22-8126_Finding of Incompetency and Order_2023-05-02_20251126185621.pdf","MCRO_27-CR-22-8126_Finding of Incompetency and Order_2023-05-02_20251126185621.pdf")</f>
        <v>MCRO_27-CR-22-8126_Finding of Incompetency and Order_2023-05-02_20251126185621.pdf</v>
      </c>
      <c r="H372" s="2" t="s">
        <v>1492</v>
      </c>
      <c r="I372" s="9" t="s">
        <v>2385</v>
      </c>
      <c r="J372" s="2" t="s">
        <v>2386</v>
      </c>
      <c r="K372" s="2" t="s">
        <v>1496</v>
      </c>
      <c r="L372" s="9" t="s">
        <v>2387</v>
      </c>
      <c r="M372" s="2" t="s">
        <v>2388</v>
      </c>
      <c r="N372" s="2" t="s">
        <v>1362</v>
      </c>
      <c r="O372" s="9" t="s">
        <v>2901</v>
      </c>
      <c r="P372" s="2" t="s">
        <v>2902</v>
      </c>
    </row>
    <row r="373" customFormat="false" ht="18.7" hidden="false" customHeight="true" outlineLevel="0" collapsed="false">
      <c r="A373" s="1" t="n">
        <v>372</v>
      </c>
      <c r="B373" s="7" t="str">
        <f aca="false">HYPERLINK("https://mncourtfraud.com/file/27-CR-22-8126.pdf","27-CR-22-8126")</f>
        <v>27-CR-22-8126</v>
      </c>
      <c r="C373" s="1" t="n">
        <v>1</v>
      </c>
      <c r="D373" s="2" t="s">
        <v>12</v>
      </c>
      <c r="E373" s="8" t="n">
        <v>45093</v>
      </c>
      <c r="F373" s="2" t="s">
        <v>82</v>
      </c>
      <c r="G373" s="7" t="str">
        <f aca="false">HYPERLINK("https://mncourtfraud.com/file/MCRO_27-CR-22-8126_Notice of Case Reassignment_2023-06-16_20251126185641.pdf","MCRO_27-CR-22-8126_Notice of Case Reassignment_2023-06-16_20251126185641.pdf")</f>
        <v>MCRO_27-CR-22-8126_Notice of Case Reassignment_2023-06-16_20251126185641.pdf</v>
      </c>
      <c r="H373" s="2" t="s">
        <v>1362</v>
      </c>
      <c r="I373" s="9" t="s">
        <v>2903</v>
      </c>
      <c r="J373" s="2" t="s">
        <v>2904</v>
      </c>
    </row>
    <row r="374" customFormat="false" ht="18.7" hidden="false" customHeight="true" outlineLevel="0" collapsed="false">
      <c r="A374" s="1" t="n">
        <v>373</v>
      </c>
      <c r="B374" s="7" t="str">
        <f aca="false">HYPERLINK("https://mncourtfraud.com/file/27-CR-22-8126.pdf","27-CR-22-8126")</f>
        <v>27-CR-22-8126</v>
      </c>
      <c r="C374" s="1" t="n">
        <v>1</v>
      </c>
      <c r="D374" s="2" t="s">
        <v>12</v>
      </c>
      <c r="E374" s="8" t="n">
        <v>45412</v>
      </c>
      <c r="F374" s="2" t="s">
        <v>24</v>
      </c>
      <c r="G374" s="7" t="str">
        <f aca="false">HYPERLINK("https://mncourtfraud.com/file/MCRO_27-CR-22-8126_Order for Conditional Release_2024-04-30_20251126185651.pdf","MCRO_27-CR-22-8126_Order for Conditional Release_2024-04-30_20251126185651.pdf")</f>
        <v>MCRO_27-CR-22-8126_Order for Conditional Release_2024-04-30_20251126185651.pdf</v>
      </c>
      <c r="H374" s="2" t="s">
        <v>1362</v>
      </c>
      <c r="I374" s="9" t="s">
        <v>2905</v>
      </c>
      <c r="J374" s="2" t="s">
        <v>2400</v>
      </c>
    </row>
    <row r="375" customFormat="false" ht="18.7" hidden="false" customHeight="true" outlineLevel="0" collapsed="false">
      <c r="A375" s="1" t="n">
        <v>374</v>
      </c>
      <c r="B375" s="7" t="str">
        <f aca="false">HYPERLINK("https://mncourtfraud.com/file/27-CR-22-8126.pdf","27-CR-22-8126")</f>
        <v>27-CR-22-8126</v>
      </c>
      <c r="C375" s="1" t="n">
        <v>1</v>
      </c>
      <c r="D375" s="2" t="s">
        <v>12</v>
      </c>
      <c r="E375" s="8" t="n">
        <v>44761</v>
      </c>
      <c r="F375" s="2" t="s">
        <v>15</v>
      </c>
      <c r="G375" s="7" t="str">
        <f aca="false">HYPERLINK("https://mncourtfraud.com/file/MCRO_27-CR-22-8126_Order-Evaluation for Competency to Proceed (Rule 20.01)_2022-07-19_20251126185733.pdf","MCRO_27-CR-22-8126_Order-Evaluation for Competency to Proceed (Rule 20.01)_2022-07-19_20251126185733.pdf")</f>
        <v>MCRO_27-CR-22-8126_Order-Evaluation for Competency to Proceed (Rule 20.01)_2022-07-19_20251126185733.pdf</v>
      </c>
      <c r="H375" s="2" t="s">
        <v>1362</v>
      </c>
      <c r="I375" s="9" t="s">
        <v>2906</v>
      </c>
      <c r="J375" s="2" t="s">
        <v>2832</v>
      </c>
    </row>
    <row r="376" customFormat="false" ht="18.7" hidden="false" customHeight="true" outlineLevel="0" collapsed="false">
      <c r="A376" s="1" t="n">
        <v>375</v>
      </c>
      <c r="B376" s="7" t="str">
        <f aca="false">HYPERLINK("https://mncourtfraud.com/file/27-CR-22-8126.pdf","27-CR-22-8126")</f>
        <v>27-CR-22-8126</v>
      </c>
      <c r="C376" s="1" t="n">
        <v>1</v>
      </c>
      <c r="D376" s="2" t="s">
        <v>12</v>
      </c>
      <c r="E376" s="8" t="n">
        <v>44895</v>
      </c>
      <c r="F376" s="2" t="s">
        <v>15</v>
      </c>
      <c r="G376" s="7" t="str">
        <f aca="false">HYPERLINK("https://mncourtfraud.com/file/MCRO_27-CR-22-8126_Order-Evaluation for Competency to Proceed (Rule 20.01)_2022-11-30_20251126185703.pdf","MCRO_27-CR-22-8126_Order-Evaluation for Competency to Proceed (Rule 20.01)_2022-11-30_20251126185703.pdf")</f>
        <v>MCRO_27-CR-22-8126_Order-Evaluation for Competency to Proceed (Rule 20.01)_2022-11-30_20251126185703.pdf</v>
      </c>
      <c r="H376" s="2" t="s">
        <v>1362</v>
      </c>
      <c r="I376" s="9" t="s">
        <v>2907</v>
      </c>
      <c r="J376" s="2" t="s">
        <v>2659</v>
      </c>
    </row>
    <row r="377" customFormat="false" ht="18.7" hidden="false" customHeight="true" outlineLevel="0" collapsed="false">
      <c r="A377" s="1" t="n">
        <v>376</v>
      </c>
      <c r="B377" s="7" t="str">
        <f aca="false">HYPERLINK("https://mncourtfraud.com/file/27-CR-22-8126.pdf","27-CR-22-8126")</f>
        <v>27-CR-22-8126</v>
      </c>
      <c r="C377" s="1" t="n">
        <v>1</v>
      </c>
      <c r="D377" s="2" t="s">
        <v>12</v>
      </c>
      <c r="E377" s="8" t="n">
        <v>45160</v>
      </c>
      <c r="F377" s="2" t="s">
        <v>15</v>
      </c>
      <c r="G377" s="7" t="str">
        <f aca="false">HYPERLINK("https://mncourtfraud.com/file/MCRO_27-CR-22-8126_Order-Evaluation for Competency to Proceed (Rule 20.01)_2023-08-22_20251126185711.pdf","MCRO_27-CR-22-8126_Order-Evaluation for Competency to Proceed (Rule 20.01)_2023-08-22_20251126185711.pdf")</f>
        <v>MCRO_27-CR-22-8126_Order-Evaluation for Competency to Proceed (Rule 20.01)_2023-08-22_20251126185711.pdf</v>
      </c>
      <c r="H377" s="2" t="s">
        <v>1519</v>
      </c>
      <c r="I377" s="9" t="s">
        <v>2410</v>
      </c>
      <c r="J377" s="2" t="s">
        <v>2411</v>
      </c>
      <c r="K377" s="2" t="s">
        <v>1362</v>
      </c>
      <c r="L377" s="9" t="s">
        <v>2908</v>
      </c>
      <c r="M377" s="2" t="s">
        <v>2909</v>
      </c>
    </row>
    <row r="378" customFormat="false" ht="18.7" hidden="false" customHeight="true" outlineLevel="0" collapsed="false">
      <c r="A378" s="1" t="n">
        <v>377</v>
      </c>
      <c r="B378" s="7" t="str">
        <f aca="false">HYPERLINK("https://mncourtfraud.com/file/27-CR-22-8126.pdf","27-CR-22-8126")</f>
        <v>27-CR-22-8126</v>
      </c>
      <c r="C378" s="1" t="n">
        <v>1</v>
      </c>
      <c r="D378" s="2" t="s">
        <v>12</v>
      </c>
      <c r="E378" s="8" t="n">
        <v>45412</v>
      </c>
      <c r="F378" s="2" t="s">
        <v>15</v>
      </c>
      <c r="G378" s="7" t="str">
        <f aca="false">HYPERLINK("https://mncourtfraud.com/file/MCRO_27-CR-22-8126_Order-Evaluation for Competency to Proceed (Rule 20.01)_2024-04-30_20251126185722.pdf","MCRO_27-CR-22-8126_Order-Evaluation for Competency to Proceed (Rule 20.01)_2024-04-30_20251126185722.pdf")</f>
        <v>MCRO_27-CR-22-8126_Order-Evaluation for Competency to Proceed (Rule 20.01)_2024-04-30_20251126185722.pdf</v>
      </c>
      <c r="H378" s="2" t="s">
        <v>1362</v>
      </c>
      <c r="I378" s="9" t="s">
        <v>2910</v>
      </c>
      <c r="J378" s="2" t="s">
        <v>2561</v>
      </c>
    </row>
    <row r="379" customFormat="false" ht="18.7" hidden="false" customHeight="true" outlineLevel="0" collapsed="false">
      <c r="A379" s="1" t="n">
        <v>378</v>
      </c>
      <c r="B379" s="7" t="str">
        <f aca="false">HYPERLINK("https://mncourtfraud.com/file/27-CR-22-8126.pdf","27-CR-22-8126")</f>
        <v>27-CR-22-8126</v>
      </c>
      <c r="C379" s="1" t="n">
        <v>1</v>
      </c>
      <c r="D379" s="2" t="s">
        <v>12</v>
      </c>
      <c r="E379" s="8" t="n">
        <v>44999</v>
      </c>
      <c r="F379" s="2" t="s">
        <v>17</v>
      </c>
      <c r="G379" s="7" t="str">
        <f aca="false">HYPERLINK("https://mncourtfraud.com/file/MCRO_27-CR-22-8126_Returned Mail_2023-03-14_20251126185747.pdf","MCRO_27-CR-22-8126_Returned Mail_2023-03-14_20251126185747.pdf")</f>
        <v>MCRO_27-CR-22-8126_Returned Mail_2023-03-14_20251126185747.pdf</v>
      </c>
      <c r="H379" s="2" t="s">
        <v>1362</v>
      </c>
      <c r="I379" s="9" t="s">
        <v>2911</v>
      </c>
      <c r="J379" s="2" t="s">
        <v>2912</v>
      </c>
    </row>
    <row r="380" customFormat="false" ht="18.7" hidden="false" customHeight="true" outlineLevel="0" collapsed="false">
      <c r="A380" s="1" t="n">
        <v>379</v>
      </c>
      <c r="B380" s="7" t="str">
        <f aca="false">HYPERLINK("https://mncourtfraud.com/file/27-CR-22-8226.pdf","27-CR-22-8226")</f>
        <v>27-CR-22-8226</v>
      </c>
      <c r="C380" s="1" t="n">
        <v>5</v>
      </c>
      <c r="D380" s="2" t="s">
        <v>267</v>
      </c>
      <c r="E380" s="8" t="n">
        <v>44873</v>
      </c>
      <c r="F380" s="2" t="s">
        <v>15</v>
      </c>
      <c r="G380" s="7" t="str">
        <f aca="false">HYPERLINK("https://mncourtfraud.com/file/MCRO_27-CR-22-8226_Order-Evaluation for Competency to Proceed (Rule 20.01)_2022-11-08_20251126170603.pdf","MCRO_27-CR-22-8226_Order-Evaluation for Competency to Proceed (Rule 20.01)_2022-11-08_20251126170603.pdf")</f>
        <v>MCRO_27-CR-22-8226_Order-Evaluation for Competency to Proceed (Rule 20.01)_2022-11-08_20251126170603.pdf</v>
      </c>
      <c r="H380" s="2" t="s">
        <v>1362</v>
      </c>
      <c r="I380" s="9" t="s">
        <v>2913</v>
      </c>
      <c r="J380" s="2" t="s">
        <v>2857</v>
      </c>
    </row>
    <row r="381" customFormat="false" ht="18.7" hidden="false" customHeight="true" outlineLevel="0" collapsed="false">
      <c r="A381" s="1" t="n">
        <v>380</v>
      </c>
      <c r="B381" s="7" t="str">
        <f aca="false">HYPERLINK("https://mncourtfraud.com/file/27-CR-22-8226.pdf","27-CR-22-8226")</f>
        <v>27-CR-22-8226</v>
      </c>
      <c r="C381" s="1" t="n">
        <v>5</v>
      </c>
      <c r="D381" s="2" t="s">
        <v>267</v>
      </c>
      <c r="E381" s="8" t="n">
        <v>45023</v>
      </c>
      <c r="F381" s="2" t="s">
        <v>15</v>
      </c>
      <c r="G381" s="7" t="str">
        <f aca="false">HYPERLINK("https://mncourtfraud.com/file/MCRO_27-CR-22-8226_Order-Evaluation for Competency to Proceed (Rule 20.01)_2023-04-07_20251126170613.pdf","MCRO_27-CR-22-8226_Order-Evaluation for Competency to Proceed (Rule 20.01)_2023-04-07_20251126170613.pdf")</f>
        <v>MCRO_27-CR-22-8226_Order-Evaluation for Competency to Proceed (Rule 20.01)_2023-04-07_20251126170613.pdf</v>
      </c>
      <c r="H381" s="2" t="s">
        <v>1362</v>
      </c>
      <c r="I381" s="9" t="s">
        <v>2914</v>
      </c>
      <c r="J381" s="2" t="s">
        <v>2915</v>
      </c>
    </row>
    <row r="382" customFormat="false" ht="18.7" hidden="false" customHeight="true" outlineLevel="0" collapsed="false">
      <c r="A382" s="1" t="n">
        <v>381</v>
      </c>
      <c r="B382" s="7" t="str">
        <f aca="false">HYPERLINK("https://mncourtfraud.com/file/27-CR-22-8226.pdf","27-CR-22-8226")</f>
        <v>27-CR-22-8226</v>
      </c>
      <c r="C382" s="1" t="n">
        <v>5</v>
      </c>
      <c r="D382" s="2" t="s">
        <v>267</v>
      </c>
      <c r="E382" s="8" t="n">
        <v>45194</v>
      </c>
      <c r="F382" s="2" t="s">
        <v>15</v>
      </c>
      <c r="G382" s="7" t="str">
        <f aca="false">HYPERLINK("https://mncourtfraud.com/file/MCRO_27-CR-22-8226_Order-Evaluation for Competency to Proceed (Rule 20.01)_2023-09-25_20251126170623.pdf","MCRO_27-CR-22-8226_Order-Evaluation for Competency to Proceed (Rule 20.01)_2023-09-25_20251126170623.pdf")</f>
        <v>MCRO_27-CR-22-8226_Order-Evaluation for Competency to Proceed (Rule 20.01)_2023-09-25_20251126170623.pdf</v>
      </c>
      <c r="H382" s="2" t="s">
        <v>1362</v>
      </c>
      <c r="I382" s="9" t="s">
        <v>2916</v>
      </c>
      <c r="J382" s="2" t="s">
        <v>2866</v>
      </c>
    </row>
    <row r="383" customFormat="false" ht="18.7" hidden="false" customHeight="true" outlineLevel="0" collapsed="false">
      <c r="A383" s="1" t="n">
        <v>382</v>
      </c>
      <c r="B383" s="7" t="str">
        <f aca="false">HYPERLINK("https://mncourtfraud.com/file/27-CR-22-8226.pdf","27-CR-22-8226")</f>
        <v>27-CR-22-8226</v>
      </c>
      <c r="C383" s="1" t="n">
        <v>5</v>
      </c>
      <c r="D383" s="2" t="s">
        <v>267</v>
      </c>
      <c r="E383" s="8" t="n">
        <v>44837</v>
      </c>
      <c r="F383" s="2" t="s">
        <v>17</v>
      </c>
      <c r="G383" s="7" t="str">
        <f aca="false">HYPERLINK("https://mncourtfraud.com/file/MCRO_27-CR-22-8226_Returned Mail_2022-10-03_20251126170634.pdf","MCRO_27-CR-22-8226_Returned Mail_2022-10-03_20251126170634.pdf")</f>
        <v>MCRO_27-CR-22-8226_Returned Mail_2022-10-03_20251126170634.pdf</v>
      </c>
      <c r="H383" s="2" t="s">
        <v>1362</v>
      </c>
      <c r="I383" s="9" t="s">
        <v>2917</v>
      </c>
      <c r="J383" s="2" t="s">
        <v>2729</v>
      </c>
    </row>
    <row r="384" customFormat="false" ht="18.7" hidden="false" customHeight="true" outlineLevel="0" collapsed="false">
      <c r="A384" s="1" t="n">
        <v>383</v>
      </c>
      <c r="B384" s="7" t="str">
        <f aca="false">HYPERLINK("https://mncourtfraud.com/file/27-CR-22-8378.pdf","27-CR-22-8378")</f>
        <v>27-CR-22-8378</v>
      </c>
      <c r="C384" s="1" t="n">
        <v>1</v>
      </c>
      <c r="D384" s="2" t="s">
        <v>12</v>
      </c>
      <c r="E384" s="8" t="n">
        <v>45048</v>
      </c>
      <c r="F384" s="2" t="s">
        <v>80</v>
      </c>
      <c r="G384" s="7" t="str">
        <f aca="false">HYPERLINK("https://mncourtfraud.com/file/MCRO_27-CR-22-8378_Finding of Incompetency and Order_2023-05-02_20251126185812.pdf","MCRO_27-CR-22-8378_Finding of Incompetency and Order_2023-05-02_20251126185812.pdf")</f>
        <v>MCRO_27-CR-22-8378_Finding of Incompetency and Order_2023-05-02_20251126185812.pdf</v>
      </c>
      <c r="H384" s="2" t="s">
        <v>1492</v>
      </c>
      <c r="I384" s="9" t="s">
        <v>2385</v>
      </c>
      <c r="J384" s="2" t="s">
        <v>2386</v>
      </c>
      <c r="K384" s="2" t="s">
        <v>1496</v>
      </c>
      <c r="L384" s="9" t="s">
        <v>2387</v>
      </c>
      <c r="M384" s="2" t="s">
        <v>2388</v>
      </c>
      <c r="N384" s="2" t="s">
        <v>1362</v>
      </c>
      <c r="O384" s="9" t="s">
        <v>2918</v>
      </c>
      <c r="P384" s="2" t="s">
        <v>2919</v>
      </c>
    </row>
    <row r="385" customFormat="false" ht="18.7" hidden="false" customHeight="true" outlineLevel="0" collapsed="false">
      <c r="A385" s="1" t="n">
        <v>384</v>
      </c>
      <c r="B385" s="7" t="str">
        <f aca="false">HYPERLINK("https://mncourtfraud.com/file/27-CR-22-8378.pdf","27-CR-22-8378")</f>
        <v>27-CR-22-8378</v>
      </c>
      <c r="C385" s="1" t="n">
        <v>1</v>
      </c>
      <c r="D385" s="2" t="s">
        <v>12</v>
      </c>
      <c r="E385" s="8" t="n">
        <v>45093</v>
      </c>
      <c r="F385" s="2" t="s">
        <v>82</v>
      </c>
      <c r="G385" s="7" t="str">
        <f aca="false">HYPERLINK("https://mncourtfraud.com/file/MCRO_27-CR-22-8378_Notice of Case Reassignment_2023-06-16_20251126185824.pdf","MCRO_27-CR-22-8378_Notice of Case Reassignment_2023-06-16_20251126185824.pdf")</f>
        <v>MCRO_27-CR-22-8378_Notice of Case Reassignment_2023-06-16_20251126185824.pdf</v>
      </c>
      <c r="H385" s="2" t="s">
        <v>1362</v>
      </c>
      <c r="I385" s="9" t="s">
        <v>2920</v>
      </c>
      <c r="J385" s="2" t="s">
        <v>2620</v>
      </c>
    </row>
    <row r="386" customFormat="false" ht="18.7" hidden="false" customHeight="true" outlineLevel="0" collapsed="false">
      <c r="A386" s="1" t="n">
        <v>385</v>
      </c>
      <c r="B386" s="7" t="str">
        <f aca="false">HYPERLINK("https://mncourtfraud.com/file/27-CR-22-8378.pdf","27-CR-22-8378")</f>
        <v>27-CR-22-8378</v>
      </c>
      <c r="C386" s="1" t="n">
        <v>1</v>
      </c>
      <c r="D386" s="2" t="s">
        <v>12</v>
      </c>
      <c r="E386" s="8" t="n">
        <v>45412</v>
      </c>
      <c r="F386" s="2" t="s">
        <v>24</v>
      </c>
      <c r="G386" s="7" t="str">
        <f aca="false">HYPERLINK("https://mncourtfraud.com/file/MCRO_27-CR-22-8378_Order for Conditional Release_2024-04-30_20251126185838.pdf","MCRO_27-CR-22-8378_Order for Conditional Release_2024-04-30_20251126185838.pdf")</f>
        <v>MCRO_27-CR-22-8378_Order for Conditional Release_2024-04-30_20251126185838.pdf</v>
      </c>
      <c r="H386" s="2" t="s">
        <v>1362</v>
      </c>
      <c r="I386" s="9" t="s">
        <v>2921</v>
      </c>
      <c r="J386" s="2" t="s">
        <v>2524</v>
      </c>
    </row>
    <row r="387" customFormat="false" ht="18.7" hidden="false" customHeight="true" outlineLevel="0" collapsed="false">
      <c r="A387" s="1" t="n">
        <v>386</v>
      </c>
      <c r="B387" s="7" t="str">
        <f aca="false">HYPERLINK("https://mncourtfraud.com/file/27-CR-22-8378.pdf","27-CR-22-8378")</f>
        <v>27-CR-22-8378</v>
      </c>
      <c r="C387" s="1" t="n">
        <v>1</v>
      </c>
      <c r="D387" s="2" t="s">
        <v>12</v>
      </c>
      <c r="E387" s="8" t="n">
        <v>44761</v>
      </c>
      <c r="F387" s="2" t="s">
        <v>15</v>
      </c>
      <c r="G387" s="7" t="str">
        <f aca="false">HYPERLINK("https://mncourtfraud.com/file/MCRO_27-CR-22-8378_Order-Evaluation for Competency to Proceed (Rule 20.01)_2022-07-19_20251126185857.pdf","MCRO_27-CR-22-8378_Order-Evaluation for Competency to Proceed (Rule 20.01)_2022-07-19_20251126185857.pdf")</f>
        <v>MCRO_27-CR-22-8378_Order-Evaluation for Competency to Proceed (Rule 20.01)_2022-07-19_20251126185857.pdf</v>
      </c>
      <c r="H387" s="2" t="s">
        <v>1362</v>
      </c>
      <c r="I387" s="9" t="s">
        <v>2922</v>
      </c>
      <c r="J387" s="2" t="s">
        <v>2923</v>
      </c>
    </row>
    <row r="388" customFormat="false" ht="18.7" hidden="false" customHeight="true" outlineLevel="0" collapsed="false">
      <c r="A388" s="1" t="n">
        <v>387</v>
      </c>
      <c r="B388" s="7" t="str">
        <f aca="false">HYPERLINK("https://mncourtfraud.com/file/27-CR-22-8378.pdf","27-CR-22-8378")</f>
        <v>27-CR-22-8378</v>
      </c>
      <c r="C388" s="1" t="n">
        <v>1</v>
      </c>
      <c r="D388" s="2" t="s">
        <v>12</v>
      </c>
      <c r="E388" s="8" t="n">
        <v>44895</v>
      </c>
      <c r="F388" s="2" t="s">
        <v>15</v>
      </c>
      <c r="G388" s="7" t="str">
        <f aca="false">HYPERLINK("https://mncourtfraud.com/file/MCRO_27-CR-22-8378_Order-Evaluation for Competency to Proceed (Rule 20.01)_2022-11-30_20251126185908.pdf","MCRO_27-CR-22-8378_Order-Evaluation for Competency to Proceed (Rule 20.01)_2022-11-30_20251126185908.pdf")</f>
        <v>MCRO_27-CR-22-8378_Order-Evaluation for Competency to Proceed (Rule 20.01)_2022-11-30_20251126185908.pdf</v>
      </c>
      <c r="H388" s="2" t="s">
        <v>1362</v>
      </c>
      <c r="I388" s="9" t="s">
        <v>2924</v>
      </c>
      <c r="J388" s="2" t="s">
        <v>2583</v>
      </c>
    </row>
    <row r="389" customFormat="false" ht="18.7" hidden="false" customHeight="true" outlineLevel="0" collapsed="false">
      <c r="A389" s="1" t="n">
        <v>388</v>
      </c>
      <c r="B389" s="7" t="str">
        <f aca="false">HYPERLINK("https://mncourtfraud.com/file/27-CR-22-8378.pdf","27-CR-22-8378")</f>
        <v>27-CR-22-8378</v>
      </c>
      <c r="C389" s="1" t="n">
        <v>1</v>
      </c>
      <c r="D389" s="2" t="s">
        <v>12</v>
      </c>
      <c r="E389" s="8" t="n">
        <v>45160</v>
      </c>
      <c r="F389" s="2" t="s">
        <v>15</v>
      </c>
      <c r="G389" s="7" t="str">
        <f aca="false">HYPERLINK("https://mncourtfraud.com/file/MCRO_27-CR-22-8378_Order-Evaluation for Competency to Proceed (Rule 20.01)_2023-08-22_20251126185920.pdf","MCRO_27-CR-22-8378_Order-Evaluation for Competency to Proceed (Rule 20.01)_2023-08-22_20251126185920.pdf")</f>
        <v>MCRO_27-CR-22-8378_Order-Evaluation for Competency to Proceed (Rule 20.01)_2023-08-22_20251126185920.pdf</v>
      </c>
      <c r="H389" s="2" t="s">
        <v>1519</v>
      </c>
      <c r="I389" s="9" t="s">
        <v>2410</v>
      </c>
      <c r="J389" s="2" t="s">
        <v>2411</v>
      </c>
      <c r="K389" s="2" t="s">
        <v>1362</v>
      </c>
      <c r="L389" s="9" t="s">
        <v>2925</v>
      </c>
      <c r="M389" s="2" t="s">
        <v>2471</v>
      </c>
    </row>
    <row r="390" customFormat="false" ht="18.7" hidden="false" customHeight="true" outlineLevel="0" collapsed="false">
      <c r="A390" s="1" t="n">
        <v>389</v>
      </c>
      <c r="B390" s="7" t="str">
        <f aca="false">HYPERLINK("https://mncourtfraud.com/file/27-CR-22-8378.pdf","27-CR-22-8378")</f>
        <v>27-CR-22-8378</v>
      </c>
      <c r="C390" s="1" t="n">
        <v>1</v>
      </c>
      <c r="D390" s="2" t="s">
        <v>12</v>
      </c>
      <c r="E390" s="8" t="n">
        <v>45412</v>
      </c>
      <c r="F390" s="2" t="s">
        <v>15</v>
      </c>
      <c r="G390" s="7" t="str">
        <f aca="false">HYPERLINK("https://mncourtfraud.com/file/MCRO_27-CR-22-8378_Order-Evaluation for Competency to Proceed (Rule 20.01)_2024-04-30_20251126185849.pdf","MCRO_27-CR-22-8378_Order-Evaluation for Competency to Proceed (Rule 20.01)_2024-04-30_20251126185849.pdf")</f>
        <v>MCRO_27-CR-22-8378_Order-Evaluation for Competency to Proceed (Rule 20.01)_2024-04-30_20251126185849.pdf</v>
      </c>
      <c r="H390" s="2" t="s">
        <v>1362</v>
      </c>
      <c r="I390" s="9" t="s">
        <v>2926</v>
      </c>
      <c r="J390" s="2" t="s">
        <v>2771</v>
      </c>
    </row>
    <row r="391" customFormat="false" ht="18.7" hidden="false" customHeight="true" outlineLevel="0" collapsed="false">
      <c r="A391" s="1" t="n">
        <v>390</v>
      </c>
      <c r="B391" s="7" t="str">
        <f aca="false">HYPERLINK("https://mncourtfraud.com/file/27-CR-22-9930.pdf","27-CR-22-9930")</f>
        <v>27-CR-22-9930</v>
      </c>
      <c r="C391" s="1" t="n">
        <v>1</v>
      </c>
      <c r="D391" s="2" t="s">
        <v>12</v>
      </c>
      <c r="E391" s="8" t="n">
        <v>45048</v>
      </c>
      <c r="F391" s="2" t="s">
        <v>80</v>
      </c>
      <c r="G391" s="7" t="str">
        <f aca="false">HYPERLINK("https://mncourtfraud.com/file/MCRO_27-CR-22-9930_Finding of Incompetency and Order_2023-05-02_20251126185948.pdf","MCRO_27-CR-22-9930_Finding of Incompetency and Order_2023-05-02_20251126185948.pdf")</f>
        <v>MCRO_27-CR-22-9930_Finding of Incompetency and Order_2023-05-02_20251126185948.pdf</v>
      </c>
      <c r="H391" s="2" t="s">
        <v>1492</v>
      </c>
      <c r="I391" s="9" t="s">
        <v>2385</v>
      </c>
      <c r="J391" s="2" t="s">
        <v>2386</v>
      </c>
      <c r="K391" s="2" t="s">
        <v>1496</v>
      </c>
      <c r="L391" s="9" t="s">
        <v>2387</v>
      </c>
      <c r="M391" s="2" t="s">
        <v>2388</v>
      </c>
      <c r="N391" s="2" t="s">
        <v>1362</v>
      </c>
      <c r="O391" s="9" t="s">
        <v>2927</v>
      </c>
      <c r="P391" s="2" t="s">
        <v>2928</v>
      </c>
    </row>
    <row r="392" customFormat="false" ht="18.7" hidden="false" customHeight="true" outlineLevel="0" collapsed="false">
      <c r="A392" s="1" t="n">
        <v>391</v>
      </c>
      <c r="B392" s="7" t="str">
        <f aca="false">HYPERLINK("https://mncourtfraud.com/file/27-CR-22-9930.pdf","27-CR-22-9930")</f>
        <v>27-CR-22-9930</v>
      </c>
      <c r="C392" s="1" t="n">
        <v>1</v>
      </c>
      <c r="D392" s="2" t="s">
        <v>12</v>
      </c>
      <c r="E392" s="8" t="n">
        <v>44761</v>
      </c>
      <c r="F392" s="2" t="s">
        <v>15</v>
      </c>
      <c r="G392" s="7" t="str">
        <f aca="false">HYPERLINK("https://mncourtfraud.com/file/MCRO_27-CR-22-9930_Order-Evaluation for Competency to Proceed (Rule 20.01)_2022-07-19_20251126190007.pdf","MCRO_27-CR-22-9930_Order-Evaluation for Competency to Proceed (Rule 20.01)_2022-07-19_20251126190007.pdf")</f>
        <v>MCRO_27-CR-22-9930_Order-Evaluation for Competency to Proceed (Rule 20.01)_2022-07-19_20251126190007.pdf</v>
      </c>
      <c r="H392" s="2" t="s">
        <v>1362</v>
      </c>
      <c r="I392" s="9" t="s">
        <v>2929</v>
      </c>
      <c r="J392" s="2" t="s">
        <v>2923</v>
      </c>
    </row>
    <row r="393" customFormat="false" ht="18.7" hidden="false" customHeight="true" outlineLevel="0" collapsed="false">
      <c r="A393" s="1" t="n">
        <v>392</v>
      </c>
      <c r="B393" s="7" t="str">
        <f aca="false">HYPERLINK("https://mncourtfraud.com/file/27-CR-22-9930.pdf","27-CR-22-9930")</f>
        <v>27-CR-22-9930</v>
      </c>
      <c r="C393" s="1" t="n">
        <v>1</v>
      </c>
      <c r="D393" s="2" t="s">
        <v>12</v>
      </c>
      <c r="E393" s="8" t="n">
        <v>44895</v>
      </c>
      <c r="F393" s="2" t="s">
        <v>15</v>
      </c>
      <c r="G393" s="7" t="str">
        <f aca="false">HYPERLINK("https://mncourtfraud.com/file/MCRO_27-CR-22-9930_Order-Evaluation for Competency to Proceed (Rule 20.01)_2022-11-30_20251126185959.pdf","MCRO_27-CR-22-9930_Order-Evaluation for Competency to Proceed (Rule 20.01)_2022-11-30_20251126185959.pdf")</f>
        <v>MCRO_27-CR-22-9930_Order-Evaluation for Competency to Proceed (Rule 20.01)_2022-11-30_20251126185959.pdf</v>
      </c>
      <c r="H393" s="2" t="s">
        <v>1362</v>
      </c>
      <c r="I393" s="9" t="s">
        <v>2930</v>
      </c>
      <c r="J393" s="2" t="s">
        <v>2469</v>
      </c>
    </row>
    <row r="394" customFormat="false" ht="18.7" hidden="false" customHeight="true" outlineLevel="0" collapsed="false">
      <c r="A394" s="1" t="n">
        <v>393</v>
      </c>
      <c r="B394" s="7" t="str">
        <f aca="false">HYPERLINK("https://mncourtfraud.com/file/27-CR-23-1583.pdf","27-CR-23-1583")</f>
        <v>27-CR-23-1583</v>
      </c>
      <c r="C394" s="1" t="n">
        <v>1</v>
      </c>
      <c r="D394" s="2" t="s">
        <v>12</v>
      </c>
      <c r="E394" s="8" t="n">
        <v>45048</v>
      </c>
      <c r="F394" s="2" t="s">
        <v>80</v>
      </c>
      <c r="G394" s="7" t="str">
        <f aca="false">HYPERLINK("https://mncourtfraud.com/file/MCRO_27-CR-23-1583_Finding of Incompetency and Order_2023-05-02_20251126190033.pdf","MCRO_27-CR-23-1583_Finding of Incompetency and Order_2023-05-02_20251126190033.pdf")</f>
        <v>MCRO_27-CR-23-1583_Finding of Incompetency and Order_2023-05-02_20251126190033.pdf</v>
      </c>
      <c r="H394" s="2" t="s">
        <v>1492</v>
      </c>
      <c r="I394" s="9" t="s">
        <v>2385</v>
      </c>
      <c r="J394" s="2" t="s">
        <v>2386</v>
      </c>
      <c r="K394" s="2" t="s">
        <v>1496</v>
      </c>
      <c r="L394" s="9" t="s">
        <v>2387</v>
      </c>
      <c r="M394" s="2" t="s">
        <v>2388</v>
      </c>
      <c r="N394" s="2" t="s">
        <v>1362</v>
      </c>
      <c r="O394" s="9" t="s">
        <v>2931</v>
      </c>
      <c r="P394" s="2" t="s">
        <v>2870</v>
      </c>
    </row>
    <row r="395" customFormat="false" ht="18.7" hidden="false" customHeight="true" outlineLevel="0" collapsed="false">
      <c r="A395" s="1" t="n">
        <v>394</v>
      </c>
      <c r="B395" s="7" t="str">
        <f aca="false">HYPERLINK("https://mncourtfraud.com/file/27-CR-23-1583.pdf","27-CR-23-1583")</f>
        <v>27-CR-23-1583</v>
      </c>
      <c r="C395" s="1" t="n">
        <v>1</v>
      </c>
      <c r="D395" s="2" t="s">
        <v>12</v>
      </c>
      <c r="E395" s="8" t="n">
        <v>45093</v>
      </c>
      <c r="F395" s="2" t="s">
        <v>82</v>
      </c>
      <c r="G395" s="7" t="str">
        <f aca="false">HYPERLINK("https://mncourtfraud.com/file/MCRO_27-CR-23-1583_Notice of Case Reassignment_2023-06-16_20251126190045.pdf","MCRO_27-CR-23-1583_Notice of Case Reassignment_2023-06-16_20251126190045.pdf")</f>
        <v>MCRO_27-CR-23-1583_Notice of Case Reassignment_2023-06-16_20251126190045.pdf</v>
      </c>
      <c r="H395" s="2" t="s">
        <v>1362</v>
      </c>
      <c r="I395" s="9" t="s">
        <v>2932</v>
      </c>
      <c r="J395" s="2" t="s">
        <v>2694</v>
      </c>
    </row>
    <row r="396" customFormat="false" ht="18.7" hidden="false" customHeight="true" outlineLevel="0" collapsed="false">
      <c r="A396" s="1" t="n">
        <v>395</v>
      </c>
      <c r="B396" s="7" t="str">
        <f aca="false">HYPERLINK("https://mncourtfraud.com/file/27-CR-23-1583.pdf","27-CR-23-1583")</f>
        <v>27-CR-23-1583</v>
      </c>
      <c r="C396" s="1" t="n">
        <v>1</v>
      </c>
      <c r="D396" s="2" t="s">
        <v>12</v>
      </c>
      <c r="E396" s="8" t="n">
        <v>45412</v>
      </c>
      <c r="F396" s="2" t="s">
        <v>24</v>
      </c>
      <c r="G396" s="7" t="str">
        <f aca="false">HYPERLINK("https://mncourtfraud.com/file/MCRO_27-CR-23-1583_Order for Conditional Release_2024-04-30_20251126190100.pdf","MCRO_27-CR-23-1583_Order for Conditional Release_2024-04-30_20251126190100.pdf")</f>
        <v>MCRO_27-CR-23-1583_Order for Conditional Release_2024-04-30_20251126190100.pdf</v>
      </c>
      <c r="H396" s="2" t="s">
        <v>1362</v>
      </c>
      <c r="I396" s="9" t="s">
        <v>2933</v>
      </c>
      <c r="J396" s="2" t="s">
        <v>2400</v>
      </c>
    </row>
    <row r="397" customFormat="false" ht="18.7" hidden="false" customHeight="true" outlineLevel="0" collapsed="false">
      <c r="A397" s="1" t="n">
        <v>396</v>
      </c>
      <c r="B397" s="7" t="str">
        <f aca="false">HYPERLINK("https://mncourtfraud.com/file/27-CR-23-1583.pdf","27-CR-23-1583")</f>
        <v>27-CR-23-1583</v>
      </c>
      <c r="C397" s="1" t="n">
        <v>1</v>
      </c>
      <c r="D397" s="2" t="s">
        <v>12</v>
      </c>
      <c r="E397" s="8" t="n">
        <v>45160</v>
      </c>
      <c r="F397" s="2" t="s">
        <v>15</v>
      </c>
      <c r="G397" s="7" t="str">
        <f aca="false">HYPERLINK("https://mncourtfraud.com/file/MCRO_27-CR-23-1583_Order-Evaluation for Competency to Proceed (Rule 20.01)_2023-08-22_20251126190123.pdf","MCRO_27-CR-23-1583_Order-Evaluation for Competency to Proceed (Rule 20.01)_2023-08-22_20251126190123.pdf")</f>
        <v>MCRO_27-CR-23-1583_Order-Evaluation for Competency to Proceed (Rule 20.01)_2023-08-22_20251126190123.pdf</v>
      </c>
      <c r="H397" s="2" t="s">
        <v>1519</v>
      </c>
      <c r="I397" s="9" t="s">
        <v>2410</v>
      </c>
      <c r="J397" s="2" t="s">
        <v>2411</v>
      </c>
      <c r="K397" s="2" t="s">
        <v>1362</v>
      </c>
      <c r="L397" s="9" t="s">
        <v>2934</v>
      </c>
      <c r="M397" s="2" t="s">
        <v>2471</v>
      </c>
    </row>
    <row r="398" customFormat="false" ht="18.7" hidden="false" customHeight="true" outlineLevel="0" collapsed="false">
      <c r="A398" s="1" t="n">
        <v>397</v>
      </c>
      <c r="B398" s="7" t="str">
        <f aca="false">HYPERLINK("https://mncourtfraud.com/file/27-CR-23-1583.pdf","27-CR-23-1583")</f>
        <v>27-CR-23-1583</v>
      </c>
      <c r="C398" s="1" t="n">
        <v>1</v>
      </c>
      <c r="D398" s="2" t="s">
        <v>12</v>
      </c>
      <c r="E398" s="8" t="n">
        <v>45412</v>
      </c>
      <c r="F398" s="2" t="s">
        <v>15</v>
      </c>
      <c r="G398" s="7" t="str">
        <f aca="false">HYPERLINK("https://mncourtfraud.com/file/MCRO_27-CR-23-1583_Order-Evaluation for Competency to Proceed (Rule 20.01)_2024-04-30_20251126190111.pdf","MCRO_27-CR-23-1583_Order-Evaluation for Competency to Proceed (Rule 20.01)_2024-04-30_20251126190111.pdf")</f>
        <v>MCRO_27-CR-23-1583_Order-Evaluation for Competency to Proceed (Rule 20.01)_2024-04-30_20251126190111.pdf</v>
      </c>
      <c r="H398" s="2" t="s">
        <v>1362</v>
      </c>
      <c r="I398" s="9" t="s">
        <v>2935</v>
      </c>
      <c r="J398" s="2" t="s">
        <v>2709</v>
      </c>
    </row>
    <row r="399" customFormat="false" ht="18.7" hidden="false" customHeight="true" outlineLevel="0" collapsed="false">
      <c r="A399" s="1" t="n">
        <v>398</v>
      </c>
      <c r="B399" s="7" t="str">
        <f aca="false">HYPERLINK("https://mncourtfraud.com/file/27-CR-23-4900.pdf","27-CR-23-4900")</f>
        <v>27-CR-23-4900</v>
      </c>
      <c r="C399" s="1" t="n">
        <v>1</v>
      </c>
      <c r="D399" s="2" t="s">
        <v>12</v>
      </c>
      <c r="E399" s="8" t="n">
        <v>45048</v>
      </c>
      <c r="F399" s="2" t="s">
        <v>80</v>
      </c>
      <c r="G399" s="7" t="str">
        <f aca="false">HYPERLINK("https://mncourtfraud.com/file/MCRO_27-CR-23-4900_Finding of Incompetency and Order_2023-05-02_20251126190145.pdf","MCRO_27-CR-23-4900_Finding of Incompetency and Order_2023-05-02_20251126190145.pdf")</f>
        <v>MCRO_27-CR-23-4900_Finding of Incompetency and Order_2023-05-02_20251126190145.pdf</v>
      </c>
      <c r="H399" s="2" t="s">
        <v>1492</v>
      </c>
      <c r="I399" s="9" t="s">
        <v>2385</v>
      </c>
      <c r="J399" s="2" t="s">
        <v>2386</v>
      </c>
      <c r="K399" s="2" t="s">
        <v>1496</v>
      </c>
      <c r="L399" s="9" t="s">
        <v>2387</v>
      </c>
      <c r="M399" s="2" t="s">
        <v>2388</v>
      </c>
      <c r="N399" s="2" t="s">
        <v>1362</v>
      </c>
      <c r="O399" s="9" t="s">
        <v>2936</v>
      </c>
      <c r="P399" s="2" t="s">
        <v>2937</v>
      </c>
    </row>
    <row r="400" customFormat="false" ht="18.7" hidden="false" customHeight="true" outlineLevel="0" collapsed="false">
      <c r="A400" s="1" t="n">
        <v>399</v>
      </c>
      <c r="B400" s="7" t="str">
        <f aca="false">HYPERLINK("https://mncourtfraud.com/file/27-CR-23-4900.pdf","27-CR-23-4900")</f>
        <v>27-CR-23-4900</v>
      </c>
      <c r="C400" s="1" t="n">
        <v>1</v>
      </c>
      <c r="D400" s="2" t="s">
        <v>12</v>
      </c>
      <c r="E400" s="8" t="n">
        <v>45093</v>
      </c>
      <c r="F400" s="2" t="s">
        <v>82</v>
      </c>
      <c r="G400" s="7" t="str">
        <f aca="false">HYPERLINK("https://mncourtfraud.com/file/MCRO_27-CR-23-4900_Notice of Case Reassignment_2023-06-16_20251126190156.pdf","MCRO_27-CR-23-4900_Notice of Case Reassignment_2023-06-16_20251126190156.pdf")</f>
        <v>MCRO_27-CR-23-4900_Notice of Case Reassignment_2023-06-16_20251126190156.pdf</v>
      </c>
      <c r="H400" s="2" t="s">
        <v>1362</v>
      </c>
      <c r="I400" s="9" t="s">
        <v>2938</v>
      </c>
      <c r="J400" s="2" t="s">
        <v>2694</v>
      </c>
    </row>
    <row r="401" customFormat="false" ht="18.7" hidden="false" customHeight="true" outlineLevel="0" collapsed="false">
      <c r="A401" s="1" t="n">
        <v>400</v>
      </c>
      <c r="B401" s="7" t="str">
        <f aca="false">HYPERLINK("https://mncourtfraud.com/file/27-CR-23-4900.pdf","27-CR-23-4900")</f>
        <v>27-CR-23-4900</v>
      </c>
      <c r="C401" s="1" t="n">
        <v>1</v>
      </c>
      <c r="D401" s="2" t="s">
        <v>12</v>
      </c>
      <c r="E401" s="8" t="n">
        <v>45412</v>
      </c>
      <c r="F401" s="2" t="s">
        <v>24</v>
      </c>
      <c r="G401" s="7" t="str">
        <f aca="false">HYPERLINK("https://mncourtfraud.com/file/MCRO_27-CR-23-4900_Order for Conditional Release_2024-04-30_20251126190206.pdf","MCRO_27-CR-23-4900_Order for Conditional Release_2024-04-30_20251126190206.pdf")</f>
        <v>MCRO_27-CR-23-4900_Order for Conditional Release_2024-04-30_20251126190206.pdf</v>
      </c>
      <c r="H401" s="2" t="s">
        <v>1362</v>
      </c>
      <c r="I401" s="9" t="s">
        <v>2939</v>
      </c>
      <c r="J401" s="2" t="s">
        <v>2524</v>
      </c>
    </row>
    <row r="402" customFormat="false" ht="18.7" hidden="false" customHeight="true" outlineLevel="0" collapsed="false">
      <c r="A402" s="1" t="n">
        <v>401</v>
      </c>
      <c r="B402" s="7" t="str">
        <f aca="false">HYPERLINK("https://mncourtfraud.com/file/27-CR-23-4900.pdf","27-CR-23-4900")</f>
        <v>27-CR-23-4900</v>
      </c>
      <c r="C402" s="1" t="n">
        <v>1</v>
      </c>
      <c r="D402" s="2" t="s">
        <v>12</v>
      </c>
      <c r="E402" s="8" t="n">
        <v>45160</v>
      </c>
      <c r="F402" s="2" t="s">
        <v>15</v>
      </c>
      <c r="G402" s="7" t="str">
        <f aca="false">HYPERLINK("https://mncourtfraud.com/file/MCRO_27-CR-23-4900_Order-Evaluation for Competency to Proceed (Rule 20.01)_2023-08-22_20251126190217.pdf","MCRO_27-CR-23-4900_Order-Evaluation for Competency to Proceed (Rule 20.01)_2023-08-22_20251126190217.pdf")</f>
        <v>MCRO_27-CR-23-4900_Order-Evaluation for Competency to Proceed (Rule 20.01)_2023-08-22_20251126190217.pdf</v>
      </c>
      <c r="H402" s="2" t="s">
        <v>1519</v>
      </c>
      <c r="I402" s="9" t="s">
        <v>2410</v>
      </c>
      <c r="J402" s="2" t="s">
        <v>2411</v>
      </c>
      <c r="K402" s="2" t="s">
        <v>1362</v>
      </c>
      <c r="L402" s="9" t="s">
        <v>2940</v>
      </c>
      <c r="M402" s="2" t="s">
        <v>2471</v>
      </c>
    </row>
    <row r="403" customFormat="false" ht="18.7" hidden="false" customHeight="true" outlineLevel="0" collapsed="false">
      <c r="A403" s="1" t="n">
        <v>402</v>
      </c>
      <c r="B403" s="7" t="str">
        <f aca="false">HYPERLINK("https://mncourtfraud.com/file/27-CR-23-4900.pdf","27-CR-23-4900")</f>
        <v>27-CR-23-4900</v>
      </c>
      <c r="C403" s="1" t="n">
        <v>1</v>
      </c>
      <c r="D403" s="2" t="s">
        <v>12</v>
      </c>
      <c r="E403" s="8" t="n">
        <v>45412</v>
      </c>
      <c r="F403" s="2" t="s">
        <v>15</v>
      </c>
      <c r="G403" s="7" t="str">
        <f aca="false">HYPERLINK("https://mncourtfraud.com/file/MCRO_27-CR-23-4900_Order-Evaluation for Competency to Proceed (Rule 20.01)_2024-04-30_20251126190224.pdf","MCRO_27-CR-23-4900_Order-Evaluation for Competency to Proceed (Rule 20.01)_2024-04-30_20251126190224.pdf")</f>
        <v>MCRO_27-CR-23-4900_Order-Evaluation for Competency to Proceed (Rule 20.01)_2024-04-30_20251126190224.pdf</v>
      </c>
      <c r="H403" s="2" t="s">
        <v>1362</v>
      </c>
      <c r="I403" s="9" t="s">
        <v>2941</v>
      </c>
      <c r="J403" s="2" t="s">
        <v>2415</v>
      </c>
    </row>
    <row r="404" customFormat="false" ht="18.7" hidden="false" customHeight="true" outlineLevel="0" collapsed="false">
      <c r="A404" s="1" t="n">
        <v>403</v>
      </c>
      <c r="B404" s="7" t="str">
        <f aca="false">HYPERLINK("https://mncourtfraud.com/file/27-CR-23-4904.pdf","27-CR-23-4904")</f>
        <v>27-CR-23-4904</v>
      </c>
      <c r="C404" s="1" t="n">
        <v>1</v>
      </c>
      <c r="D404" s="2" t="s">
        <v>12</v>
      </c>
      <c r="E404" s="8" t="n">
        <v>45048</v>
      </c>
      <c r="F404" s="2" t="s">
        <v>80</v>
      </c>
      <c r="G404" s="7" t="str">
        <f aca="false">HYPERLINK("https://mncourtfraud.com/file/MCRO_27-CR-23-4904_Finding of Incompetency and Order_2023-05-02_20251126190244.pdf","MCRO_27-CR-23-4904_Finding of Incompetency and Order_2023-05-02_20251126190244.pdf")</f>
        <v>MCRO_27-CR-23-4904_Finding of Incompetency and Order_2023-05-02_20251126190244.pdf</v>
      </c>
      <c r="H404" s="2" t="s">
        <v>1492</v>
      </c>
      <c r="I404" s="9" t="s">
        <v>2385</v>
      </c>
      <c r="J404" s="2" t="s">
        <v>2386</v>
      </c>
      <c r="K404" s="2" t="s">
        <v>1496</v>
      </c>
      <c r="L404" s="9" t="s">
        <v>2387</v>
      </c>
      <c r="M404" s="2" t="s">
        <v>2388</v>
      </c>
      <c r="N404" s="2" t="s">
        <v>1362</v>
      </c>
      <c r="O404" s="9" t="s">
        <v>2942</v>
      </c>
      <c r="P404" s="2" t="s">
        <v>2819</v>
      </c>
    </row>
    <row r="405" customFormat="false" ht="18.7" hidden="false" customHeight="true" outlineLevel="0" collapsed="false">
      <c r="A405" s="1" t="n">
        <v>404</v>
      </c>
      <c r="B405" s="7" t="str">
        <f aca="false">HYPERLINK("https://mncourtfraud.com/file/27-CR-23-4904.pdf","27-CR-23-4904")</f>
        <v>27-CR-23-4904</v>
      </c>
      <c r="C405" s="1" t="n">
        <v>1</v>
      </c>
      <c r="D405" s="2" t="s">
        <v>12</v>
      </c>
      <c r="E405" s="8" t="n">
        <v>45093</v>
      </c>
      <c r="F405" s="2" t="s">
        <v>82</v>
      </c>
      <c r="G405" s="7" t="str">
        <f aca="false">HYPERLINK("https://mncourtfraud.com/file/MCRO_27-CR-23-4904_Notice of Case Reassignment_2023-06-16_20251126190256.pdf","MCRO_27-CR-23-4904_Notice of Case Reassignment_2023-06-16_20251126190256.pdf")</f>
        <v>MCRO_27-CR-23-4904_Notice of Case Reassignment_2023-06-16_20251126190256.pdf</v>
      </c>
      <c r="H405" s="2" t="s">
        <v>1362</v>
      </c>
      <c r="I405" s="9" t="s">
        <v>2943</v>
      </c>
      <c r="J405" s="2" t="s">
        <v>2596</v>
      </c>
    </row>
    <row r="406" customFormat="false" ht="18.7" hidden="false" customHeight="true" outlineLevel="0" collapsed="false">
      <c r="A406" s="1" t="n">
        <v>405</v>
      </c>
      <c r="B406" s="7" t="str">
        <f aca="false">HYPERLINK("https://mncourtfraud.com/file/27-CR-23-4904.pdf","27-CR-23-4904")</f>
        <v>27-CR-23-4904</v>
      </c>
      <c r="C406" s="1" t="n">
        <v>1</v>
      </c>
      <c r="D406" s="2" t="s">
        <v>12</v>
      </c>
      <c r="E406" s="8" t="n">
        <v>45412</v>
      </c>
      <c r="F406" s="2" t="s">
        <v>24</v>
      </c>
      <c r="G406" s="7" t="str">
        <f aca="false">HYPERLINK("https://mncourtfraud.com/file/MCRO_27-CR-23-4904_Order for Conditional Release_2024-04-30_20251126190306.pdf","MCRO_27-CR-23-4904_Order for Conditional Release_2024-04-30_20251126190306.pdf")</f>
        <v>MCRO_27-CR-23-4904_Order for Conditional Release_2024-04-30_20251126190306.pdf</v>
      </c>
      <c r="H406" s="2" t="s">
        <v>1362</v>
      </c>
      <c r="I406" s="9" t="s">
        <v>2944</v>
      </c>
      <c r="J406" s="2" t="s">
        <v>2945</v>
      </c>
    </row>
    <row r="407" customFormat="false" ht="18.7" hidden="false" customHeight="true" outlineLevel="0" collapsed="false">
      <c r="A407" s="1" t="n">
        <v>406</v>
      </c>
      <c r="B407" s="7" t="str">
        <f aca="false">HYPERLINK("https://mncourtfraud.com/file/27-CR-23-4904.pdf","27-CR-23-4904")</f>
        <v>27-CR-23-4904</v>
      </c>
      <c r="C407" s="1" t="n">
        <v>1</v>
      </c>
      <c r="D407" s="2" t="s">
        <v>12</v>
      </c>
      <c r="E407" s="8" t="n">
        <v>45160</v>
      </c>
      <c r="F407" s="2" t="s">
        <v>15</v>
      </c>
      <c r="G407" s="7" t="str">
        <f aca="false">HYPERLINK("https://mncourtfraud.com/file/MCRO_27-CR-23-4904_Order-Evaluation for Competency to Proceed (Rule 20.01)_2023-08-22_20251126190323.pdf","MCRO_27-CR-23-4904_Order-Evaluation for Competency to Proceed (Rule 20.01)_2023-08-22_20251126190323.pdf")</f>
        <v>MCRO_27-CR-23-4904_Order-Evaluation for Competency to Proceed (Rule 20.01)_2023-08-22_20251126190323.pdf</v>
      </c>
      <c r="H407" s="2" t="s">
        <v>1519</v>
      </c>
      <c r="I407" s="9" t="s">
        <v>2410</v>
      </c>
      <c r="J407" s="2" t="s">
        <v>2411</v>
      </c>
      <c r="K407" s="2" t="s">
        <v>1362</v>
      </c>
      <c r="L407" s="9" t="s">
        <v>2946</v>
      </c>
      <c r="M407" s="2" t="s">
        <v>2947</v>
      </c>
    </row>
    <row r="408" customFormat="false" ht="18.7" hidden="false" customHeight="true" outlineLevel="0" collapsed="false">
      <c r="A408" s="1" t="n">
        <v>407</v>
      </c>
      <c r="B408" s="7" t="str">
        <f aca="false">HYPERLINK("https://mncourtfraud.com/file/27-CR-23-4904.pdf","27-CR-23-4904")</f>
        <v>27-CR-23-4904</v>
      </c>
      <c r="C408" s="1" t="n">
        <v>1</v>
      </c>
      <c r="D408" s="2" t="s">
        <v>12</v>
      </c>
      <c r="E408" s="8" t="n">
        <v>45412</v>
      </c>
      <c r="F408" s="2" t="s">
        <v>15</v>
      </c>
      <c r="G408" s="7" t="str">
        <f aca="false">HYPERLINK("https://mncourtfraud.com/file/MCRO_27-CR-23-4904_Order-Evaluation for Competency to Proceed (Rule 20.01)_2024-04-30_20251126190319.pdf","MCRO_27-CR-23-4904_Order-Evaluation for Competency to Proceed (Rule 20.01)_2024-04-30_20251126190319.pdf")</f>
        <v>MCRO_27-CR-23-4904_Order-Evaluation for Competency to Proceed (Rule 20.01)_2024-04-30_20251126190319.pdf</v>
      </c>
      <c r="H408" s="2" t="s">
        <v>1362</v>
      </c>
      <c r="I408" s="9" t="s">
        <v>2948</v>
      </c>
      <c r="J408" s="2" t="s">
        <v>2709</v>
      </c>
    </row>
    <row r="409" customFormat="false" ht="18.7" hidden="false" customHeight="true" outlineLevel="0" collapsed="false">
      <c r="A409" s="1" t="n">
        <v>408</v>
      </c>
      <c r="B409" s="7" t="str">
        <f aca="false">HYPERLINK("https://mncourtfraud.com/file/27-CR-23-7087.pdf","27-CR-23-7087")</f>
        <v>27-CR-23-7087</v>
      </c>
      <c r="C409" s="1" t="n">
        <v>1</v>
      </c>
      <c r="D409" s="2" t="s">
        <v>12</v>
      </c>
      <c r="E409" s="8" t="n">
        <v>45048</v>
      </c>
      <c r="F409" s="2" t="s">
        <v>80</v>
      </c>
      <c r="G409" s="7" t="str">
        <f aca="false">HYPERLINK("https://mncourtfraud.com/file/MCRO_27-CR-23-7087_Finding of Incompetency and Order_2023-05-02_20251126190352.pdf","MCRO_27-CR-23-7087_Finding of Incompetency and Order_2023-05-02_20251126190352.pdf")</f>
        <v>MCRO_27-CR-23-7087_Finding of Incompetency and Order_2023-05-02_20251126190352.pdf</v>
      </c>
      <c r="H409" s="2" t="s">
        <v>1492</v>
      </c>
      <c r="I409" s="9" t="s">
        <v>2385</v>
      </c>
      <c r="J409" s="2" t="s">
        <v>2386</v>
      </c>
      <c r="K409" s="2" t="s">
        <v>1496</v>
      </c>
      <c r="L409" s="9" t="s">
        <v>2387</v>
      </c>
      <c r="M409" s="2" t="s">
        <v>2388</v>
      </c>
      <c r="N409" s="2" t="s">
        <v>1362</v>
      </c>
      <c r="O409" s="9" t="s">
        <v>2949</v>
      </c>
      <c r="P409" s="2" t="s">
        <v>2419</v>
      </c>
    </row>
    <row r="410" customFormat="false" ht="18.7" hidden="false" customHeight="true" outlineLevel="0" collapsed="false">
      <c r="A410" s="1" t="n">
        <v>409</v>
      </c>
      <c r="B410" s="7" t="str">
        <f aca="false">HYPERLINK("https://mncourtfraud.com/file/27-CR-23-7087.pdf","27-CR-23-7087")</f>
        <v>27-CR-23-7087</v>
      </c>
      <c r="C410" s="1" t="n">
        <v>1</v>
      </c>
      <c r="D410" s="2" t="s">
        <v>12</v>
      </c>
      <c r="E410" s="8" t="n">
        <v>45412</v>
      </c>
      <c r="F410" s="2" t="s">
        <v>24</v>
      </c>
      <c r="G410" s="7" t="str">
        <f aca="false">HYPERLINK("https://mncourtfraud.com/file/MCRO_27-CR-23-7087_Order for Conditional Release_2024-04-30_20251126190403.pdf","MCRO_27-CR-23-7087_Order for Conditional Release_2024-04-30_20251126190403.pdf")</f>
        <v>MCRO_27-CR-23-7087_Order for Conditional Release_2024-04-30_20251126190403.pdf</v>
      </c>
      <c r="H410" s="2" t="s">
        <v>1362</v>
      </c>
      <c r="I410" s="9" t="s">
        <v>2950</v>
      </c>
      <c r="J410" s="2" t="s">
        <v>2945</v>
      </c>
    </row>
    <row r="411" customFormat="false" ht="18.7" hidden="false" customHeight="true" outlineLevel="0" collapsed="false">
      <c r="A411" s="1" t="n">
        <v>410</v>
      </c>
      <c r="B411" s="7" t="str">
        <f aca="false">HYPERLINK("https://mncourtfraud.com/file/27-CR-23-7087.pdf","27-CR-23-7087")</f>
        <v>27-CR-23-7087</v>
      </c>
      <c r="C411" s="1" t="n">
        <v>1</v>
      </c>
      <c r="D411" s="2" t="s">
        <v>12</v>
      </c>
      <c r="E411" s="8" t="n">
        <v>45160</v>
      </c>
      <c r="F411" s="2" t="s">
        <v>15</v>
      </c>
      <c r="G411" s="7" t="str">
        <f aca="false">HYPERLINK("https://mncourtfraud.com/file/MCRO_27-CR-23-7087_Order-Evaluation for Competency to Proceed (Rule 20.01)_2023-08-22_20251126190421.pdf","MCRO_27-CR-23-7087_Order-Evaluation for Competency to Proceed (Rule 20.01)_2023-08-22_20251126190421.pdf")</f>
        <v>MCRO_27-CR-23-7087_Order-Evaluation for Competency to Proceed (Rule 20.01)_2023-08-22_20251126190421.pdf</v>
      </c>
      <c r="H411" s="2" t="s">
        <v>1519</v>
      </c>
      <c r="I411" s="9" t="s">
        <v>2410</v>
      </c>
      <c r="J411" s="2" t="s">
        <v>2411</v>
      </c>
      <c r="K411" s="2" t="s">
        <v>1362</v>
      </c>
      <c r="L411" s="9" t="s">
        <v>2951</v>
      </c>
      <c r="M411" s="2" t="s">
        <v>2471</v>
      </c>
    </row>
    <row r="412" customFormat="false" ht="18.7" hidden="false" customHeight="true" outlineLevel="0" collapsed="false">
      <c r="A412" s="1" t="n">
        <v>411</v>
      </c>
      <c r="B412" s="7" t="str">
        <f aca="false">HYPERLINK("https://mncourtfraud.com/file/27-CR-23-7087.pdf","27-CR-23-7087")</f>
        <v>27-CR-23-7087</v>
      </c>
      <c r="C412" s="1" t="n">
        <v>1</v>
      </c>
      <c r="D412" s="2" t="s">
        <v>12</v>
      </c>
      <c r="E412" s="8" t="n">
        <v>45412</v>
      </c>
      <c r="F412" s="2" t="s">
        <v>15</v>
      </c>
      <c r="G412" s="7" t="str">
        <f aca="false">HYPERLINK("https://mncourtfraud.com/file/MCRO_27-CR-23-7087_Order-Evaluation for Competency to Proceed (Rule 20.01)_2024-04-30_20251126190428.pdf","MCRO_27-CR-23-7087_Order-Evaluation for Competency to Proceed (Rule 20.01)_2024-04-30_20251126190428.pdf")</f>
        <v>MCRO_27-CR-23-7087_Order-Evaluation for Competency to Proceed (Rule 20.01)_2024-04-30_20251126190428.pdf</v>
      </c>
      <c r="H412" s="2" t="s">
        <v>1362</v>
      </c>
      <c r="I412" s="9" t="s">
        <v>2952</v>
      </c>
      <c r="J412" s="2" t="s">
        <v>2953</v>
      </c>
    </row>
    <row r="413" customFormat="false" ht="18.7" hidden="false" customHeight="true" outlineLevel="0" collapsed="false">
      <c r="A413" s="1" t="n">
        <v>412</v>
      </c>
      <c r="B413" s="7" t="str">
        <f aca="false">HYPERLINK("https://mncourtfraud.com/file/27-CR-23-7088.pdf","27-CR-23-7088")</f>
        <v>27-CR-23-7088</v>
      </c>
      <c r="C413" s="1" t="n">
        <v>1</v>
      </c>
      <c r="D413" s="2" t="s">
        <v>12</v>
      </c>
      <c r="E413" s="8" t="n">
        <v>45048</v>
      </c>
      <c r="F413" s="2" t="s">
        <v>80</v>
      </c>
      <c r="G413" s="7" t="str">
        <f aca="false">HYPERLINK("https://mncourtfraud.com/file/MCRO_27-CR-23-7088_Finding of Incompetency and Order_2023-05-02_20251126190457.pdf","MCRO_27-CR-23-7088_Finding of Incompetency and Order_2023-05-02_20251126190457.pdf")</f>
        <v>MCRO_27-CR-23-7088_Finding of Incompetency and Order_2023-05-02_20251126190457.pdf</v>
      </c>
      <c r="H413" s="2" t="s">
        <v>1492</v>
      </c>
      <c r="I413" s="9" t="s">
        <v>2385</v>
      </c>
      <c r="J413" s="2" t="s">
        <v>2386</v>
      </c>
      <c r="K413" s="2" t="s">
        <v>1496</v>
      </c>
      <c r="L413" s="9" t="s">
        <v>2387</v>
      </c>
      <c r="M413" s="2" t="s">
        <v>2388</v>
      </c>
      <c r="N413" s="2" t="s">
        <v>1362</v>
      </c>
      <c r="O413" s="9" t="s">
        <v>2954</v>
      </c>
      <c r="P413" s="2" t="s">
        <v>2955</v>
      </c>
    </row>
    <row r="414" customFormat="false" ht="18.7" hidden="false" customHeight="true" outlineLevel="0" collapsed="false">
      <c r="A414" s="1" t="n">
        <v>413</v>
      </c>
      <c r="B414" s="7" t="str">
        <f aca="false">HYPERLINK("https://mncourtfraud.com/file/27-CR-23-7088.pdf","27-CR-23-7088")</f>
        <v>27-CR-23-7088</v>
      </c>
      <c r="C414" s="1" t="n">
        <v>1</v>
      </c>
      <c r="D414" s="2" t="s">
        <v>12</v>
      </c>
      <c r="E414" s="8" t="n">
        <v>45412</v>
      </c>
      <c r="F414" s="2" t="s">
        <v>24</v>
      </c>
      <c r="G414" s="7" t="str">
        <f aca="false">HYPERLINK("https://mncourtfraud.com/file/MCRO_27-CR-23-7088_Order for Conditional Release_2024-04-30_20251126190516.pdf","MCRO_27-CR-23-7088_Order for Conditional Release_2024-04-30_20251126190516.pdf")</f>
        <v>MCRO_27-CR-23-7088_Order for Conditional Release_2024-04-30_20251126190516.pdf</v>
      </c>
      <c r="H414" s="2" t="s">
        <v>1362</v>
      </c>
      <c r="I414" s="9" t="s">
        <v>2956</v>
      </c>
      <c r="J414" s="2" t="s">
        <v>2400</v>
      </c>
    </row>
    <row r="415" customFormat="false" ht="18.7" hidden="false" customHeight="true" outlineLevel="0" collapsed="false">
      <c r="A415" s="1" t="n">
        <v>414</v>
      </c>
      <c r="B415" s="7" t="str">
        <f aca="false">HYPERLINK("https://mncourtfraud.com/file/27-CR-23-7088.pdf","27-CR-23-7088")</f>
        <v>27-CR-23-7088</v>
      </c>
      <c r="C415" s="1" t="n">
        <v>1</v>
      </c>
      <c r="D415" s="2" t="s">
        <v>12</v>
      </c>
      <c r="E415" s="8" t="n">
        <v>45160</v>
      </c>
      <c r="F415" s="2" t="s">
        <v>15</v>
      </c>
      <c r="G415" s="7" t="str">
        <f aca="false">HYPERLINK("https://mncourtfraud.com/file/MCRO_27-CR-23-7088_Order-Evaluation for Competency to Proceed (Rule 20.01)_2023-08-22_20251126190533.pdf","MCRO_27-CR-23-7088_Order-Evaluation for Competency to Proceed (Rule 20.01)_2023-08-22_20251126190533.pdf")</f>
        <v>MCRO_27-CR-23-7088_Order-Evaluation for Competency to Proceed (Rule 20.01)_2023-08-22_20251126190533.pdf</v>
      </c>
      <c r="H415" s="2" t="s">
        <v>1519</v>
      </c>
      <c r="I415" s="9" t="s">
        <v>2410</v>
      </c>
      <c r="J415" s="2" t="s">
        <v>2411</v>
      </c>
      <c r="K415" s="2" t="s">
        <v>1362</v>
      </c>
      <c r="L415" s="9" t="s">
        <v>2957</v>
      </c>
      <c r="M415" s="2" t="s">
        <v>2947</v>
      </c>
    </row>
    <row r="416" customFormat="false" ht="18.7" hidden="false" customHeight="true" outlineLevel="0" collapsed="false">
      <c r="A416" s="1" t="n">
        <v>415</v>
      </c>
      <c r="B416" s="7" t="str">
        <f aca="false">HYPERLINK("https://mncourtfraud.com/file/27-CR-23-7088.pdf","27-CR-23-7088")</f>
        <v>27-CR-23-7088</v>
      </c>
      <c r="C416" s="1" t="n">
        <v>1</v>
      </c>
      <c r="D416" s="2" t="s">
        <v>12</v>
      </c>
      <c r="E416" s="8" t="n">
        <v>45412</v>
      </c>
      <c r="F416" s="2" t="s">
        <v>15</v>
      </c>
      <c r="G416" s="7" t="str">
        <f aca="false">HYPERLINK("https://mncourtfraud.com/file/MCRO_27-CR-23-7088_Order-Evaluation for Competency to Proceed (Rule 20.01)_2024-04-30_20251126190522.pdf","MCRO_27-CR-23-7088_Order-Evaluation for Competency to Proceed (Rule 20.01)_2024-04-30_20251126190522.pdf")</f>
        <v>MCRO_27-CR-23-7088_Order-Evaluation for Competency to Proceed (Rule 20.01)_2024-04-30_20251126190522.pdf</v>
      </c>
      <c r="H416" s="2" t="s">
        <v>1362</v>
      </c>
      <c r="I416" s="9" t="s">
        <v>2958</v>
      </c>
      <c r="J416" s="2" t="s">
        <v>2587</v>
      </c>
    </row>
    <row r="417" customFormat="false" ht="18.7" hidden="false" customHeight="true" outlineLevel="0" collapsed="false">
      <c r="A417" s="1" t="n">
        <v>416</v>
      </c>
      <c r="B417" s="7" t="str">
        <f aca="false">HYPERLINK("https://mncourtfraud.com/file/27-CR-23-7089.pdf","27-CR-23-7089")</f>
        <v>27-CR-23-7089</v>
      </c>
      <c r="C417" s="1" t="n">
        <v>1</v>
      </c>
      <c r="D417" s="2" t="s">
        <v>12</v>
      </c>
      <c r="E417" s="8" t="n">
        <v>45048</v>
      </c>
      <c r="F417" s="2" t="s">
        <v>80</v>
      </c>
      <c r="G417" s="7" t="str">
        <f aca="false">HYPERLINK("https://mncourtfraud.com/file/MCRO_27-CR-23-7089_Finding of Incompetency and Order_2023-05-02_20251126190557.pdf","MCRO_27-CR-23-7089_Finding of Incompetency and Order_2023-05-02_20251126190557.pdf")</f>
        <v>MCRO_27-CR-23-7089_Finding of Incompetency and Order_2023-05-02_20251126190557.pdf</v>
      </c>
      <c r="H417" s="2" t="s">
        <v>1492</v>
      </c>
      <c r="I417" s="9" t="s">
        <v>2385</v>
      </c>
      <c r="J417" s="2" t="s">
        <v>2386</v>
      </c>
      <c r="K417" s="2" t="s">
        <v>1496</v>
      </c>
      <c r="L417" s="9" t="s">
        <v>2387</v>
      </c>
      <c r="M417" s="2" t="s">
        <v>2388</v>
      </c>
      <c r="N417" s="2" t="s">
        <v>1362</v>
      </c>
      <c r="O417" s="9" t="s">
        <v>2959</v>
      </c>
      <c r="P417" s="2" t="s">
        <v>2446</v>
      </c>
    </row>
    <row r="418" customFormat="false" ht="18.7" hidden="false" customHeight="true" outlineLevel="0" collapsed="false">
      <c r="A418" s="1" t="n">
        <v>417</v>
      </c>
      <c r="B418" s="7" t="str">
        <f aca="false">HYPERLINK("https://mncourtfraud.com/file/27-CR-23-7089.pdf","27-CR-23-7089")</f>
        <v>27-CR-23-7089</v>
      </c>
      <c r="C418" s="1" t="n">
        <v>1</v>
      </c>
      <c r="D418" s="2" t="s">
        <v>12</v>
      </c>
      <c r="E418" s="8" t="n">
        <v>45412</v>
      </c>
      <c r="F418" s="2" t="s">
        <v>24</v>
      </c>
      <c r="G418" s="7" t="str">
        <f aca="false">HYPERLINK("https://mncourtfraud.com/file/MCRO_27-CR-23-7089_Order for Conditional Release_2024-04-30_20251126190607.pdf","MCRO_27-CR-23-7089_Order for Conditional Release_2024-04-30_20251126190607.pdf")</f>
        <v>MCRO_27-CR-23-7089_Order for Conditional Release_2024-04-30_20251126190607.pdf</v>
      </c>
      <c r="H418" s="2" t="s">
        <v>1362</v>
      </c>
      <c r="I418" s="9" t="s">
        <v>2960</v>
      </c>
      <c r="J418" s="2" t="s">
        <v>2400</v>
      </c>
    </row>
    <row r="419" customFormat="false" ht="18.7" hidden="false" customHeight="true" outlineLevel="0" collapsed="false">
      <c r="A419" s="1" t="n">
        <v>418</v>
      </c>
      <c r="B419" s="7" t="str">
        <f aca="false">HYPERLINK("https://mncourtfraud.com/file/27-CR-23-7089.pdf","27-CR-23-7089")</f>
        <v>27-CR-23-7089</v>
      </c>
      <c r="C419" s="1" t="n">
        <v>1</v>
      </c>
      <c r="D419" s="2" t="s">
        <v>12</v>
      </c>
      <c r="E419" s="8" t="n">
        <v>45160</v>
      </c>
      <c r="F419" s="2" t="s">
        <v>15</v>
      </c>
      <c r="G419" s="7" t="str">
        <f aca="false">HYPERLINK("https://mncourtfraud.com/file/MCRO_27-CR-23-7089_Order-Evaluation for Competency to Proceed (Rule 20.01)_2023-08-22_20251126190622.pdf","MCRO_27-CR-23-7089_Order-Evaluation for Competency to Proceed (Rule 20.01)_2023-08-22_20251126190622.pdf")</f>
        <v>MCRO_27-CR-23-7089_Order-Evaluation for Competency to Proceed (Rule 20.01)_2023-08-22_20251126190622.pdf</v>
      </c>
      <c r="H419" s="2" t="s">
        <v>1519</v>
      </c>
      <c r="I419" s="9" t="s">
        <v>2410</v>
      </c>
      <c r="J419" s="2" t="s">
        <v>2411</v>
      </c>
      <c r="K419" s="2" t="s">
        <v>1362</v>
      </c>
      <c r="L419" s="9" t="s">
        <v>2961</v>
      </c>
      <c r="M419" s="2" t="s">
        <v>2962</v>
      </c>
    </row>
    <row r="420" customFormat="false" ht="18.7" hidden="false" customHeight="true" outlineLevel="0" collapsed="false">
      <c r="A420" s="1" t="n">
        <v>419</v>
      </c>
      <c r="B420" s="7" t="str">
        <f aca="false">HYPERLINK("https://mncourtfraud.com/file/27-CR-23-7089.pdf","27-CR-23-7089")</f>
        <v>27-CR-23-7089</v>
      </c>
      <c r="C420" s="1" t="n">
        <v>1</v>
      </c>
      <c r="D420" s="2" t="s">
        <v>12</v>
      </c>
      <c r="E420" s="8" t="n">
        <v>45412</v>
      </c>
      <c r="F420" s="2" t="s">
        <v>15</v>
      </c>
      <c r="G420" s="7" t="str">
        <f aca="false">HYPERLINK("https://mncourtfraud.com/file/MCRO_27-CR-23-7089_Order-Evaluation for Competency to Proceed (Rule 20.01)_2024-04-30_20251126190615.pdf","MCRO_27-CR-23-7089_Order-Evaluation for Competency to Proceed (Rule 20.01)_2024-04-30_20251126190615.pdf")</f>
        <v>MCRO_27-CR-23-7089_Order-Evaluation for Competency to Proceed (Rule 20.01)_2024-04-30_20251126190615.pdf</v>
      </c>
      <c r="H420" s="2" t="s">
        <v>1362</v>
      </c>
      <c r="I420" s="9" t="s">
        <v>2963</v>
      </c>
      <c r="J420" s="2" t="s">
        <v>2587</v>
      </c>
    </row>
    <row r="421" customFormat="false" ht="18.7" hidden="false" customHeight="true" outlineLevel="0" collapsed="false">
      <c r="A421" s="1" t="n">
        <v>420</v>
      </c>
      <c r="B421" s="7" t="str">
        <f aca="false">HYPERLINK("https://mncourtfraud.com/file/27-CR-23-7275.pdf","27-CR-23-7275")</f>
        <v>27-CR-23-7275</v>
      </c>
      <c r="C421" s="1" t="n">
        <v>1</v>
      </c>
      <c r="D421" s="2" t="s">
        <v>12</v>
      </c>
      <c r="E421" s="8" t="n">
        <v>45048</v>
      </c>
      <c r="F421" s="2" t="s">
        <v>80</v>
      </c>
      <c r="G421" s="7" t="str">
        <f aca="false">HYPERLINK("https://mncourtfraud.com/file/MCRO_27-CR-23-7275_Finding of Incompetency and Order_2023-05-02_20251126190643.pdf","MCRO_27-CR-23-7275_Finding of Incompetency and Order_2023-05-02_20251126190643.pdf")</f>
        <v>MCRO_27-CR-23-7275_Finding of Incompetency and Order_2023-05-02_20251126190643.pdf</v>
      </c>
      <c r="H421" s="2" t="s">
        <v>1492</v>
      </c>
      <c r="I421" s="9" t="s">
        <v>2385</v>
      </c>
      <c r="J421" s="2" t="s">
        <v>2386</v>
      </c>
      <c r="K421" s="2" t="s">
        <v>1496</v>
      </c>
      <c r="L421" s="9" t="s">
        <v>2387</v>
      </c>
      <c r="M421" s="2" t="s">
        <v>2388</v>
      </c>
      <c r="N421" s="2" t="s">
        <v>1362</v>
      </c>
      <c r="O421" s="9" t="s">
        <v>2964</v>
      </c>
      <c r="P421" s="2" t="s">
        <v>2965</v>
      </c>
    </row>
    <row r="422" customFormat="false" ht="18.7" hidden="false" customHeight="true" outlineLevel="0" collapsed="false">
      <c r="A422" s="1" t="n">
        <v>421</v>
      </c>
      <c r="B422" s="7" t="str">
        <f aca="false">HYPERLINK("https://mncourtfraud.com/file/27-CR-23-7275.pdf","27-CR-23-7275")</f>
        <v>27-CR-23-7275</v>
      </c>
      <c r="C422" s="1" t="n">
        <v>1</v>
      </c>
      <c r="D422" s="2" t="s">
        <v>12</v>
      </c>
      <c r="E422" s="8" t="n">
        <v>45412</v>
      </c>
      <c r="F422" s="2" t="s">
        <v>24</v>
      </c>
      <c r="G422" s="7" t="str">
        <f aca="false">HYPERLINK("https://mncourtfraud.com/file/MCRO_27-CR-23-7275_Order for Conditional Release_2024-04-30_20251126190652.pdf","MCRO_27-CR-23-7275_Order for Conditional Release_2024-04-30_20251126190652.pdf")</f>
        <v>MCRO_27-CR-23-7275_Order for Conditional Release_2024-04-30_20251126190652.pdf</v>
      </c>
      <c r="H422" s="2" t="s">
        <v>1362</v>
      </c>
      <c r="I422" s="9" t="s">
        <v>2966</v>
      </c>
      <c r="J422" s="2" t="s">
        <v>2400</v>
      </c>
    </row>
    <row r="423" customFormat="false" ht="18.7" hidden="false" customHeight="true" outlineLevel="0" collapsed="false">
      <c r="A423" s="1" t="n">
        <v>422</v>
      </c>
      <c r="B423" s="7" t="str">
        <f aca="false">HYPERLINK("https://mncourtfraud.com/file/27-CR-23-7275.pdf","27-CR-23-7275")</f>
        <v>27-CR-23-7275</v>
      </c>
      <c r="C423" s="1" t="n">
        <v>1</v>
      </c>
      <c r="D423" s="2" t="s">
        <v>12</v>
      </c>
      <c r="E423" s="8" t="n">
        <v>45160</v>
      </c>
      <c r="F423" s="2" t="s">
        <v>15</v>
      </c>
      <c r="G423" s="7" t="str">
        <f aca="false">HYPERLINK("https://mncourtfraud.com/file/MCRO_27-CR-23-7275_Order-Evaluation for Competency to Proceed (Rule 20.01)_2023-08-22_20251126190704.pdf","MCRO_27-CR-23-7275_Order-Evaluation for Competency to Proceed (Rule 20.01)_2023-08-22_20251126190704.pdf")</f>
        <v>MCRO_27-CR-23-7275_Order-Evaluation for Competency to Proceed (Rule 20.01)_2023-08-22_20251126190704.pdf</v>
      </c>
      <c r="H423" s="2" t="s">
        <v>1519</v>
      </c>
      <c r="I423" s="9" t="s">
        <v>2410</v>
      </c>
      <c r="J423" s="2" t="s">
        <v>2411</v>
      </c>
      <c r="K423" s="2" t="s">
        <v>1362</v>
      </c>
      <c r="L423" s="9" t="s">
        <v>2967</v>
      </c>
      <c r="M423" s="2" t="s">
        <v>2707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4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9.72"/>
    <col collapsed="false" customWidth="true" hidden="false" outlineLevel="0" max="2" min="2" style="2" width="21.11"/>
    <col collapsed="false" customWidth="true" hidden="false" outlineLevel="0" max="3" min="3" style="1" width="14.31"/>
    <col collapsed="false" customWidth="true" hidden="false" outlineLevel="0" max="4" min="4" style="2" width="27.23"/>
    <col collapsed="false" customWidth="true" hidden="false" outlineLevel="0" max="5" min="5" style="1" width="15.97"/>
    <col collapsed="false" customWidth="true" hidden="false" outlineLevel="0" max="6" min="6" style="2" width="64.33"/>
    <col collapsed="false" customWidth="true" hidden="false" outlineLevel="0" max="7" min="7" style="2" width="125.46"/>
    <col collapsed="false" customWidth="true" hidden="false" outlineLevel="0" max="8" min="8" style="1" width="57.66"/>
    <col collapsed="false" customWidth="true" hidden="false" outlineLevel="0" max="9" min="9" style="1" width="25.42"/>
    <col collapsed="false" customWidth="true" hidden="false" outlineLevel="0" max="10" min="10" style="1" width="25.56"/>
    <col collapsed="false" customWidth="true" hidden="false" outlineLevel="0" max="11" min="11" style="1" width="24.87"/>
    <col collapsed="false" customWidth="true" hidden="false" outlineLevel="0" max="12" min="12" style="2" width="39.6"/>
    <col collapsed="false" customWidth="false" hidden="false" outlineLevel="0" max="13" min="13" style="2" width="11.52"/>
    <col collapsed="false" customWidth="true" hidden="false" outlineLevel="0" max="14" min="14" style="0" width="21.11"/>
    <col collapsed="false" customWidth="true" hidden="false" outlineLevel="0" max="15" min="15" style="0" width="64.33"/>
    <col collapsed="false" customWidth="true" hidden="false" outlineLevel="0" max="16" min="16" style="0" width="15.97"/>
    <col collapsed="false" customWidth="true" hidden="false" outlineLevel="0" max="17" min="17" style="0" width="25.84"/>
    <col collapsed="false" customWidth="false" hidden="false" outlineLevel="0" max="1020" min="18" style="2" width="11.52"/>
  </cols>
  <sheetData>
    <row r="1" customFormat="false" ht="23.05" hidden="false" customHeight="true" outlineLevel="0" collapsed="false">
      <c r="A1" s="3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2968</v>
      </c>
      <c r="I1" s="3" t="s">
        <v>456</v>
      </c>
      <c r="J1" s="3" t="s">
        <v>455</v>
      </c>
      <c r="K1" s="3" t="s">
        <v>2969</v>
      </c>
      <c r="L1" s="3" t="s">
        <v>2970</v>
      </c>
    </row>
    <row r="2" customFormat="false" ht="18.7" hidden="false" customHeight="true" outlineLevel="0" collapsed="false">
      <c r="A2" s="1" t="n">
        <v>1</v>
      </c>
      <c r="B2" s="7" t="str">
        <f aca="false">HYPERLINK("https://mncourtfraud.com/file/27-CR-19-26893.pdf","27-CR-19-26893")</f>
        <v>27-CR-19-26893</v>
      </c>
      <c r="C2" s="1" t="n">
        <v>1</v>
      </c>
      <c r="D2" s="2" t="s">
        <v>12</v>
      </c>
      <c r="E2" s="8" t="n">
        <v>43844</v>
      </c>
      <c r="F2" s="2" t="s">
        <v>13</v>
      </c>
      <c r="G2" s="7" t="str">
        <f aca="false">HYPERLINK("https://mncourtfraud.com/file/MCRO_27-CR-19-26893_Find of Fact-Order, Pet Commitment-Dfd Found Incompetent_2020-01-14_20251126174653.pdf","MCRO_27-CR-19-26893_Find of Fact-Order, Pet Commitment-Dfd Found Incompetent_2020-01-14_20251126174653.pdf")</f>
        <v>MCRO_27-CR-19-26893_Find of Fact-Order, Pet Commitment-Dfd Found Incompetent_2020-01-14_20251126174653.pdf</v>
      </c>
      <c r="H2" s="1" t="s">
        <v>1362</v>
      </c>
      <c r="I2" s="1" t="n">
        <v>20251126174653</v>
      </c>
      <c r="J2" s="1" t="s">
        <v>2971</v>
      </c>
      <c r="K2" s="9" t="s">
        <v>2280</v>
      </c>
      <c r="L2" s="2" t="s">
        <v>2281</v>
      </c>
    </row>
    <row r="3" customFormat="false" ht="18.7" hidden="false" customHeight="true" outlineLevel="0" collapsed="false">
      <c r="A3" s="1" t="n">
        <v>2</v>
      </c>
      <c r="B3" s="7" t="str">
        <f aca="false">HYPERLINK("https://mncourtfraud.com/file/27-CR-19-26893.pdf","27-CR-19-26893")</f>
        <v>27-CR-19-26893</v>
      </c>
      <c r="C3" s="1" t="n">
        <v>1</v>
      </c>
      <c r="D3" s="2" t="s">
        <v>12</v>
      </c>
      <c r="E3" s="8" t="n">
        <v>43902</v>
      </c>
      <c r="F3" s="2" t="s">
        <v>15</v>
      </c>
      <c r="G3" s="7" t="str">
        <f aca="false">HYPERLINK("https://mncourtfraud.com/file/MCRO_27-CR-19-26893_Order-Evaluation for Competency to Proceed (Rule 20.01)_2020-03-12_20251126174914.pdf","MCRO_27-CR-19-26893_Order-Evaluation for Competency to Proceed (Rule 20.01)_2020-03-12_20251126174914.pdf")</f>
        <v>MCRO_27-CR-19-26893_Order-Evaluation for Competency to Proceed (Rule 20.01)_2020-03-12_20251126174914.pdf</v>
      </c>
      <c r="H3" s="1" t="s">
        <v>1362</v>
      </c>
      <c r="I3" s="1" t="n">
        <v>20251126174914</v>
      </c>
      <c r="J3" s="1" t="s">
        <v>2972</v>
      </c>
      <c r="K3" s="9" t="s">
        <v>2296</v>
      </c>
      <c r="L3" s="2" t="s">
        <v>2297</v>
      </c>
    </row>
    <row r="4" customFormat="false" ht="18.7" hidden="false" customHeight="true" outlineLevel="0" collapsed="false">
      <c r="A4" s="1" t="n">
        <v>3</v>
      </c>
      <c r="B4" s="7" t="str">
        <f aca="false">HYPERLINK("https://mncourtfraud.com/file/27-CR-19-26893.pdf","27-CR-19-26893")</f>
        <v>27-CR-19-26893</v>
      </c>
      <c r="C4" s="1" t="n">
        <v>1</v>
      </c>
      <c r="D4" s="2" t="s">
        <v>12</v>
      </c>
      <c r="E4" s="8" t="n">
        <v>43970</v>
      </c>
      <c r="F4" s="2" t="s">
        <v>17</v>
      </c>
      <c r="G4" s="7" t="str">
        <f aca="false">HYPERLINK("https://mncourtfraud.com/file/MCRO_27-CR-19-26893_Returned Mail_2020-05-19_20251126174953.pdf","MCRO_27-CR-19-26893_Returned Mail_2020-05-19_20251126174953.pdf")</f>
        <v>MCRO_27-CR-19-26893_Returned Mail_2020-05-19_20251126174953.pdf</v>
      </c>
      <c r="H4" s="1" t="s">
        <v>1362</v>
      </c>
      <c r="I4" s="1" t="n">
        <v>20251126174953</v>
      </c>
      <c r="J4" s="1" t="s">
        <v>2973</v>
      </c>
      <c r="K4" s="9" t="s">
        <v>2310</v>
      </c>
      <c r="L4" s="2" t="s">
        <v>2311</v>
      </c>
    </row>
    <row r="5" customFormat="false" ht="18.7" hidden="false" customHeight="true" outlineLevel="0" collapsed="false">
      <c r="A5" s="1" t="n">
        <v>4</v>
      </c>
      <c r="B5" s="7" t="str">
        <f aca="false">HYPERLINK("https://mncourtfraud.com/file/27-CR-19-26893.pdf","27-CR-19-26893")</f>
        <v>27-CR-19-26893</v>
      </c>
      <c r="C5" s="1" t="n">
        <v>1</v>
      </c>
      <c r="D5" s="2" t="s">
        <v>12</v>
      </c>
      <c r="E5" s="8" t="n">
        <v>44103</v>
      </c>
      <c r="F5" s="2" t="s">
        <v>19</v>
      </c>
      <c r="G5" s="7" t="str">
        <f aca="false">HYPERLINK("https://mncourtfraud.com/file/MCRO_27-CR-19-26893_Findings and Order_2020-09-29_20251126174721.pdf","MCRO_27-CR-19-26893_Findings and Order_2020-09-29_20251126174721.pdf")</f>
        <v>MCRO_27-CR-19-26893_Findings and Order_2020-09-29_20251126174721.pdf</v>
      </c>
      <c r="H5" s="1" t="s">
        <v>1362</v>
      </c>
      <c r="I5" s="1" t="n">
        <v>20251126174721</v>
      </c>
      <c r="J5" s="1" t="s">
        <v>2974</v>
      </c>
      <c r="K5" s="9" t="s">
        <v>2282</v>
      </c>
      <c r="L5" s="2" t="s">
        <v>2283</v>
      </c>
    </row>
    <row r="6" customFormat="false" ht="18.7" hidden="false" customHeight="true" outlineLevel="0" collapsed="false">
      <c r="A6" s="1" t="n">
        <v>5</v>
      </c>
      <c r="B6" s="7" t="str">
        <f aca="false">HYPERLINK("https://mncourtfraud.com/file/27-CR-19-26893.pdf","27-CR-19-26893")</f>
        <v>27-CR-19-26893</v>
      </c>
      <c r="C6" s="1" t="n">
        <v>1</v>
      </c>
      <c r="D6" s="2" t="s">
        <v>12</v>
      </c>
      <c r="E6" s="8" t="n">
        <v>44225</v>
      </c>
      <c r="F6" s="2" t="s">
        <v>15</v>
      </c>
      <c r="G6" s="7" t="str">
        <f aca="false">HYPERLINK("https://mncourtfraud.com/file/MCRO_27-CR-19-26893_Order-Evaluation for Competency to Proceed (Rule 20.01)_2021-01-29_20251126174927.pdf","MCRO_27-CR-19-26893_Order-Evaluation for Competency to Proceed (Rule 20.01)_2021-01-29_20251126174927.pdf")</f>
        <v>MCRO_27-CR-19-26893_Order-Evaluation for Competency to Proceed (Rule 20.01)_2021-01-29_20251126174927.pdf</v>
      </c>
      <c r="H6" s="1" t="s">
        <v>1362</v>
      </c>
      <c r="I6" s="1" t="n">
        <v>20251126174927</v>
      </c>
      <c r="J6" s="1" t="s">
        <v>2975</v>
      </c>
      <c r="K6" s="9" t="s">
        <v>2298</v>
      </c>
      <c r="L6" s="2" t="s">
        <v>2299</v>
      </c>
    </row>
    <row r="7" customFormat="false" ht="18.7" hidden="false" customHeight="true" outlineLevel="0" collapsed="false">
      <c r="A7" s="1" t="n">
        <v>6</v>
      </c>
      <c r="B7" s="7" t="str">
        <f aca="false">HYPERLINK("https://mncourtfraud.com/file/27-CR-19-26893.pdf","27-CR-19-26893")</f>
        <v>27-CR-19-26893</v>
      </c>
      <c r="C7" s="1" t="n">
        <v>1</v>
      </c>
      <c r="D7" s="2" t="s">
        <v>12</v>
      </c>
      <c r="E7" s="8" t="n">
        <v>44396</v>
      </c>
      <c r="F7" s="2" t="s">
        <v>15</v>
      </c>
      <c r="G7" s="7" t="str">
        <f aca="false">HYPERLINK("https://mncourtfraud.com/file/MCRO_27-CR-19-26893_Order-Evaluation for Competency to Proceed (Rule 20.01)_2021-07-19_20251126174939.pdf","MCRO_27-CR-19-26893_Order-Evaluation for Competency to Proceed (Rule 20.01)_2021-07-19_20251126174939.pdf")</f>
        <v>MCRO_27-CR-19-26893_Order-Evaluation for Competency to Proceed (Rule 20.01)_2021-07-19_20251126174939.pdf</v>
      </c>
      <c r="H7" s="1" t="s">
        <v>1362</v>
      </c>
      <c r="I7" s="1" t="n">
        <v>20251126174939</v>
      </c>
      <c r="J7" s="1" t="s">
        <v>2976</v>
      </c>
      <c r="K7" s="9" t="s">
        <v>2300</v>
      </c>
      <c r="L7" s="2" t="s">
        <v>2301</v>
      </c>
    </row>
    <row r="8" customFormat="false" ht="18.7" hidden="false" customHeight="true" outlineLevel="0" collapsed="false">
      <c r="A8" s="1" t="n">
        <v>7</v>
      </c>
      <c r="B8" s="7" t="str">
        <f aca="false">HYPERLINK("https://mncourtfraud.com/file/27-CR-19-26893.pdf","27-CR-19-26893")</f>
        <v>27-CR-19-26893</v>
      </c>
      <c r="C8" s="1" t="n">
        <v>1</v>
      </c>
      <c r="D8" s="2" t="s">
        <v>12</v>
      </c>
      <c r="E8" s="8" t="n">
        <v>44439</v>
      </c>
      <c r="F8" s="2" t="s">
        <v>19</v>
      </c>
      <c r="G8" s="7" t="str">
        <f aca="false">HYPERLINK("https://mncourtfraud.com/file/MCRO_27-CR-19-26893_Findings and Order_2021-08-31_20251126174732.pdf","MCRO_27-CR-19-26893_Findings and Order_2021-08-31_20251126174732.pdf")</f>
        <v>MCRO_27-CR-19-26893_Findings and Order_2021-08-31_20251126174732.pdf</v>
      </c>
      <c r="H8" s="1" t="s">
        <v>1362</v>
      </c>
      <c r="I8" s="1" t="n">
        <v>20251126174732</v>
      </c>
      <c r="J8" s="1" t="s">
        <v>2977</v>
      </c>
      <c r="K8" s="9" t="s">
        <v>2286</v>
      </c>
      <c r="L8" s="2" t="s">
        <v>2287</v>
      </c>
    </row>
    <row r="9" customFormat="false" ht="18.7" hidden="false" customHeight="true" outlineLevel="0" collapsed="false">
      <c r="A9" s="1" t="n">
        <v>8</v>
      </c>
      <c r="B9" s="7" t="str">
        <f aca="false">HYPERLINK("https://mncourtfraud.com/file/27-CR-19-26893.pdf","27-CR-19-26893")</f>
        <v>27-CR-19-26893</v>
      </c>
      <c r="C9" s="1" t="n">
        <v>1</v>
      </c>
      <c r="D9" s="2" t="s">
        <v>12</v>
      </c>
      <c r="E9" s="8" t="n">
        <v>44460</v>
      </c>
      <c r="F9" s="2" t="s">
        <v>24</v>
      </c>
      <c r="G9" s="7" t="str">
        <f aca="false">HYPERLINK("https://mncourtfraud.com/file/MCRO_27-CR-19-26893_Order for Conditional Release_2021-09-21_20251126174758.pdf","MCRO_27-CR-19-26893_Order for Conditional Release_2021-09-21_20251126174758.pdf")</f>
        <v>MCRO_27-CR-19-26893_Order for Conditional Release_2021-09-21_20251126174758.pdf</v>
      </c>
      <c r="H9" s="1" t="s">
        <v>1362</v>
      </c>
      <c r="I9" s="1" t="n">
        <v>20251126174758</v>
      </c>
      <c r="J9" s="1" t="s">
        <v>2978</v>
      </c>
      <c r="K9" s="9" t="s">
        <v>2292</v>
      </c>
      <c r="L9" s="2" t="s">
        <v>2293</v>
      </c>
    </row>
    <row r="10" customFormat="false" ht="18.7" hidden="false" customHeight="true" outlineLevel="0" collapsed="false">
      <c r="A10" s="1" t="n">
        <v>9</v>
      </c>
      <c r="B10" s="7" t="str">
        <f aca="false">HYPERLINK("https://mncourtfraud.com/file/27-CR-19-26893.pdf","27-CR-19-26893")</f>
        <v>27-CR-19-26893</v>
      </c>
      <c r="C10" s="1" t="n">
        <v>1</v>
      </c>
      <c r="D10" s="2" t="s">
        <v>12</v>
      </c>
      <c r="E10" s="8" t="n">
        <v>44468</v>
      </c>
      <c r="F10" s="2" t="s">
        <v>24</v>
      </c>
      <c r="G10" s="7" t="str">
        <f aca="false">HYPERLINK("https://mncourtfraud.com/file/MCRO_27-CR-19-26893_Order for Conditional Release_2021-09-29_20251126174746.pdf","MCRO_27-CR-19-26893_Order for Conditional Release_2021-09-29_20251126174746.pdf")</f>
        <v>MCRO_27-CR-19-26893_Order for Conditional Release_2021-09-29_20251126174746.pdf</v>
      </c>
      <c r="H10" s="1" t="s">
        <v>1362</v>
      </c>
      <c r="I10" s="1" t="n">
        <v>20251126174746</v>
      </c>
      <c r="J10" s="1" t="s">
        <v>2979</v>
      </c>
      <c r="K10" s="9" t="s">
        <v>2294</v>
      </c>
      <c r="L10" s="2" t="s">
        <v>2295</v>
      </c>
    </row>
    <row r="11" customFormat="false" ht="18.7" hidden="false" customHeight="true" outlineLevel="0" collapsed="false">
      <c r="A11" s="1" t="n">
        <v>10</v>
      </c>
      <c r="B11" s="7" t="str">
        <f aca="false">HYPERLINK("https://mncourtfraud.com/file/27-CR-19-26893.pdf","27-CR-19-26893")</f>
        <v>27-CR-19-26893</v>
      </c>
      <c r="C11" s="1" t="n">
        <v>1</v>
      </c>
      <c r="D11" s="2" t="s">
        <v>12</v>
      </c>
      <c r="E11" s="8" t="n">
        <v>44543</v>
      </c>
      <c r="F11" s="2" t="s">
        <v>15</v>
      </c>
      <c r="G11" s="7" t="str">
        <f aca="false">HYPERLINK("https://mncourtfraud.com/file/MCRO_27-CR-19-26893_Order-Evaluation for Competency to Proceed (Rule 20.01)_2021-12-13_20251126174821.pdf","MCRO_27-CR-19-26893_Order-Evaluation for Competency to Proceed (Rule 20.01)_2021-12-13_20251126174821.pdf")</f>
        <v>MCRO_27-CR-19-26893_Order-Evaluation for Competency to Proceed (Rule 20.01)_2021-12-13_20251126174821.pdf</v>
      </c>
      <c r="H11" s="1" t="s">
        <v>1362</v>
      </c>
      <c r="I11" s="1" t="n">
        <v>20251126174821</v>
      </c>
      <c r="J11" s="1" t="s">
        <v>2980</v>
      </c>
      <c r="K11" s="9" t="s">
        <v>2302</v>
      </c>
      <c r="L11" s="2" t="s">
        <v>2303</v>
      </c>
    </row>
    <row r="12" customFormat="false" ht="18.7" hidden="false" customHeight="true" outlineLevel="0" collapsed="false">
      <c r="A12" s="1" t="n">
        <v>11</v>
      </c>
      <c r="B12" s="7" t="str">
        <f aca="false">HYPERLINK("https://mncourtfraud.com/file/27-CR-19-26893.pdf","27-CR-19-26893")</f>
        <v>27-CR-19-26893</v>
      </c>
      <c r="C12" s="1" t="n">
        <v>1</v>
      </c>
      <c r="D12" s="2" t="s">
        <v>12</v>
      </c>
      <c r="E12" s="8" t="n">
        <v>44558</v>
      </c>
      <c r="F12" s="2" t="s">
        <v>15</v>
      </c>
      <c r="G12" s="7" t="str">
        <f aca="false">HYPERLINK("https://mncourtfraud.com/file/MCRO_27-CR-19-26893_Order-Evaluation for Competency to Proceed (Rule 20.01)_2021-12-28_20251126174832.pdf","MCRO_27-CR-19-26893_Order-Evaluation for Competency to Proceed (Rule 20.01)_2021-12-28_20251126174832.pdf")</f>
        <v>MCRO_27-CR-19-26893_Order-Evaluation for Competency to Proceed (Rule 20.01)_2021-12-28_20251126174832.pdf</v>
      </c>
      <c r="H12" s="1" t="s">
        <v>1362</v>
      </c>
      <c r="I12" s="1" t="n">
        <v>20251126174832</v>
      </c>
      <c r="J12" s="1" t="s">
        <v>2981</v>
      </c>
      <c r="K12" s="9" t="s">
        <v>2304</v>
      </c>
      <c r="L12" s="2" t="s">
        <v>2305</v>
      </c>
    </row>
    <row r="13" customFormat="false" ht="18.7" hidden="false" customHeight="true" outlineLevel="0" collapsed="false">
      <c r="A13" s="1" t="n">
        <v>12</v>
      </c>
      <c r="B13" s="7" t="str">
        <f aca="false">HYPERLINK("https://mncourtfraud.com/file/27-CR-19-26893.pdf","27-CR-19-26893")</f>
        <v>27-CR-19-26893</v>
      </c>
      <c r="C13" s="1" t="n">
        <v>1</v>
      </c>
      <c r="D13" s="2" t="s">
        <v>12</v>
      </c>
      <c r="E13" s="8" t="n">
        <v>44593</v>
      </c>
      <c r="F13" s="2" t="s">
        <v>19</v>
      </c>
      <c r="G13" s="7" t="str">
        <f aca="false">HYPERLINK("https://mncourtfraud.com/file/MCRO_27-CR-19-26893_Findings and Order_2022-02-01_20251126174710.pdf","MCRO_27-CR-19-26893_Findings and Order_2022-02-01_20251126174710.pdf")</f>
        <v>MCRO_27-CR-19-26893_Findings and Order_2022-02-01_20251126174710.pdf</v>
      </c>
      <c r="H13" s="1" t="s">
        <v>1362</v>
      </c>
      <c r="I13" s="1" t="n">
        <v>20251126174710</v>
      </c>
      <c r="J13" s="1" t="s">
        <v>2982</v>
      </c>
      <c r="K13" s="9" t="s">
        <v>2290</v>
      </c>
      <c r="L13" s="2" t="s">
        <v>2291</v>
      </c>
    </row>
    <row r="14" customFormat="false" ht="18.7" hidden="false" customHeight="true" outlineLevel="0" collapsed="false">
      <c r="A14" s="1" t="n">
        <v>13</v>
      </c>
      <c r="B14" s="7" t="str">
        <f aca="false">HYPERLINK("https://mncourtfraud.com/file/27-CR-19-26893.pdf","27-CR-19-26893")</f>
        <v>27-CR-19-26893</v>
      </c>
      <c r="C14" s="1" t="n">
        <v>1</v>
      </c>
      <c r="D14" s="2" t="s">
        <v>12</v>
      </c>
      <c r="E14" s="8" t="n">
        <v>44692</v>
      </c>
      <c r="F14" s="2" t="s">
        <v>15</v>
      </c>
      <c r="G14" s="7" t="str">
        <f aca="false">HYPERLINK("https://mncourtfraud.com/file/MCRO_27-CR-19-26893_Order-Evaluation for Competency to Proceed (Rule 20.01)_2022-05-11_20251126174846.pdf","MCRO_27-CR-19-26893_Order-Evaluation for Competency to Proceed (Rule 20.01)_2022-05-11_20251126174846.pdf")</f>
        <v>MCRO_27-CR-19-26893_Order-Evaluation for Competency to Proceed (Rule 20.01)_2022-05-11_20251126174846.pdf</v>
      </c>
      <c r="H14" s="1" t="s">
        <v>1362</v>
      </c>
      <c r="I14" s="1" t="n">
        <v>20251126174846</v>
      </c>
      <c r="J14" s="1" t="s">
        <v>2983</v>
      </c>
      <c r="K14" s="9" t="s">
        <v>2306</v>
      </c>
      <c r="L14" s="2" t="s">
        <v>2307</v>
      </c>
    </row>
    <row r="15" customFormat="false" ht="18.7" hidden="false" customHeight="true" outlineLevel="0" collapsed="false">
      <c r="A15" s="1" t="n">
        <v>14</v>
      </c>
      <c r="B15" s="7" t="str">
        <f aca="false">HYPERLINK("https://mncourtfraud.com/file/27-CR-19-26893.pdf","27-CR-19-26893")</f>
        <v>27-CR-19-26893</v>
      </c>
      <c r="C15" s="1" t="n">
        <v>1</v>
      </c>
      <c r="D15" s="2" t="s">
        <v>12</v>
      </c>
      <c r="E15" s="8" t="n">
        <v>44895</v>
      </c>
      <c r="F15" s="2" t="s">
        <v>15</v>
      </c>
      <c r="G15" s="7" t="str">
        <f aca="false">HYPERLINK("https://mncourtfraud.com/file/MCRO_27-CR-19-26893_Order-Evaluation for Competency to Proceed (Rule 20.01)_2022-11-30_20251126174859.pdf","MCRO_27-CR-19-26893_Order-Evaluation for Competency to Proceed (Rule 20.01)_2022-11-30_20251126174859.pdf")</f>
        <v>MCRO_27-CR-19-26893_Order-Evaluation for Competency to Proceed (Rule 20.01)_2022-11-30_20251126174859.pdf</v>
      </c>
      <c r="H15" s="1" t="s">
        <v>1362</v>
      </c>
      <c r="I15" s="1" t="n">
        <v>20251126174859</v>
      </c>
      <c r="J15" s="1" t="s">
        <v>2984</v>
      </c>
      <c r="K15" s="9" t="s">
        <v>2308</v>
      </c>
      <c r="L15" s="2" t="s">
        <v>2309</v>
      </c>
    </row>
    <row r="16" customFormat="false" ht="18.7" hidden="false" customHeight="true" outlineLevel="0" collapsed="false">
      <c r="A16" s="1" t="n">
        <v>15</v>
      </c>
      <c r="B16" s="7" t="str">
        <f aca="false">HYPERLINK("https://mncourtfraud.com/file/27-CR-19-4578.pdf","27-CR-19-4578")</f>
        <v>27-CR-19-4578</v>
      </c>
      <c r="C16" s="1" t="n">
        <v>1</v>
      </c>
      <c r="D16" s="2" t="s">
        <v>12</v>
      </c>
      <c r="E16" s="8" t="n">
        <v>43844</v>
      </c>
      <c r="F16" s="2" t="s">
        <v>13</v>
      </c>
      <c r="G16" s="7" t="str">
        <f aca="false">HYPERLINK("https://mncourtfraud.com/file/MCRO_27-CR-19-4578_Find of Fact-Order, Pet Commitment-Dfd Found Incompetent_2020-01-14_20251126175028.pdf","MCRO_27-CR-19-4578_Find of Fact-Order, Pet Commitment-Dfd Found Incompetent_2020-01-14_20251126175028.pdf")</f>
        <v>MCRO_27-CR-19-4578_Find of Fact-Order, Pet Commitment-Dfd Found Incompetent_2020-01-14_20251126175028.pdf</v>
      </c>
      <c r="H16" s="1" t="s">
        <v>1362</v>
      </c>
      <c r="I16" s="1" t="n">
        <v>20251126175028</v>
      </c>
      <c r="J16" s="1" t="s">
        <v>2985</v>
      </c>
      <c r="K16" s="9" t="s">
        <v>2312</v>
      </c>
      <c r="L16" s="2" t="s">
        <v>2313</v>
      </c>
    </row>
    <row r="17" customFormat="false" ht="18.7" hidden="false" customHeight="true" outlineLevel="0" collapsed="false">
      <c r="A17" s="1" t="n">
        <v>16</v>
      </c>
      <c r="B17" s="7" t="str">
        <f aca="false">HYPERLINK("https://mncourtfraud.com/file/27-CR-19-4578.pdf","27-CR-19-4578")</f>
        <v>27-CR-19-4578</v>
      </c>
      <c r="C17" s="1" t="n">
        <v>1</v>
      </c>
      <c r="D17" s="2" t="s">
        <v>12</v>
      </c>
      <c r="E17" s="8" t="n">
        <v>43902</v>
      </c>
      <c r="F17" s="2" t="s">
        <v>15</v>
      </c>
      <c r="G17" s="7" t="str">
        <f aca="false">HYPERLINK("https://mncourtfraud.com/file/MCRO_27-CR-19-4578_Order-Evaluation for Competency to Proceed (Rule 20.01)_2020-03-12_20251126175310.pdf","MCRO_27-CR-19-4578_Order-Evaluation for Competency to Proceed (Rule 20.01)_2020-03-12_20251126175310.pdf")</f>
        <v>MCRO_27-CR-19-4578_Order-Evaluation for Competency to Proceed (Rule 20.01)_2020-03-12_20251126175310.pdf</v>
      </c>
      <c r="H17" s="1" t="s">
        <v>1362</v>
      </c>
      <c r="I17" s="1" t="n">
        <v>20251126175310</v>
      </c>
      <c r="J17" s="1" t="s">
        <v>2986</v>
      </c>
      <c r="K17" s="9" t="s">
        <v>2324</v>
      </c>
      <c r="L17" s="2" t="s">
        <v>2325</v>
      </c>
    </row>
    <row r="18" customFormat="false" ht="18.7" hidden="false" customHeight="true" outlineLevel="0" collapsed="false">
      <c r="A18" s="1" t="n">
        <v>17</v>
      </c>
      <c r="B18" s="7" t="str">
        <f aca="false">HYPERLINK("https://mncourtfraud.com/file/27-CR-19-4578.pdf","27-CR-19-4578")</f>
        <v>27-CR-19-4578</v>
      </c>
      <c r="C18" s="1" t="n">
        <v>1</v>
      </c>
      <c r="D18" s="2" t="s">
        <v>12</v>
      </c>
      <c r="E18" s="8" t="n">
        <v>43970</v>
      </c>
      <c r="F18" s="2" t="s">
        <v>17</v>
      </c>
      <c r="G18" s="7" t="str">
        <f aca="false">HYPERLINK("https://mncourtfraud.com/file/MCRO_27-CR-19-4578_Returned Mail_2020-05-19_20251126175340.pdf","MCRO_27-CR-19-4578_Returned Mail_2020-05-19_20251126175340.pdf")</f>
        <v>MCRO_27-CR-19-4578_Returned Mail_2020-05-19_20251126175340.pdf</v>
      </c>
      <c r="H18" s="1" t="s">
        <v>1362</v>
      </c>
      <c r="I18" s="1" t="n">
        <v>20251126175340</v>
      </c>
      <c r="J18" s="1" t="s">
        <v>2987</v>
      </c>
      <c r="K18" s="9" t="s">
        <v>2337</v>
      </c>
      <c r="L18" s="2" t="s">
        <v>2338</v>
      </c>
    </row>
    <row r="19" customFormat="false" ht="18.7" hidden="false" customHeight="true" outlineLevel="0" collapsed="false">
      <c r="A19" s="1" t="n">
        <v>18</v>
      </c>
      <c r="B19" s="7" t="str">
        <f aca="false">HYPERLINK("https://mncourtfraud.com/file/27-CR-19-4578.pdf","27-CR-19-4578")</f>
        <v>27-CR-19-4578</v>
      </c>
      <c r="C19" s="1" t="n">
        <v>1</v>
      </c>
      <c r="D19" s="2" t="s">
        <v>12</v>
      </c>
      <c r="E19" s="8" t="n">
        <v>44103</v>
      </c>
      <c r="F19" s="2" t="s">
        <v>19</v>
      </c>
      <c r="G19" s="7" t="str">
        <f aca="false">HYPERLINK("https://mncourtfraud.com/file/MCRO_27-CR-19-4578_Findings and Order_2020-09-29_20251126175057.pdf","MCRO_27-CR-19-4578_Findings and Order_2020-09-29_20251126175057.pdf")</f>
        <v>MCRO_27-CR-19-4578_Findings and Order_2020-09-29_20251126175057.pdf</v>
      </c>
      <c r="H19" s="1" t="s">
        <v>1362</v>
      </c>
      <c r="I19" s="1" t="n">
        <v>20251126175057</v>
      </c>
      <c r="J19" s="1" t="s">
        <v>2988</v>
      </c>
      <c r="K19" s="9" t="s">
        <v>2314</v>
      </c>
      <c r="L19" s="2" t="s">
        <v>2315</v>
      </c>
    </row>
    <row r="20" customFormat="false" ht="18.7" hidden="false" customHeight="true" outlineLevel="0" collapsed="false">
      <c r="A20" s="1" t="n">
        <v>19</v>
      </c>
      <c r="B20" s="7" t="str">
        <f aca="false">HYPERLINK("https://mncourtfraud.com/file/27-CR-19-4578.pdf","27-CR-19-4578")</f>
        <v>27-CR-19-4578</v>
      </c>
      <c r="C20" s="1" t="n">
        <v>1</v>
      </c>
      <c r="D20" s="2" t="s">
        <v>12</v>
      </c>
      <c r="E20" s="8" t="n">
        <v>44225</v>
      </c>
      <c r="F20" s="2" t="s">
        <v>15</v>
      </c>
      <c r="G20" s="7" t="str">
        <f aca="false">HYPERLINK("https://mncourtfraud.com/file/MCRO_27-CR-19-4578_Order-Evaluation for Competency to Proceed (Rule 20.01)_2021-01-29_20251126175321.pdf","MCRO_27-CR-19-4578_Order-Evaluation for Competency to Proceed (Rule 20.01)_2021-01-29_20251126175321.pdf")</f>
        <v>MCRO_27-CR-19-4578_Order-Evaluation for Competency to Proceed (Rule 20.01)_2021-01-29_20251126175321.pdf</v>
      </c>
      <c r="H20" s="1" t="s">
        <v>1362</v>
      </c>
      <c r="I20" s="1" t="n">
        <v>20251126175321</v>
      </c>
      <c r="J20" s="1" t="s">
        <v>2989</v>
      </c>
      <c r="K20" s="9" t="s">
        <v>2326</v>
      </c>
      <c r="L20" s="2" t="s">
        <v>2327</v>
      </c>
    </row>
    <row r="21" customFormat="false" ht="18.7" hidden="false" customHeight="true" outlineLevel="0" collapsed="false">
      <c r="A21" s="1" t="n">
        <v>20</v>
      </c>
      <c r="B21" s="7" t="str">
        <f aca="false">HYPERLINK("https://mncourtfraud.com/file/27-CR-19-4578.pdf","27-CR-19-4578")</f>
        <v>27-CR-19-4578</v>
      </c>
      <c r="C21" s="1" t="n">
        <v>1</v>
      </c>
      <c r="D21" s="2" t="s">
        <v>12</v>
      </c>
      <c r="E21" s="8" t="n">
        <v>44396</v>
      </c>
      <c r="F21" s="2" t="s">
        <v>15</v>
      </c>
      <c r="G21" s="7" t="str">
        <f aca="false">HYPERLINK("https://mncourtfraud.com/file/MCRO_27-CR-19-4578_Order-Evaluation for Competency to Proceed (Rule 20.01)_2021-07-19_20251126175155.pdf","MCRO_27-CR-19-4578_Order-Evaluation for Competency to Proceed (Rule 20.01)_2021-07-19_20251126175155.pdf")</f>
        <v>MCRO_27-CR-19-4578_Order-Evaluation for Competency to Proceed (Rule 20.01)_2021-07-19_20251126175155.pdf</v>
      </c>
      <c r="H21" s="1" t="s">
        <v>1362</v>
      </c>
      <c r="I21" s="1" t="n">
        <v>20251126175155</v>
      </c>
      <c r="J21" s="1" t="s">
        <v>2990</v>
      </c>
      <c r="K21" s="9" t="s">
        <v>2328</v>
      </c>
      <c r="L21" s="2" t="s">
        <v>2329</v>
      </c>
    </row>
    <row r="22" customFormat="false" ht="18.7" hidden="false" customHeight="true" outlineLevel="0" collapsed="false">
      <c r="A22" s="1" t="n">
        <v>21</v>
      </c>
      <c r="B22" s="7" t="str">
        <f aca="false">HYPERLINK("https://mncourtfraud.com/file/27-CR-19-4578.pdf","27-CR-19-4578")</f>
        <v>27-CR-19-4578</v>
      </c>
      <c r="C22" s="1" t="n">
        <v>1</v>
      </c>
      <c r="D22" s="2" t="s">
        <v>12</v>
      </c>
      <c r="E22" s="8" t="n">
        <v>44439</v>
      </c>
      <c r="F22" s="2" t="s">
        <v>19</v>
      </c>
      <c r="G22" s="7" t="str">
        <f aca="false">HYPERLINK("https://mncourtfraud.com/file/MCRO_27-CR-19-4578_Findings and Order_2021-08-31_20251126175106.pdf","MCRO_27-CR-19-4578_Findings and Order_2021-08-31_20251126175106.pdf")</f>
        <v>MCRO_27-CR-19-4578_Findings and Order_2021-08-31_20251126175106.pdf</v>
      </c>
      <c r="H22" s="1" t="s">
        <v>1362</v>
      </c>
      <c r="I22" s="1" t="n">
        <v>20251126175106</v>
      </c>
      <c r="J22" s="1" t="s">
        <v>2991</v>
      </c>
      <c r="K22" s="9" t="s">
        <v>2316</v>
      </c>
      <c r="L22" s="2" t="s">
        <v>2317</v>
      </c>
    </row>
    <row r="23" customFormat="false" ht="18.7" hidden="false" customHeight="true" outlineLevel="0" collapsed="false">
      <c r="A23" s="1" t="n">
        <v>22</v>
      </c>
      <c r="B23" s="7" t="str">
        <f aca="false">HYPERLINK("https://mncourtfraud.com/file/27-CR-19-4578.pdf","27-CR-19-4578")</f>
        <v>27-CR-19-4578</v>
      </c>
      <c r="C23" s="1" t="n">
        <v>1</v>
      </c>
      <c r="D23" s="2" t="s">
        <v>12</v>
      </c>
      <c r="E23" s="8" t="n">
        <v>44460</v>
      </c>
      <c r="F23" s="2" t="s">
        <v>24</v>
      </c>
      <c r="G23" s="7" t="str">
        <f aca="false">HYPERLINK("https://mncourtfraud.com/file/MCRO_27-CR-19-4578_Order for Conditional Release_2021-09-21_20251126175125.pdf","MCRO_27-CR-19-4578_Order for Conditional Release_2021-09-21_20251126175125.pdf")</f>
        <v>MCRO_27-CR-19-4578_Order for Conditional Release_2021-09-21_20251126175125.pdf</v>
      </c>
      <c r="H23" s="1" t="s">
        <v>1362</v>
      </c>
      <c r="I23" s="1" t="n">
        <v>20251126175125</v>
      </c>
      <c r="J23" s="1" t="s">
        <v>2992</v>
      </c>
      <c r="K23" s="9" t="s">
        <v>2320</v>
      </c>
      <c r="L23" s="2" t="s">
        <v>2321</v>
      </c>
    </row>
    <row r="24" customFormat="false" ht="18.7" hidden="false" customHeight="true" outlineLevel="0" collapsed="false">
      <c r="A24" s="1" t="n">
        <v>23</v>
      </c>
      <c r="B24" s="7" t="str">
        <f aca="false">HYPERLINK("https://mncourtfraud.com/file/27-CR-19-4578.pdf","27-CR-19-4578")</f>
        <v>27-CR-19-4578</v>
      </c>
      <c r="C24" s="1" t="n">
        <v>1</v>
      </c>
      <c r="D24" s="2" t="s">
        <v>12</v>
      </c>
      <c r="E24" s="8" t="n">
        <v>44468</v>
      </c>
      <c r="F24" s="2" t="s">
        <v>24</v>
      </c>
      <c r="G24" s="7" t="str">
        <f aca="false">HYPERLINK("https://mncourtfraud.com/file/MCRO_27-CR-19-4578_Order for Conditional Release_2021-09-29_20251126175138.pdf","MCRO_27-CR-19-4578_Order for Conditional Release_2021-09-29_20251126175138.pdf")</f>
        <v>MCRO_27-CR-19-4578_Order for Conditional Release_2021-09-29_20251126175138.pdf</v>
      </c>
      <c r="H24" s="1" t="s">
        <v>1362</v>
      </c>
      <c r="I24" s="1" t="n">
        <v>20251126175138</v>
      </c>
      <c r="J24" s="1" t="s">
        <v>2993</v>
      </c>
      <c r="K24" s="9" t="s">
        <v>2322</v>
      </c>
      <c r="L24" s="2" t="s">
        <v>2323</v>
      </c>
    </row>
    <row r="25" customFormat="false" ht="18.7" hidden="false" customHeight="true" outlineLevel="0" collapsed="false">
      <c r="A25" s="1" t="n">
        <v>24</v>
      </c>
      <c r="B25" s="7" t="str">
        <f aca="false">HYPERLINK("https://mncourtfraud.com/file/27-CR-19-4578.pdf","27-CR-19-4578")</f>
        <v>27-CR-19-4578</v>
      </c>
      <c r="C25" s="1" t="n">
        <v>1</v>
      </c>
      <c r="D25" s="2" t="s">
        <v>12</v>
      </c>
      <c r="E25" s="8" t="n">
        <v>44543</v>
      </c>
      <c r="F25" s="2" t="s">
        <v>15</v>
      </c>
      <c r="G25" s="7" t="str">
        <f aca="false">HYPERLINK("https://mncourtfraud.com/file/MCRO_27-CR-19-4578_Order-Evaluation for Competency to Proceed (Rule 20.01)_2021-12-13_20251126175209.pdf","MCRO_27-CR-19-4578_Order-Evaluation for Competency to Proceed (Rule 20.01)_2021-12-13_20251126175209.pdf")</f>
        <v>MCRO_27-CR-19-4578_Order-Evaluation for Competency to Proceed (Rule 20.01)_2021-12-13_20251126175209.pdf</v>
      </c>
      <c r="H25" s="1" t="s">
        <v>1362</v>
      </c>
      <c r="I25" s="1" t="n">
        <v>20251126175209</v>
      </c>
      <c r="J25" s="1" t="s">
        <v>2994</v>
      </c>
      <c r="K25" s="9" t="s">
        <v>2330</v>
      </c>
      <c r="L25" s="2" t="s">
        <v>2331</v>
      </c>
    </row>
    <row r="26" customFormat="false" ht="18.7" hidden="false" customHeight="true" outlineLevel="0" collapsed="false">
      <c r="A26" s="1" t="n">
        <v>25</v>
      </c>
      <c r="B26" s="7" t="str">
        <f aca="false">HYPERLINK("https://mncourtfraud.com/file/27-CR-19-4578.pdf","27-CR-19-4578")</f>
        <v>27-CR-19-4578</v>
      </c>
      <c r="C26" s="1" t="n">
        <v>1</v>
      </c>
      <c r="D26" s="2" t="s">
        <v>12</v>
      </c>
      <c r="E26" s="8" t="n">
        <v>44558</v>
      </c>
      <c r="F26" s="2" t="s">
        <v>15</v>
      </c>
      <c r="G26" s="7" t="str">
        <f aca="false">HYPERLINK("https://mncourtfraud.com/file/MCRO_27-CR-19-4578_Order-Evaluation for Competency to Proceed (Rule 20.01)_2021-12-28_20251126175221.pdf","MCRO_27-CR-19-4578_Order-Evaluation for Competency to Proceed (Rule 20.01)_2021-12-28_20251126175221.pdf")</f>
        <v>MCRO_27-CR-19-4578_Order-Evaluation for Competency to Proceed (Rule 20.01)_2021-12-28_20251126175221.pdf</v>
      </c>
      <c r="H26" s="1" t="s">
        <v>1362</v>
      </c>
      <c r="I26" s="1" t="n">
        <v>20251126175221</v>
      </c>
      <c r="J26" s="1" t="s">
        <v>2995</v>
      </c>
      <c r="K26" s="9" t="s">
        <v>2332</v>
      </c>
      <c r="L26" s="2" t="s">
        <v>2333</v>
      </c>
    </row>
    <row r="27" customFormat="false" ht="18.7" hidden="false" customHeight="true" outlineLevel="0" collapsed="false">
      <c r="A27" s="1" t="n">
        <v>26</v>
      </c>
      <c r="B27" s="7" t="str">
        <f aca="false">HYPERLINK("https://mncourtfraud.com/file/27-CR-19-4578.pdf","27-CR-19-4578")</f>
        <v>27-CR-19-4578</v>
      </c>
      <c r="C27" s="1" t="n">
        <v>1</v>
      </c>
      <c r="D27" s="2" t="s">
        <v>12</v>
      </c>
      <c r="E27" s="8" t="n">
        <v>44593</v>
      </c>
      <c r="F27" s="2" t="s">
        <v>19</v>
      </c>
      <c r="G27" s="7" t="str">
        <f aca="false">HYPERLINK("https://mncourtfraud.com/file/MCRO_27-CR-19-4578_Findings and Order_2022-02-01_20251126175043.pdf","MCRO_27-CR-19-4578_Findings and Order_2022-02-01_20251126175043.pdf")</f>
        <v>MCRO_27-CR-19-4578_Findings and Order_2022-02-01_20251126175043.pdf</v>
      </c>
      <c r="H27" s="1" t="s">
        <v>1362</v>
      </c>
      <c r="I27" s="1" t="n">
        <v>20251126175043</v>
      </c>
      <c r="J27" s="1" t="s">
        <v>2996</v>
      </c>
      <c r="K27" s="9" t="s">
        <v>2318</v>
      </c>
      <c r="L27" s="2" t="s">
        <v>2319</v>
      </c>
    </row>
    <row r="28" customFormat="false" ht="18.7" hidden="false" customHeight="true" outlineLevel="0" collapsed="false">
      <c r="A28" s="1" t="n">
        <v>27</v>
      </c>
      <c r="B28" s="7" t="str">
        <f aca="false">HYPERLINK("https://mncourtfraud.com/file/27-CR-19-4578.pdf","27-CR-19-4578")</f>
        <v>27-CR-19-4578</v>
      </c>
      <c r="C28" s="1" t="n">
        <v>1</v>
      </c>
      <c r="D28" s="2" t="s">
        <v>12</v>
      </c>
      <c r="E28" s="8" t="n">
        <v>44692</v>
      </c>
      <c r="F28" s="2" t="s">
        <v>15</v>
      </c>
      <c r="G28" s="7" t="str">
        <f aca="false">HYPERLINK("https://mncourtfraud.com/file/MCRO_27-CR-19-4578_Order-Evaluation for Competency to Proceed (Rule 20.01)_2022-05-11_20251126175233.pdf","MCRO_27-CR-19-4578_Order-Evaluation for Competency to Proceed (Rule 20.01)_2022-05-11_20251126175233.pdf")</f>
        <v>MCRO_27-CR-19-4578_Order-Evaluation for Competency to Proceed (Rule 20.01)_2022-05-11_20251126175233.pdf</v>
      </c>
      <c r="H28" s="1" t="s">
        <v>1362</v>
      </c>
      <c r="I28" s="1" t="n">
        <v>20251126175233</v>
      </c>
      <c r="J28" s="1" t="s">
        <v>2997</v>
      </c>
      <c r="K28" s="9" t="s">
        <v>2334</v>
      </c>
      <c r="L28" s="2" t="s">
        <v>2307</v>
      </c>
    </row>
    <row r="29" customFormat="false" ht="18.7" hidden="false" customHeight="true" outlineLevel="0" collapsed="false">
      <c r="A29" s="1" t="n">
        <v>28</v>
      </c>
      <c r="B29" s="7" t="str">
        <f aca="false">HYPERLINK("https://mncourtfraud.com/file/27-CR-19-4578.pdf","27-CR-19-4578")</f>
        <v>27-CR-19-4578</v>
      </c>
      <c r="C29" s="1" t="n">
        <v>1</v>
      </c>
      <c r="D29" s="2" t="s">
        <v>12</v>
      </c>
      <c r="E29" s="8" t="n">
        <v>44895</v>
      </c>
      <c r="F29" s="2" t="s">
        <v>15</v>
      </c>
      <c r="G29" s="7" t="str">
        <f aca="false">HYPERLINK("https://mncourtfraud.com/file/MCRO_27-CR-19-4578_Order-Evaluation for Competency to Proceed (Rule 20.01)_2022-11-30_20251126175245.pdf","MCRO_27-CR-19-4578_Order-Evaluation for Competency to Proceed (Rule 20.01)_2022-11-30_20251126175245.pdf")</f>
        <v>MCRO_27-CR-19-4578_Order-Evaluation for Competency to Proceed (Rule 20.01)_2022-11-30_20251126175245.pdf</v>
      </c>
      <c r="H29" s="1" t="s">
        <v>1362</v>
      </c>
      <c r="I29" s="1" t="n">
        <v>20251126175245</v>
      </c>
      <c r="J29" s="1" t="s">
        <v>2998</v>
      </c>
      <c r="K29" s="9" t="s">
        <v>2335</v>
      </c>
      <c r="L29" s="2" t="s">
        <v>2336</v>
      </c>
    </row>
    <row r="30" customFormat="false" ht="18.7" hidden="false" customHeight="true" outlineLevel="0" collapsed="false">
      <c r="A30" s="1" t="n">
        <v>29</v>
      </c>
      <c r="B30" s="7" t="str">
        <f aca="false">HYPERLINK("https://mncourtfraud.com/file/27-CR-19-5875.pdf","27-CR-19-5875")</f>
        <v>27-CR-19-5875</v>
      </c>
      <c r="C30" s="1" t="n">
        <v>1</v>
      </c>
      <c r="D30" s="2" t="s">
        <v>12</v>
      </c>
      <c r="E30" s="8" t="n">
        <v>43844</v>
      </c>
      <c r="F30" s="2" t="s">
        <v>13</v>
      </c>
      <c r="G30" s="7" t="str">
        <f aca="false">HYPERLINK("https://mncourtfraud.com/file/MCRO_27-CR-19-5875_Find of Fact-Order, Pet Commitment-Dfd Found Incompetent_2020-01-14_20251126175409.pdf","MCRO_27-CR-19-5875_Find of Fact-Order, Pet Commitment-Dfd Found Incompetent_2020-01-14_20251126175409.pdf")</f>
        <v>MCRO_27-CR-19-5875_Find of Fact-Order, Pet Commitment-Dfd Found Incompetent_2020-01-14_20251126175409.pdf</v>
      </c>
      <c r="H30" s="1" t="s">
        <v>1362</v>
      </c>
      <c r="I30" s="1" t="n">
        <v>20251126175409</v>
      </c>
      <c r="J30" s="1" t="s">
        <v>2999</v>
      </c>
      <c r="K30" s="9" t="s">
        <v>2339</v>
      </c>
      <c r="L30" s="2" t="s">
        <v>2340</v>
      </c>
    </row>
    <row r="31" customFormat="false" ht="18.7" hidden="false" customHeight="true" outlineLevel="0" collapsed="false">
      <c r="A31" s="1" t="n">
        <v>30</v>
      </c>
      <c r="B31" s="7" t="str">
        <f aca="false">HYPERLINK("https://mncourtfraud.com/file/27-CR-19-5875.pdf","27-CR-19-5875")</f>
        <v>27-CR-19-5875</v>
      </c>
      <c r="C31" s="1" t="n">
        <v>1</v>
      </c>
      <c r="D31" s="2" t="s">
        <v>12</v>
      </c>
      <c r="E31" s="8" t="n">
        <v>43902</v>
      </c>
      <c r="F31" s="2" t="s">
        <v>15</v>
      </c>
      <c r="G31" s="7" t="str">
        <f aca="false">HYPERLINK("https://mncourtfraud.com/file/MCRO_27-CR-19-5875_Order-Evaluation for Competency to Proceed (Rule 20.01)_2020-03-12_20251126175636.pdf","MCRO_27-CR-19-5875_Order-Evaluation for Competency to Proceed (Rule 20.01)_2020-03-12_20251126175636.pdf")</f>
        <v>MCRO_27-CR-19-5875_Order-Evaluation for Competency to Proceed (Rule 20.01)_2020-03-12_20251126175636.pdf</v>
      </c>
      <c r="H31" s="1" t="s">
        <v>1362</v>
      </c>
      <c r="I31" s="1" t="n">
        <v>20251126175636</v>
      </c>
      <c r="J31" s="1" t="s">
        <v>3000</v>
      </c>
      <c r="K31" s="9" t="s">
        <v>2349</v>
      </c>
      <c r="L31" s="2" t="s">
        <v>2350</v>
      </c>
    </row>
    <row r="32" customFormat="false" ht="18.7" hidden="false" customHeight="true" outlineLevel="0" collapsed="false">
      <c r="A32" s="1" t="n">
        <v>31</v>
      </c>
      <c r="B32" s="7" t="str">
        <f aca="false">HYPERLINK("https://mncourtfraud.com/file/27-CR-19-5875.pdf","27-CR-19-5875")</f>
        <v>27-CR-19-5875</v>
      </c>
      <c r="C32" s="1" t="n">
        <v>1</v>
      </c>
      <c r="D32" s="2" t="s">
        <v>12</v>
      </c>
      <c r="E32" s="8" t="n">
        <v>43970</v>
      </c>
      <c r="F32" s="2" t="s">
        <v>17</v>
      </c>
      <c r="G32" s="7" t="str">
        <f aca="false">HYPERLINK("https://mncourtfraud.com/file/MCRO_27-CR-19-5875_Returned Mail_2020-05-19_20251126175700.pdf","MCRO_27-CR-19-5875_Returned Mail_2020-05-19_20251126175700.pdf")</f>
        <v>MCRO_27-CR-19-5875_Returned Mail_2020-05-19_20251126175700.pdf</v>
      </c>
      <c r="H32" s="1" t="s">
        <v>1362</v>
      </c>
      <c r="I32" s="1" t="n">
        <v>20251126175700</v>
      </c>
      <c r="J32" s="1" t="s">
        <v>3001</v>
      </c>
      <c r="K32" s="9" t="s">
        <v>2363</v>
      </c>
      <c r="L32" s="2" t="s">
        <v>2364</v>
      </c>
    </row>
    <row r="33" customFormat="false" ht="18.7" hidden="false" customHeight="true" outlineLevel="0" collapsed="false">
      <c r="A33" s="1" t="n">
        <v>32</v>
      </c>
      <c r="B33" s="7" t="str">
        <f aca="false">HYPERLINK("https://mncourtfraud.com/file/27-CR-19-5875.pdf","27-CR-19-5875")</f>
        <v>27-CR-19-5875</v>
      </c>
      <c r="C33" s="1" t="n">
        <v>1</v>
      </c>
      <c r="D33" s="2" t="s">
        <v>12</v>
      </c>
      <c r="E33" s="8" t="n">
        <v>44103</v>
      </c>
      <c r="F33" s="2" t="s">
        <v>19</v>
      </c>
      <c r="G33" s="7" t="str">
        <f aca="false">HYPERLINK("https://mncourtfraud.com/file/MCRO_27-CR-19-5875_Findings and Order_2020-09-29_20251126175434.pdf","MCRO_27-CR-19-5875_Findings and Order_2020-09-29_20251126175434.pdf")</f>
        <v>MCRO_27-CR-19-5875_Findings and Order_2020-09-29_20251126175434.pdf</v>
      </c>
      <c r="H33" s="1" t="s">
        <v>1362</v>
      </c>
      <c r="I33" s="1" t="n">
        <v>20251126175434</v>
      </c>
      <c r="J33" s="1" t="s">
        <v>3002</v>
      </c>
      <c r="K33" s="9" t="s">
        <v>2341</v>
      </c>
      <c r="L33" s="2" t="s">
        <v>2342</v>
      </c>
    </row>
    <row r="34" customFormat="false" ht="18.7" hidden="false" customHeight="true" outlineLevel="0" collapsed="false">
      <c r="A34" s="1" t="n">
        <v>33</v>
      </c>
      <c r="B34" s="7" t="str">
        <f aca="false">HYPERLINK("https://mncourtfraud.com/file/27-CR-19-5875.pdf","27-CR-19-5875")</f>
        <v>27-CR-19-5875</v>
      </c>
      <c r="C34" s="1" t="n">
        <v>1</v>
      </c>
      <c r="D34" s="2" t="s">
        <v>12</v>
      </c>
      <c r="E34" s="8" t="n">
        <v>44225</v>
      </c>
      <c r="F34" s="2" t="s">
        <v>15</v>
      </c>
      <c r="G34" s="7" t="str">
        <f aca="false">HYPERLINK("https://mncourtfraud.com/file/MCRO_27-CR-19-5875_Order-Evaluation for Competency to Proceed (Rule 20.01)_2021-01-29_20251126175645.pdf","MCRO_27-CR-19-5875_Order-Evaluation for Competency to Proceed (Rule 20.01)_2021-01-29_20251126175645.pdf")</f>
        <v>MCRO_27-CR-19-5875_Order-Evaluation for Competency to Proceed (Rule 20.01)_2021-01-29_20251126175645.pdf</v>
      </c>
      <c r="H34" s="1" t="s">
        <v>1362</v>
      </c>
      <c r="I34" s="1" t="n">
        <v>20251126175645</v>
      </c>
      <c r="J34" s="1" t="s">
        <v>3003</v>
      </c>
      <c r="K34" s="9" t="s">
        <v>2351</v>
      </c>
      <c r="L34" s="2" t="s">
        <v>2352</v>
      </c>
    </row>
    <row r="35" customFormat="false" ht="18.7" hidden="false" customHeight="true" outlineLevel="0" collapsed="false">
      <c r="A35" s="1" t="n">
        <v>34</v>
      </c>
      <c r="B35" s="7" t="str">
        <f aca="false">HYPERLINK("https://mncourtfraud.com/file/27-CR-19-5875.pdf","27-CR-19-5875")</f>
        <v>27-CR-19-5875</v>
      </c>
      <c r="C35" s="1" t="n">
        <v>1</v>
      </c>
      <c r="D35" s="2" t="s">
        <v>12</v>
      </c>
      <c r="E35" s="8" t="n">
        <v>44396</v>
      </c>
      <c r="F35" s="2" t="s">
        <v>15</v>
      </c>
      <c r="G35" s="7" t="str">
        <f aca="false">HYPERLINK("https://mncourtfraud.com/file/MCRO_27-CR-19-5875_Order-Evaluation for Competency to Proceed (Rule 20.01)_2021-07-19_20251126175529.pdf","MCRO_27-CR-19-5875_Order-Evaluation for Competency to Proceed (Rule 20.01)_2021-07-19_20251126175529.pdf")</f>
        <v>MCRO_27-CR-19-5875_Order-Evaluation for Competency to Proceed (Rule 20.01)_2021-07-19_20251126175529.pdf</v>
      </c>
      <c r="H35" s="1" t="s">
        <v>1362</v>
      </c>
      <c r="I35" s="1" t="n">
        <v>20251126175529</v>
      </c>
      <c r="J35" s="1" t="s">
        <v>3004</v>
      </c>
      <c r="K35" s="9" t="s">
        <v>2353</v>
      </c>
      <c r="L35" s="2" t="s">
        <v>2354</v>
      </c>
    </row>
    <row r="36" customFormat="false" ht="18.7" hidden="false" customHeight="true" outlineLevel="0" collapsed="false">
      <c r="A36" s="1" t="n">
        <v>35</v>
      </c>
      <c r="B36" s="7" t="str">
        <f aca="false">HYPERLINK("https://mncourtfraud.com/file/27-CR-19-5875.pdf","27-CR-19-5875")</f>
        <v>27-CR-19-5875</v>
      </c>
      <c r="C36" s="1" t="n">
        <v>1</v>
      </c>
      <c r="D36" s="2" t="s">
        <v>12</v>
      </c>
      <c r="E36" s="8" t="n">
        <v>44439</v>
      </c>
      <c r="F36" s="2" t="s">
        <v>19</v>
      </c>
      <c r="G36" s="7" t="str">
        <f aca="false">HYPERLINK("https://mncourtfraud.com/file/MCRO_27-CR-19-5875_Findings and Order_2021-08-31_20251126175446.pdf","MCRO_27-CR-19-5875_Findings and Order_2021-08-31_20251126175446.pdf")</f>
        <v>MCRO_27-CR-19-5875_Findings and Order_2021-08-31_20251126175446.pdf</v>
      </c>
      <c r="H36" s="1" t="s">
        <v>1362</v>
      </c>
      <c r="I36" s="1" t="n">
        <v>20251126175446</v>
      </c>
      <c r="J36" s="1" t="s">
        <v>3005</v>
      </c>
      <c r="K36" s="9" t="s">
        <v>2343</v>
      </c>
      <c r="L36" s="2" t="s">
        <v>2344</v>
      </c>
    </row>
    <row r="37" customFormat="false" ht="18.7" hidden="false" customHeight="true" outlineLevel="0" collapsed="false">
      <c r="A37" s="1" t="n">
        <v>36</v>
      </c>
      <c r="B37" s="7" t="str">
        <f aca="false">HYPERLINK("https://mncourtfraud.com/file/27-CR-19-5875.pdf","27-CR-19-5875")</f>
        <v>27-CR-19-5875</v>
      </c>
      <c r="C37" s="1" t="n">
        <v>1</v>
      </c>
      <c r="D37" s="2" t="s">
        <v>12</v>
      </c>
      <c r="E37" s="8" t="n">
        <v>44460</v>
      </c>
      <c r="F37" s="2" t="s">
        <v>24</v>
      </c>
      <c r="G37" s="7" t="str">
        <f aca="false">HYPERLINK("https://mncourtfraud.com/file/MCRO_27-CR-19-5875_Order for Conditional Release_2021-09-21_20251126175513.pdf","MCRO_27-CR-19-5875_Order for Conditional Release_2021-09-21_20251126175513.pdf")</f>
        <v>MCRO_27-CR-19-5875_Order for Conditional Release_2021-09-21_20251126175513.pdf</v>
      </c>
      <c r="H37" s="1" t="s">
        <v>1362</v>
      </c>
      <c r="I37" s="1" t="n">
        <v>20251126175513</v>
      </c>
      <c r="J37" s="1" t="s">
        <v>3006</v>
      </c>
      <c r="K37" s="9" t="s">
        <v>2347</v>
      </c>
      <c r="L37" s="2" t="s">
        <v>2293</v>
      </c>
    </row>
    <row r="38" customFormat="false" ht="18.7" hidden="false" customHeight="true" outlineLevel="0" collapsed="false">
      <c r="A38" s="1" t="n">
        <v>37</v>
      </c>
      <c r="B38" s="7" t="str">
        <f aca="false">HYPERLINK("https://mncourtfraud.com/file/27-CR-19-5875.pdf","27-CR-19-5875")</f>
        <v>27-CR-19-5875</v>
      </c>
      <c r="C38" s="1" t="n">
        <v>1</v>
      </c>
      <c r="D38" s="2" t="s">
        <v>12</v>
      </c>
      <c r="E38" s="8" t="n">
        <v>44468</v>
      </c>
      <c r="F38" s="2" t="s">
        <v>24</v>
      </c>
      <c r="G38" s="7" t="str">
        <f aca="false">HYPERLINK("https://mncourtfraud.com/file/MCRO_27-CR-19-5875_Order for Conditional Release_2021-09-29_20251126175502.pdf","MCRO_27-CR-19-5875_Order for Conditional Release_2021-09-29_20251126175502.pdf")</f>
        <v>MCRO_27-CR-19-5875_Order for Conditional Release_2021-09-29_20251126175502.pdf</v>
      </c>
      <c r="H38" s="1" t="s">
        <v>1362</v>
      </c>
      <c r="I38" s="1" t="n">
        <v>20251126175502</v>
      </c>
      <c r="J38" s="1" t="s">
        <v>3007</v>
      </c>
      <c r="K38" s="9" t="s">
        <v>2348</v>
      </c>
      <c r="L38" s="2" t="s">
        <v>2295</v>
      </c>
    </row>
    <row r="39" customFormat="false" ht="18.7" hidden="false" customHeight="true" outlineLevel="0" collapsed="false">
      <c r="A39" s="1" t="n">
        <v>38</v>
      </c>
      <c r="B39" s="7" t="str">
        <f aca="false">HYPERLINK("https://mncourtfraud.com/file/27-CR-19-5875.pdf","27-CR-19-5875")</f>
        <v>27-CR-19-5875</v>
      </c>
      <c r="C39" s="1" t="n">
        <v>1</v>
      </c>
      <c r="D39" s="2" t="s">
        <v>12</v>
      </c>
      <c r="E39" s="8" t="n">
        <v>44543</v>
      </c>
      <c r="F39" s="2" t="s">
        <v>15</v>
      </c>
      <c r="G39" s="7" t="str">
        <f aca="false">HYPERLINK("https://mncourtfraud.com/file/MCRO_27-CR-19-5875_Order-Evaluation for Competency to Proceed (Rule 20.01)_2021-12-13_20251126175541.pdf","MCRO_27-CR-19-5875_Order-Evaluation for Competency to Proceed (Rule 20.01)_2021-12-13_20251126175541.pdf")</f>
        <v>MCRO_27-CR-19-5875_Order-Evaluation for Competency to Proceed (Rule 20.01)_2021-12-13_20251126175541.pdf</v>
      </c>
      <c r="H39" s="1" t="s">
        <v>1362</v>
      </c>
      <c r="I39" s="1" t="n">
        <v>20251126175541</v>
      </c>
      <c r="J39" s="1" t="s">
        <v>3008</v>
      </c>
      <c r="K39" s="9" t="s">
        <v>2355</v>
      </c>
      <c r="L39" s="2" t="s">
        <v>2356</v>
      </c>
    </row>
    <row r="40" customFormat="false" ht="18.7" hidden="false" customHeight="true" outlineLevel="0" collapsed="false">
      <c r="A40" s="1" t="n">
        <v>39</v>
      </c>
      <c r="B40" s="7" t="str">
        <f aca="false">HYPERLINK("https://mncourtfraud.com/file/27-CR-19-5875.pdf","27-CR-19-5875")</f>
        <v>27-CR-19-5875</v>
      </c>
      <c r="C40" s="1" t="n">
        <v>1</v>
      </c>
      <c r="D40" s="2" t="s">
        <v>12</v>
      </c>
      <c r="E40" s="8" t="n">
        <v>44558</v>
      </c>
      <c r="F40" s="2" t="s">
        <v>15</v>
      </c>
      <c r="G40" s="7" t="str">
        <f aca="false">HYPERLINK("https://mncourtfraud.com/file/MCRO_27-CR-19-5875_Order-Evaluation for Competency to Proceed (Rule 20.01)_2021-12-28_20251126175553.pdf","MCRO_27-CR-19-5875_Order-Evaluation for Competency to Proceed (Rule 20.01)_2021-12-28_20251126175553.pdf")</f>
        <v>MCRO_27-CR-19-5875_Order-Evaluation for Competency to Proceed (Rule 20.01)_2021-12-28_20251126175553.pdf</v>
      </c>
      <c r="H40" s="1" t="s">
        <v>1362</v>
      </c>
      <c r="I40" s="1" t="n">
        <v>20251126175553</v>
      </c>
      <c r="J40" s="1" t="s">
        <v>3009</v>
      </c>
      <c r="K40" s="9" t="s">
        <v>2357</v>
      </c>
      <c r="L40" s="2" t="s">
        <v>2358</v>
      </c>
    </row>
    <row r="41" customFormat="false" ht="18.7" hidden="false" customHeight="true" outlineLevel="0" collapsed="false">
      <c r="A41" s="1" t="n">
        <v>40</v>
      </c>
      <c r="B41" s="7" t="str">
        <f aca="false">HYPERLINK("https://mncourtfraud.com/file/27-CR-19-5875.pdf","27-CR-19-5875")</f>
        <v>27-CR-19-5875</v>
      </c>
      <c r="C41" s="1" t="n">
        <v>1</v>
      </c>
      <c r="D41" s="2" t="s">
        <v>12</v>
      </c>
      <c r="E41" s="8" t="n">
        <v>44593</v>
      </c>
      <c r="F41" s="2" t="s">
        <v>19</v>
      </c>
      <c r="G41" s="7" t="str">
        <f aca="false">HYPERLINK("https://mncourtfraud.com/file/MCRO_27-CR-19-5875_Findings and Order_2022-02-01_20251126175424.pdf","MCRO_27-CR-19-5875_Findings and Order_2022-02-01_20251126175424.pdf")</f>
        <v>MCRO_27-CR-19-5875_Findings and Order_2022-02-01_20251126175424.pdf</v>
      </c>
      <c r="H41" s="1" t="s">
        <v>1362</v>
      </c>
      <c r="I41" s="1" t="n">
        <v>20251126175424</v>
      </c>
      <c r="J41" s="1" t="s">
        <v>3010</v>
      </c>
      <c r="K41" s="9" t="s">
        <v>2345</v>
      </c>
      <c r="L41" s="2" t="s">
        <v>2346</v>
      </c>
    </row>
    <row r="42" customFormat="false" ht="18.7" hidden="false" customHeight="true" outlineLevel="0" collapsed="false">
      <c r="A42" s="1" t="n">
        <v>41</v>
      </c>
      <c r="B42" s="7" t="str">
        <f aca="false">HYPERLINK("https://mncourtfraud.com/file/27-CR-19-5875.pdf","27-CR-19-5875")</f>
        <v>27-CR-19-5875</v>
      </c>
      <c r="C42" s="1" t="n">
        <v>1</v>
      </c>
      <c r="D42" s="2" t="s">
        <v>12</v>
      </c>
      <c r="E42" s="8" t="n">
        <v>44692</v>
      </c>
      <c r="F42" s="2" t="s">
        <v>15</v>
      </c>
      <c r="G42" s="7" t="str">
        <f aca="false">HYPERLINK("https://mncourtfraud.com/file/MCRO_27-CR-19-5875_Order-Evaluation for Competency to Proceed (Rule 20.01)_2022-05-11_20251126175604.pdf","MCRO_27-CR-19-5875_Order-Evaluation for Competency to Proceed (Rule 20.01)_2022-05-11_20251126175604.pdf")</f>
        <v>MCRO_27-CR-19-5875_Order-Evaluation for Competency to Proceed (Rule 20.01)_2022-05-11_20251126175604.pdf</v>
      </c>
      <c r="H42" s="1" t="s">
        <v>1362</v>
      </c>
      <c r="I42" s="1" t="n">
        <v>20251126175604</v>
      </c>
      <c r="J42" s="1" t="s">
        <v>3011</v>
      </c>
      <c r="K42" s="9" t="s">
        <v>2359</v>
      </c>
      <c r="L42" s="2" t="s">
        <v>2360</v>
      </c>
    </row>
    <row r="43" customFormat="false" ht="18.7" hidden="false" customHeight="true" outlineLevel="0" collapsed="false">
      <c r="A43" s="1" t="n">
        <v>42</v>
      </c>
      <c r="B43" s="7" t="str">
        <f aca="false">HYPERLINK("https://mncourtfraud.com/file/27-CR-19-5875.pdf","27-CR-19-5875")</f>
        <v>27-CR-19-5875</v>
      </c>
      <c r="C43" s="1" t="n">
        <v>1</v>
      </c>
      <c r="D43" s="2" t="s">
        <v>12</v>
      </c>
      <c r="E43" s="8" t="n">
        <v>44895</v>
      </c>
      <c r="F43" s="2" t="s">
        <v>15</v>
      </c>
      <c r="G43" s="7" t="str">
        <f aca="false">HYPERLINK("https://mncourtfraud.com/file/MCRO_27-CR-19-5875_Order-Evaluation for Competency to Proceed (Rule 20.01)_2022-11-30_20251126175616.pdf","MCRO_27-CR-19-5875_Order-Evaluation for Competency to Proceed (Rule 20.01)_2022-11-30_20251126175616.pdf")</f>
        <v>MCRO_27-CR-19-5875_Order-Evaluation for Competency to Proceed (Rule 20.01)_2022-11-30_20251126175616.pdf</v>
      </c>
      <c r="H43" s="1" t="s">
        <v>1362</v>
      </c>
      <c r="I43" s="1" t="n">
        <v>20251126175616</v>
      </c>
      <c r="J43" s="1" t="s">
        <v>3012</v>
      </c>
      <c r="K43" s="9" t="s">
        <v>2361</v>
      </c>
      <c r="L43" s="2" t="s">
        <v>2362</v>
      </c>
    </row>
    <row r="44" customFormat="false" ht="18.7" hidden="false" customHeight="true" outlineLevel="0" collapsed="false">
      <c r="A44" s="1" t="n">
        <v>43</v>
      </c>
      <c r="B44" s="7" t="str">
        <f aca="false">HYPERLINK("https://mncourtfraud.com/file/27-CR-20-14626.pdf","27-CR-20-14626")</f>
        <v>27-CR-20-14626</v>
      </c>
      <c r="C44" s="1" t="n">
        <v>1</v>
      </c>
      <c r="D44" s="2" t="s">
        <v>12</v>
      </c>
      <c r="E44" s="8" t="n">
        <v>44103</v>
      </c>
      <c r="F44" s="2" t="s">
        <v>19</v>
      </c>
      <c r="G44" s="7" t="str">
        <f aca="false">HYPERLINK("https://mncourtfraud.com/file/MCRO_27-CR-20-14626_Findings and Order_2020-09-29_20251126175748.pdf","MCRO_27-CR-20-14626_Findings and Order_2020-09-29_20251126175748.pdf")</f>
        <v>MCRO_27-CR-20-14626_Findings and Order_2020-09-29_20251126175748.pdf</v>
      </c>
      <c r="H44" s="1" t="s">
        <v>1362</v>
      </c>
      <c r="I44" s="1" t="n">
        <v>20251126175748</v>
      </c>
      <c r="J44" s="1" t="s">
        <v>3013</v>
      </c>
      <c r="K44" s="9" t="s">
        <v>2365</v>
      </c>
      <c r="L44" s="2" t="s">
        <v>2366</v>
      </c>
    </row>
    <row r="45" customFormat="false" ht="18.7" hidden="false" customHeight="true" outlineLevel="0" collapsed="false">
      <c r="A45" s="1" t="n">
        <v>44</v>
      </c>
      <c r="B45" s="7" t="str">
        <f aca="false">HYPERLINK("https://mncourtfraud.com/file/27-CR-20-14626.pdf","27-CR-20-14626")</f>
        <v>27-CR-20-14626</v>
      </c>
      <c r="C45" s="1" t="n">
        <v>1</v>
      </c>
      <c r="D45" s="2" t="s">
        <v>12</v>
      </c>
      <c r="E45" s="8" t="n">
        <v>44225</v>
      </c>
      <c r="F45" s="2" t="s">
        <v>15</v>
      </c>
      <c r="G45" s="7" t="str">
        <f aca="false">HYPERLINK("https://mncourtfraud.com/file/MCRO_27-CR-20-14626_Order-Evaluation for Competency to Proceed (Rule 20.01)_2021-01-29_20251126175944.pdf","MCRO_27-CR-20-14626_Order-Evaluation for Competency to Proceed (Rule 20.01)_2021-01-29_20251126175944.pdf")</f>
        <v>MCRO_27-CR-20-14626_Order-Evaluation for Competency to Proceed (Rule 20.01)_2021-01-29_20251126175944.pdf</v>
      </c>
      <c r="H45" s="1" t="s">
        <v>1362</v>
      </c>
      <c r="I45" s="1" t="n">
        <v>20251126175944</v>
      </c>
      <c r="J45" s="1" t="s">
        <v>3014</v>
      </c>
      <c r="K45" s="9" t="s">
        <v>2374</v>
      </c>
      <c r="L45" s="2" t="s">
        <v>2375</v>
      </c>
    </row>
    <row r="46" customFormat="false" ht="18.7" hidden="false" customHeight="true" outlineLevel="0" collapsed="false">
      <c r="A46" s="1" t="n">
        <v>45</v>
      </c>
      <c r="B46" s="7" t="str">
        <f aca="false">HYPERLINK("https://mncourtfraud.com/file/27-CR-20-14626.pdf","27-CR-20-14626")</f>
        <v>27-CR-20-14626</v>
      </c>
      <c r="C46" s="1" t="n">
        <v>1</v>
      </c>
      <c r="D46" s="2" t="s">
        <v>12</v>
      </c>
      <c r="E46" s="8" t="n">
        <v>44396</v>
      </c>
      <c r="F46" s="2" t="s">
        <v>15</v>
      </c>
      <c r="G46" s="7" t="str">
        <f aca="false">HYPERLINK("https://mncourtfraud.com/file/MCRO_27-CR-20-14626_Order-Evaluation for Competency to Proceed (Rule 20.01)_2021-07-19_20251126175844.pdf","MCRO_27-CR-20-14626_Order-Evaluation for Competency to Proceed (Rule 20.01)_2021-07-19_20251126175844.pdf")</f>
        <v>MCRO_27-CR-20-14626_Order-Evaluation for Competency to Proceed (Rule 20.01)_2021-07-19_20251126175844.pdf</v>
      </c>
      <c r="H46" s="1" t="s">
        <v>1362</v>
      </c>
      <c r="I46" s="1" t="n">
        <v>20251126175844</v>
      </c>
      <c r="J46" s="1" t="s">
        <v>3015</v>
      </c>
      <c r="K46" s="9" t="s">
        <v>2376</v>
      </c>
      <c r="L46" s="2" t="s">
        <v>2377</v>
      </c>
    </row>
    <row r="47" customFormat="false" ht="18.7" hidden="false" customHeight="true" outlineLevel="0" collapsed="false">
      <c r="A47" s="1" t="n">
        <v>46</v>
      </c>
      <c r="B47" s="7" t="str">
        <f aca="false">HYPERLINK("https://mncourtfraud.com/file/27-CR-20-14626.pdf","27-CR-20-14626")</f>
        <v>27-CR-20-14626</v>
      </c>
      <c r="C47" s="1" t="n">
        <v>1</v>
      </c>
      <c r="D47" s="2" t="s">
        <v>12</v>
      </c>
      <c r="E47" s="8" t="n">
        <v>44439</v>
      </c>
      <c r="F47" s="2" t="s">
        <v>19</v>
      </c>
      <c r="G47" s="7" t="str">
        <f aca="false">HYPERLINK("https://mncourtfraud.com/file/MCRO_27-CR-20-14626_Findings and Order_2021-08-31_20251126175800.pdf","MCRO_27-CR-20-14626_Findings and Order_2021-08-31_20251126175800.pdf")</f>
        <v>MCRO_27-CR-20-14626_Findings and Order_2021-08-31_20251126175800.pdf</v>
      </c>
      <c r="H47" s="1" t="s">
        <v>1362</v>
      </c>
      <c r="I47" s="1" t="n">
        <v>20251126175800</v>
      </c>
      <c r="J47" s="1" t="s">
        <v>3016</v>
      </c>
      <c r="K47" s="9" t="s">
        <v>2367</v>
      </c>
      <c r="L47" s="2" t="s">
        <v>2368</v>
      </c>
    </row>
    <row r="48" customFormat="false" ht="18.7" hidden="false" customHeight="true" outlineLevel="0" collapsed="false">
      <c r="A48" s="1" t="n">
        <v>47</v>
      </c>
      <c r="B48" s="7" t="str">
        <f aca="false">HYPERLINK("https://mncourtfraud.com/file/27-CR-20-14626.pdf","27-CR-20-14626")</f>
        <v>27-CR-20-14626</v>
      </c>
      <c r="C48" s="1" t="n">
        <v>1</v>
      </c>
      <c r="D48" s="2" t="s">
        <v>12</v>
      </c>
      <c r="E48" s="8" t="n">
        <v>44460</v>
      </c>
      <c r="F48" s="2" t="s">
        <v>24</v>
      </c>
      <c r="G48" s="7" t="str">
        <f aca="false">HYPERLINK("https://mncourtfraud.com/file/MCRO_27-CR-20-14626_Order for Conditional Release_2021-09-21_20251126175819.pdf","MCRO_27-CR-20-14626_Order for Conditional Release_2021-09-21_20251126175819.pdf")</f>
        <v>MCRO_27-CR-20-14626_Order for Conditional Release_2021-09-21_20251126175819.pdf</v>
      </c>
      <c r="H48" s="1" t="s">
        <v>1362</v>
      </c>
      <c r="I48" s="1" t="n">
        <v>20251126175819</v>
      </c>
      <c r="J48" s="1" t="s">
        <v>3017</v>
      </c>
      <c r="K48" s="9" t="s">
        <v>2371</v>
      </c>
      <c r="L48" s="2" t="s">
        <v>2293</v>
      </c>
    </row>
    <row r="49" customFormat="false" ht="18.7" hidden="false" customHeight="true" outlineLevel="0" collapsed="false">
      <c r="A49" s="1" t="n">
        <v>48</v>
      </c>
      <c r="B49" s="7" t="str">
        <f aca="false">HYPERLINK("https://mncourtfraud.com/file/27-CR-20-14626.pdf","27-CR-20-14626")</f>
        <v>27-CR-20-14626</v>
      </c>
      <c r="C49" s="1" t="n">
        <v>1</v>
      </c>
      <c r="D49" s="2" t="s">
        <v>12</v>
      </c>
      <c r="E49" s="8" t="n">
        <v>44468</v>
      </c>
      <c r="F49" s="2" t="s">
        <v>24</v>
      </c>
      <c r="G49" s="7" t="str">
        <f aca="false">HYPERLINK("https://mncourtfraud.com/file/MCRO_27-CR-20-14626_Order for Conditional Release_2021-09-29_20251126175828.pdf","MCRO_27-CR-20-14626_Order for Conditional Release_2021-09-29_20251126175828.pdf")</f>
        <v>MCRO_27-CR-20-14626_Order for Conditional Release_2021-09-29_20251126175828.pdf</v>
      </c>
      <c r="H49" s="1" t="s">
        <v>1362</v>
      </c>
      <c r="I49" s="1" t="n">
        <v>20251126175828</v>
      </c>
      <c r="J49" s="1" t="s">
        <v>3018</v>
      </c>
      <c r="K49" s="9" t="s">
        <v>2372</v>
      </c>
      <c r="L49" s="2" t="s">
        <v>2373</v>
      </c>
    </row>
    <row r="50" customFormat="false" ht="18.7" hidden="false" customHeight="true" outlineLevel="0" collapsed="false">
      <c r="A50" s="1" t="n">
        <v>49</v>
      </c>
      <c r="B50" s="7" t="str">
        <f aca="false">HYPERLINK("https://mncourtfraud.com/file/27-CR-20-14626.pdf","27-CR-20-14626")</f>
        <v>27-CR-20-14626</v>
      </c>
      <c r="C50" s="1" t="n">
        <v>1</v>
      </c>
      <c r="D50" s="2" t="s">
        <v>12</v>
      </c>
      <c r="E50" s="8" t="n">
        <v>44543</v>
      </c>
      <c r="F50" s="2" t="s">
        <v>15</v>
      </c>
      <c r="G50" s="7" t="str">
        <f aca="false">HYPERLINK("https://mncourtfraud.com/file/MCRO_27-CR-20-14626_Order-Evaluation for Competency to Proceed (Rule 20.01)_2021-12-13_20251126175855.pdf","MCRO_27-CR-20-14626_Order-Evaluation for Competency to Proceed (Rule 20.01)_2021-12-13_20251126175855.pdf")</f>
        <v>MCRO_27-CR-20-14626_Order-Evaluation for Competency to Proceed (Rule 20.01)_2021-12-13_20251126175855.pdf</v>
      </c>
      <c r="H50" s="1" t="s">
        <v>1362</v>
      </c>
      <c r="I50" s="1" t="n">
        <v>20251126175855</v>
      </c>
      <c r="J50" s="1" t="s">
        <v>3019</v>
      </c>
      <c r="K50" s="9" t="s">
        <v>2378</v>
      </c>
      <c r="L50" s="2" t="s">
        <v>2379</v>
      </c>
    </row>
    <row r="51" customFormat="false" ht="18.7" hidden="false" customHeight="true" outlineLevel="0" collapsed="false">
      <c r="A51" s="1" t="n">
        <v>50</v>
      </c>
      <c r="B51" s="7" t="str">
        <f aca="false">HYPERLINK("https://mncourtfraud.com/file/27-CR-20-14626.pdf","27-CR-20-14626")</f>
        <v>27-CR-20-14626</v>
      </c>
      <c r="C51" s="1" t="n">
        <v>1</v>
      </c>
      <c r="D51" s="2" t="s">
        <v>12</v>
      </c>
      <c r="E51" s="8" t="n">
        <v>44558</v>
      </c>
      <c r="F51" s="2" t="s">
        <v>15</v>
      </c>
      <c r="G51" s="7" t="str">
        <f aca="false">HYPERLINK("https://mncourtfraud.com/file/MCRO_27-CR-20-14626_Order-Evaluation for Competency to Proceed (Rule 20.01)_2021-12-28_20251126175907.pdf","MCRO_27-CR-20-14626_Order-Evaluation for Competency to Proceed (Rule 20.01)_2021-12-28_20251126175907.pdf")</f>
        <v>MCRO_27-CR-20-14626_Order-Evaluation for Competency to Proceed (Rule 20.01)_2021-12-28_20251126175907.pdf</v>
      </c>
      <c r="H51" s="1" t="s">
        <v>1362</v>
      </c>
      <c r="I51" s="1" t="n">
        <v>20251126175907</v>
      </c>
      <c r="J51" s="1" t="s">
        <v>3020</v>
      </c>
      <c r="K51" s="9" t="s">
        <v>2380</v>
      </c>
      <c r="L51" s="2" t="s">
        <v>2381</v>
      </c>
    </row>
    <row r="52" customFormat="false" ht="18.7" hidden="false" customHeight="true" outlineLevel="0" collapsed="false">
      <c r="A52" s="1" t="n">
        <v>51</v>
      </c>
      <c r="B52" s="7" t="str">
        <f aca="false">HYPERLINK("https://mncourtfraud.com/file/27-CR-20-14626.pdf","27-CR-20-14626")</f>
        <v>27-CR-20-14626</v>
      </c>
      <c r="C52" s="1" t="n">
        <v>1</v>
      </c>
      <c r="D52" s="2" t="s">
        <v>12</v>
      </c>
      <c r="E52" s="8" t="n">
        <v>44593</v>
      </c>
      <c r="F52" s="2" t="s">
        <v>19</v>
      </c>
      <c r="G52" s="7" t="str">
        <f aca="false">HYPERLINK("https://mncourtfraud.com/file/MCRO_27-CR-20-14626_Findings and Order_2022-02-01_20251126175736.pdf","MCRO_27-CR-20-14626_Findings and Order_2022-02-01_20251126175736.pdf")</f>
        <v>MCRO_27-CR-20-14626_Findings and Order_2022-02-01_20251126175736.pdf</v>
      </c>
      <c r="H52" s="1" t="s">
        <v>1362</v>
      </c>
      <c r="I52" s="1" t="n">
        <v>20251126175736</v>
      </c>
      <c r="J52" s="1" t="s">
        <v>3021</v>
      </c>
      <c r="K52" s="9" t="s">
        <v>2369</v>
      </c>
      <c r="L52" s="2" t="s">
        <v>2370</v>
      </c>
    </row>
    <row r="53" customFormat="false" ht="18.7" hidden="false" customHeight="true" outlineLevel="0" collapsed="false">
      <c r="A53" s="1" t="n">
        <v>52</v>
      </c>
      <c r="B53" s="7" t="str">
        <f aca="false">HYPERLINK("https://mncourtfraud.com/file/27-CR-20-14626.pdf","27-CR-20-14626")</f>
        <v>27-CR-20-14626</v>
      </c>
      <c r="C53" s="1" t="n">
        <v>1</v>
      </c>
      <c r="D53" s="2" t="s">
        <v>12</v>
      </c>
      <c r="E53" s="8" t="n">
        <v>44692</v>
      </c>
      <c r="F53" s="2" t="s">
        <v>15</v>
      </c>
      <c r="G53" s="7" t="str">
        <f aca="false">HYPERLINK("https://mncourtfraud.com/file/MCRO_27-CR-20-14626_Order-Evaluation for Competency to Proceed (Rule 20.01)_2022-05-11_20251126175918.pdf","MCRO_27-CR-20-14626_Order-Evaluation for Competency to Proceed (Rule 20.01)_2022-05-11_20251126175918.pdf")</f>
        <v>MCRO_27-CR-20-14626_Order-Evaluation for Competency to Proceed (Rule 20.01)_2022-05-11_20251126175918.pdf</v>
      </c>
      <c r="H53" s="1" t="s">
        <v>1362</v>
      </c>
      <c r="I53" s="1" t="n">
        <v>20251126175918</v>
      </c>
      <c r="J53" s="1" t="s">
        <v>3022</v>
      </c>
      <c r="K53" s="9" t="s">
        <v>2382</v>
      </c>
      <c r="L53" s="2" t="s">
        <v>2383</v>
      </c>
    </row>
    <row r="54" customFormat="false" ht="18.7" hidden="false" customHeight="true" outlineLevel="0" collapsed="false">
      <c r="A54" s="1" t="n">
        <v>53</v>
      </c>
      <c r="B54" s="7" t="str">
        <f aca="false">HYPERLINK("https://mncourtfraud.com/file/27-CR-20-14626.pdf","27-CR-20-14626")</f>
        <v>27-CR-20-14626</v>
      </c>
      <c r="C54" s="1" t="n">
        <v>1</v>
      </c>
      <c r="D54" s="2" t="s">
        <v>12</v>
      </c>
      <c r="E54" s="8" t="n">
        <v>44895</v>
      </c>
      <c r="F54" s="2" t="s">
        <v>15</v>
      </c>
      <c r="G54" s="7" t="str">
        <f aca="false">HYPERLINK("https://mncourtfraud.com/file/MCRO_27-CR-20-14626_Order-Evaluation for Competency to Proceed (Rule 20.01)_2022-11-30_20251126175928.pdf","MCRO_27-CR-20-14626_Order-Evaluation for Competency to Proceed (Rule 20.01)_2022-11-30_20251126175928.pdf")</f>
        <v>MCRO_27-CR-20-14626_Order-Evaluation for Competency to Proceed (Rule 20.01)_2022-11-30_20251126175928.pdf</v>
      </c>
      <c r="H54" s="1" t="s">
        <v>1362</v>
      </c>
      <c r="I54" s="1" t="n">
        <v>20251126175928</v>
      </c>
      <c r="J54" s="1" t="s">
        <v>3023</v>
      </c>
      <c r="K54" s="9" t="s">
        <v>2384</v>
      </c>
      <c r="L54" s="2" t="s">
        <v>2336</v>
      </c>
    </row>
    <row r="55" customFormat="false" ht="18.7" hidden="false" customHeight="true" outlineLevel="0" collapsed="false">
      <c r="A55" s="1" t="n">
        <v>54</v>
      </c>
      <c r="B55" s="7" t="str">
        <f aca="false">HYPERLINK("https://mncourtfraud.com/file/27-CR-20-25524.pdf","27-CR-20-25524")</f>
        <v>27-CR-20-25524</v>
      </c>
      <c r="C55" s="1" t="n">
        <v>1</v>
      </c>
      <c r="D55" s="2" t="s">
        <v>12</v>
      </c>
      <c r="E55" s="8" t="n">
        <v>44396</v>
      </c>
      <c r="F55" s="2" t="s">
        <v>15</v>
      </c>
      <c r="G55" s="7" t="str">
        <f aca="false">HYPERLINK("https://mncourtfraud.com/file/MCRO_27-CR-20-25524_Order-Evaluation for Competency to Proceed (Rule 20.01)_2021-07-19_20251126180153.pdf","MCRO_27-CR-20-25524_Order-Evaluation for Competency to Proceed (Rule 20.01)_2021-07-19_20251126180153.pdf")</f>
        <v>MCRO_27-CR-20-25524_Order-Evaluation for Competency to Proceed (Rule 20.01)_2021-07-19_20251126180153.pdf</v>
      </c>
      <c r="H55" s="1" t="s">
        <v>1362</v>
      </c>
      <c r="I55" s="1" t="n">
        <v>20251126180153</v>
      </c>
      <c r="J55" s="1" t="s">
        <v>3024</v>
      </c>
      <c r="K55" s="9" t="s">
        <v>2401</v>
      </c>
      <c r="L55" s="2" t="s">
        <v>2402</v>
      </c>
    </row>
    <row r="56" customFormat="false" ht="18.7" hidden="false" customHeight="true" outlineLevel="0" collapsed="false">
      <c r="A56" s="1" t="n">
        <v>55</v>
      </c>
      <c r="B56" s="7" t="str">
        <f aca="false">HYPERLINK("https://mncourtfraud.com/file/27-CR-20-25524.pdf","27-CR-20-25524")</f>
        <v>27-CR-20-25524</v>
      </c>
      <c r="C56" s="1" t="n">
        <v>1</v>
      </c>
      <c r="D56" s="2" t="s">
        <v>12</v>
      </c>
      <c r="E56" s="8" t="n">
        <v>44439</v>
      </c>
      <c r="F56" s="2" t="s">
        <v>19</v>
      </c>
      <c r="G56" s="7" t="str">
        <f aca="false">HYPERLINK("https://mncourtfraud.com/file/MCRO_27-CR-20-25524_Findings and Order_2021-08-31_20251126180048.pdf","MCRO_27-CR-20-25524_Findings and Order_2021-08-31_20251126180048.pdf")</f>
        <v>MCRO_27-CR-20-25524_Findings and Order_2021-08-31_20251126180048.pdf</v>
      </c>
      <c r="H56" s="1" t="s">
        <v>1362</v>
      </c>
      <c r="I56" s="1" t="n">
        <v>20251126180048</v>
      </c>
      <c r="J56" s="1" t="s">
        <v>3025</v>
      </c>
      <c r="K56" s="9" t="s">
        <v>2391</v>
      </c>
      <c r="L56" s="2" t="s">
        <v>2392</v>
      </c>
    </row>
    <row r="57" customFormat="false" ht="18.7" hidden="false" customHeight="true" outlineLevel="0" collapsed="false">
      <c r="A57" s="1" t="n">
        <v>56</v>
      </c>
      <c r="B57" s="7" t="str">
        <f aca="false">HYPERLINK("https://mncourtfraud.com/file/27-CR-20-25524.pdf","27-CR-20-25524")</f>
        <v>27-CR-20-25524</v>
      </c>
      <c r="C57" s="1" t="n">
        <v>1</v>
      </c>
      <c r="D57" s="2" t="s">
        <v>12</v>
      </c>
      <c r="E57" s="8" t="n">
        <v>44460</v>
      </c>
      <c r="F57" s="2" t="s">
        <v>24</v>
      </c>
      <c r="G57" s="7" t="str">
        <f aca="false">HYPERLINK("https://mncourtfraud.com/file/MCRO_27-CR-20-25524_Order for Conditional Release_2021-09-21_20251126180139.pdf","MCRO_27-CR-20-25524_Order for Conditional Release_2021-09-21_20251126180139.pdf")</f>
        <v>MCRO_27-CR-20-25524_Order for Conditional Release_2021-09-21_20251126180139.pdf</v>
      </c>
      <c r="H57" s="1" t="s">
        <v>1362</v>
      </c>
      <c r="I57" s="1" t="n">
        <v>20251126180139</v>
      </c>
      <c r="J57" s="1" t="s">
        <v>3026</v>
      </c>
      <c r="K57" s="9" t="s">
        <v>2396</v>
      </c>
      <c r="L57" s="2" t="s">
        <v>2293</v>
      </c>
    </row>
    <row r="58" customFormat="false" ht="18.7" hidden="false" customHeight="true" outlineLevel="0" collapsed="false">
      <c r="A58" s="1" t="n">
        <v>57</v>
      </c>
      <c r="B58" s="7" t="str">
        <f aca="false">HYPERLINK("https://mncourtfraud.com/file/27-CR-20-25524.pdf","27-CR-20-25524")</f>
        <v>27-CR-20-25524</v>
      </c>
      <c r="C58" s="1" t="n">
        <v>1</v>
      </c>
      <c r="D58" s="2" t="s">
        <v>12</v>
      </c>
      <c r="E58" s="8" t="n">
        <v>44468</v>
      </c>
      <c r="F58" s="2" t="s">
        <v>24</v>
      </c>
      <c r="G58" s="7" t="str">
        <f aca="false">HYPERLINK("https://mncourtfraud.com/file/MCRO_27-CR-20-25524_Order for Conditional Release_2021-09-29_20251126180115.pdf","MCRO_27-CR-20-25524_Order for Conditional Release_2021-09-29_20251126180115.pdf")</f>
        <v>MCRO_27-CR-20-25524_Order for Conditional Release_2021-09-29_20251126180115.pdf</v>
      </c>
      <c r="H58" s="1" t="s">
        <v>1362</v>
      </c>
      <c r="I58" s="1" t="n">
        <v>20251126180115</v>
      </c>
      <c r="J58" s="1" t="s">
        <v>3027</v>
      </c>
      <c r="K58" s="9" t="s">
        <v>2397</v>
      </c>
      <c r="L58" s="2" t="s">
        <v>2398</v>
      </c>
    </row>
    <row r="59" customFormat="false" ht="18.7" hidden="false" customHeight="true" outlineLevel="0" collapsed="false">
      <c r="A59" s="1" t="n">
        <v>58</v>
      </c>
      <c r="B59" s="7" t="str">
        <f aca="false">HYPERLINK("https://mncourtfraud.com/file/27-CR-20-25524.pdf","27-CR-20-25524")</f>
        <v>27-CR-20-25524</v>
      </c>
      <c r="C59" s="1" t="n">
        <v>1</v>
      </c>
      <c r="D59" s="2" t="s">
        <v>12</v>
      </c>
      <c r="E59" s="8" t="n">
        <v>44543</v>
      </c>
      <c r="F59" s="2" t="s">
        <v>15</v>
      </c>
      <c r="G59" s="7" t="str">
        <f aca="false">HYPERLINK("https://mncourtfraud.com/file/MCRO_27-CR-20-25524_Order-Evaluation for Competency to Proceed (Rule 20.01)_2021-12-13_20251126180204.pdf","MCRO_27-CR-20-25524_Order-Evaluation for Competency to Proceed (Rule 20.01)_2021-12-13_20251126180204.pdf")</f>
        <v>MCRO_27-CR-20-25524_Order-Evaluation for Competency to Proceed (Rule 20.01)_2021-12-13_20251126180204.pdf</v>
      </c>
      <c r="H59" s="1" t="s">
        <v>1362</v>
      </c>
      <c r="I59" s="1" t="n">
        <v>20251126180204</v>
      </c>
      <c r="J59" s="1" t="s">
        <v>3028</v>
      </c>
      <c r="K59" s="9" t="s">
        <v>2403</v>
      </c>
      <c r="L59" s="2" t="s">
        <v>2404</v>
      </c>
    </row>
    <row r="60" customFormat="false" ht="18.7" hidden="false" customHeight="true" outlineLevel="0" collapsed="false">
      <c r="A60" s="1" t="n">
        <v>59</v>
      </c>
      <c r="B60" s="7" t="str">
        <f aca="false">HYPERLINK("https://mncourtfraud.com/file/27-CR-20-25524.pdf","27-CR-20-25524")</f>
        <v>27-CR-20-25524</v>
      </c>
      <c r="C60" s="1" t="n">
        <v>1</v>
      </c>
      <c r="D60" s="2" t="s">
        <v>12</v>
      </c>
      <c r="E60" s="8" t="n">
        <v>44558</v>
      </c>
      <c r="F60" s="2" t="s">
        <v>15</v>
      </c>
      <c r="G60" s="7" t="str">
        <f aca="false">HYPERLINK("https://mncourtfraud.com/file/MCRO_27-CR-20-25524_Order-Evaluation for Competency to Proceed (Rule 20.01)_2021-12-28_20251126180216.pdf","MCRO_27-CR-20-25524_Order-Evaluation for Competency to Proceed (Rule 20.01)_2021-12-28_20251126180216.pdf")</f>
        <v>MCRO_27-CR-20-25524_Order-Evaluation for Competency to Proceed (Rule 20.01)_2021-12-28_20251126180216.pdf</v>
      </c>
      <c r="H60" s="1" t="s">
        <v>1362</v>
      </c>
      <c r="I60" s="1" t="n">
        <v>20251126180216</v>
      </c>
      <c r="J60" s="1" t="s">
        <v>3029</v>
      </c>
      <c r="K60" s="9" t="s">
        <v>2405</v>
      </c>
      <c r="L60" s="2" t="s">
        <v>2406</v>
      </c>
    </row>
    <row r="61" customFormat="false" ht="18.7" hidden="false" customHeight="true" outlineLevel="0" collapsed="false">
      <c r="A61" s="1" t="n">
        <v>60</v>
      </c>
      <c r="B61" s="7" t="str">
        <f aca="false">HYPERLINK("https://mncourtfraud.com/file/27-CR-20-25524.pdf","27-CR-20-25524")</f>
        <v>27-CR-20-25524</v>
      </c>
      <c r="C61" s="1" t="n">
        <v>1</v>
      </c>
      <c r="D61" s="2" t="s">
        <v>12</v>
      </c>
      <c r="E61" s="8" t="n">
        <v>44593</v>
      </c>
      <c r="F61" s="2" t="s">
        <v>19</v>
      </c>
      <c r="G61" s="7" t="str">
        <f aca="false">HYPERLINK("https://mncourtfraud.com/file/MCRO_27-CR-20-25524_Findings and Order_2022-02-01_20251126180037.pdf","MCRO_27-CR-20-25524_Findings and Order_2022-02-01_20251126180037.pdf")</f>
        <v>MCRO_27-CR-20-25524_Findings and Order_2022-02-01_20251126180037.pdf</v>
      </c>
      <c r="H61" s="1" t="s">
        <v>1362</v>
      </c>
      <c r="I61" s="1" t="n">
        <v>20251126180037</v>
      </c>
      <c r="J61" s="1" t="s">
        <v>3030</v>
      </c>
      <c r="K61" s="9" t="s">
        <v>2393</v>
      </c>
      <c r="L61" s="2" t="s">
        <v>2370</v>
      </c>
    </row>
    <row r="62" customFormat="false" ht="18.7" hidden="false" customHeight="true" outlineLevel="0" collapsed="false">
      <c r="A62" s="1" t="n">
        <v>61</v>
      </c>
      <c r="B62" s="7" t="str">
        <f aca="false">HYPERLINK("https://mncourtfraud.com/file/27-CR-20-25524.pdf","27-CR-20-25524")</f>
        <v>27-CR-20-25524</v>
      </c>
      <c r="C62" s="1" t="n">
        <v>1</v>
      </c>
      <c r="D62" s="2" t="s">
        <v>12</v>
      </c>
      <c r="E62" s="8" t="n">
        <v>44692</v>
      </c>
      <c r="F62" s="2" t="s">
        <v>15</v>
      </c>
      <c r="G62" s="7" t="str">
        <f aca="false">HYPERLINK("https://mncourtfraud.com/file/MCRO_27-CR-20-25524_Order-Evaluation for Competency to Proceed (Rule 20.01)_2022-05-11_20251126180226.pdf","MCRO_27-CR-20-25524_Order-Evaluation for Competency to Proceed (Rule 20.01)_2022-05-11_20251126180226.pdf")</f>
        <v>MCRO_27-CR-20-25524_Order-Evaluation for Competency to Proceed (Rule 20.01)_2022-05-11_20251126180226.pdf</v>
      </c>
      <c r="H62" s="1" t="s">
        <v>1362</v>
      </c>
      <c r="I62" s="1" t="n">
        <v>20251126180226</v>
      </c>
      <c r="J62" s="1" t="s">
        <v>3031</v>
      </c>
      <c r="K62" s="9" t="s">
        <v>2407</v>
      </c>
      <c r="L62" s="2" t="s">
        <v>2408</v>
      </c>
    </row>
    <row r="63" customFormat="false" ht="18.7" hidden="false" customHeight="true" outlineLevel="0" collapsed="false">
      <c r="A63" s="1" t="n">
        <v>62</v>
      </c>
      <c r="B63" s="7" t="str">
        <f aca="false">HYPERLINK("https://mncourtfraud.com/file/27-CR-20-25524.pdf","27-CR-20-25524")</f>
        <v>27-CR-20-25524</v>
      </c>
      <c r="C63" s="1" t="n">
        <v>1</v>
      </c>
      <c r="D63" s="2" t="s">
        <v>12</v>
      </c>
      <c r="E63" s="8" t="n">
        <v>44895</v>
      </c>
      <c r="F63" s="2" t="s">
        <v>15</v>
      </c>
      <c r="G63" s="7" t="str">
        <f aca="false">HYPERLINK("https://mncourtfraud.com/file/MCRO_27-CR-20-25524_Order-Evaluation for Competency to Proceed (Rule 20.01)_2022-11-30_20251126180238.pdf","MCRO_27-CR-20-25524_Order-Evaluation for Competency to Proceed (Rule 20.01)_2022-11-30_20251126180238.pdf")</f>
        <v>MCRO_27-CR-20-25524_Order-Evaluation for Competency to Proceed (Rule 20.01)_2022-11-30_20251126180238.pdf</v>
      </c>
      <c r="H63" s="1" t="s">
        <v>1362</v>
      </c>
      <c r="I63" s="1" t="n">
        <v>20251126180238</v>
      </c>
      <c r="J63" s="1" t="s">
        <v>3032</v>
      </c>
      <c r="K63" s="9" t="s">
        <v>2409</v>
      </c>
      <c r="L63" s="2" t="s">
        <v>2336</v>
      </c>
    </row>
    <row r="64" customFormat="false" ht="18.7" hidden="false" customHeight="true" outlineLevel="0" collapsed="false">
      <c r="A64" s="1" t="n">
        <v>63</v>
      </c>
      <c r="B64" s="7" t="str">
        <f aca="false">HYPERLINK("https://mncourtfraud.com/file/27-CR-20-25524.pdf","27-CR-20-25524")</f>
        <v>27-CR-20-25524</v>
      </c>
      <c r="C64" s="1" t="n">
        <v>1</v>
      </c>
      <c r="D64" s="2" t="s">
        <v>12</v>
      </c>
      <c r="E64" s="8" t="n">
        <v>45048</v>
      </c>
      <c r="F64" s="2" t="s">
        <v>80</v>
      </c>
      <c r="G64" s="7" t="str">
        <f aca="false">HYPERLINK("https://mncourtfraud.com/file/MCRO_27-CR-20-25524_Finding of Incompetency and Order_2023-05-02_20251126180022.pdf","MCRO_27-CR-20-25524_Finding of Incompetency and Order_2023-05-02_20251126180022.pdf")</f>
        <v>MCRO_27-CR-20-25524_Finding of Incompetency and Order_2023-05-02_20251126180022.pdf</v>
      </c>
      <c r="H64" s="1" t="s">
        <v>1362</v>
      </c>
      <c r="I64" s="1" t="n">
        <v>20251126180022</v>
      </c>
      <c r="J64" s="1" t="s">
        <v>3033</v>
      </c>
      <c r="K64" s="9" t="s">
        <v>2389</v>
      </c>
      <c r="L64" s="2" t="s">
        <v>2390</v>
      </c>
    </row>
    <row r="65" customFormat="false" ht="18.7" hidden="false" customHeight="true" outlineLevel="0" collapsed="false">
      <c r="A65" s="1" t="n">
        <v>64</v>
      </c>
      <c r="B65" s="7" t="str">
        <f aca="false">HYPERLINK("https://mncourtfraud.com/file/27-CR-20-25524.pdf","27-CR-20-25524")</f>
        <v>27-CR-20-25524</v>
      </c>
      <c r="C65" s="1" t="n">
        <v>1</v>
      </c>
      <c r="D65" s="2" t="s">
        <v>12</v>
      </c>
      <c r="E65" s="8" t="n">
        <v>45093</v>
      </c>
      <c r="F65" s="2" t="s">
        <v>82</v>
      </c>
      <c r="G65" s="7" t="str">
        <f aca="false">HYPERLINK("https://mncourtfraud.com/file/MCRO_27-CR-20-25524_Notice of Case Reassignment_2023-06-16_20251126180103.pdf","MCRO_27-CR-20-25524_Notice of Case Reassignment_2023-06-16_20251126180103.pdf")</f>
        <v>MCRO_27-CR-20-25524_Notice of Case Reassignment_2023-06-16_20251126180103.pdf</v>
      </c>
      <c r="H65" s="1" t="s">
        <v>1362</v>
      </c>
      <c r="I65" s="1" t="n">
        <v>20251126180103</v>
      </c>
      <c r="J65" s="1" t="s">
        <v>3034</v>
      </c>
      <c r="K65" s="9" t="s">
        <v>2394</v>
      </c>
      <c r="L65" s="2" t="s">
        <v>2395</v>
      </c>
    </row>
    <row r="66" customFormat="false" ht="18.7" hidden="false" customHeight="true" outlineLevel="0" collapsed="false">
      <c r="A66" s="1" t="n">
        <v>65</v>
      </c>
      <c r="B66" s="7" t="str">
        <f aca="false">HYPERLINK("https://mncourtfraud.com/file/27-CR-20-25524.pdf","27-CR-20-25524")</f>
        <v>27-CR-20-25524</v>
      </c>
      <c r="C66" s="1" t="n">
        <v>1</v>
      </c>
      <c r="D66" s="2" t="s">
        <v>12</v>
      </c>
      <c r="E66" s="8" t="n">
        <v>45160</v>
      </c>
      <c r="F66" s="2" t="s">
        <v>15</v>
      </c>
      <c r="G66" s="7" t="str">
        <f aca="false">HYPERLINK("https://mncourtfraud.com/file/MCRO_27-CR-20-25524_Order-Evaluation for Competency to Proceed (Rule 20.01)_2023-08-22_20251126180250.pdf","MCRO_27-CR-20-25524_Order-Evaluation for Competency to Proceed (Rule 20.01)_2023-08-22_20251126180250.pdf")</f>
        <v>MCRO_27-CR-20-25524_Order-Evaluation for Competency to Proceed (Rule 20.01)_2023-08-22_20251126180250.pdf</v>
      </c>
      <c r="H66" s="1" t="s">
        <v>1362</v>
      </c>
      <c r="I66" s="1" t="n">
        <v>20251126180250</v>
      </c>
      <c r="J66" s="1" t="s">
        <v>3035</v>
      </c>
      <c r="K66" s="9" t="s">
        <v>2412</v>
      </c>
      <c r="L66" s="2" t="s">
        <v>2413</v>
      </c>
    </row>
    <row r="67" customFormat="false" ht="18.7" hidden="false" customHeight="true" outlineLevel="0" collapsed="false">
      <c r="A67" s="1" t="n">
        <v>66</v>
      </c>
      <c r="B67" s="7" t="str">
        <f aca="false">HYPERLINK("https://mncourtfraud.com/file/27-CR-20-25524.pdf","27-CR-20-25524")</f>
        <v>27-CR-20-25524</v>
      </c>
      <c r="C67" s="1" t="n">
        <v>1</v>
      </c>
      <c r="D67" s="2" t="s">
        <v>12</v>
      </c>
      <c r="E67" s="8" t="n">
        <v>45412</v>
      </c>
      <c r="F67" s="2" t="s">
        <v>24</v>
      </c>
      <c r="G67" s="7" t="str">
        <f aca="false">HYPERLINK("https://mncourtfraud.com/file/MCRO_27-CR-20-25524_Order for Conditional Release_2024-04-30_20251126180129.pdf","MCRO_27-CR-20-25524_Order for Conditional Release_2024-04-30_20251126180129.pdf")</f>
        <v>MCRO_27-CR-20-25524_Order for Conditional Release_2024-04-30_20251126180129.pdf</v>
      </c>
      <c r="H67" s="1" t="s">
        <v>1362</v>
      </c>
      <c r="I67" s="1" t="n">
        <v>20251126180129</v>
      </c>
      <c r="J67" s="1" t="s">
        <v>3036</v>
      </c>
      <c r="K67" s="9" t="s">
        <v>2399</v>
      </c>
      <c r="L67" s="2" t="s">
        <v>2400</v>
      </c>
    </row>
    <row r="68" customFormat="false" ht="18.7" hidden="false" customHeight="true" outlineLevel="0" collapsed="false">
      <c r="A68" s="1" t="n">
        <v>67</v>
      </c>
      <c r="B68" s="7" t="str">
        <f aca="false">HYPERLINK("https://mncourtfraud.com/file/27-CR-20-25524.pdf","27-CR-20-25524")</f>
        <v>27-CR-20-25524</v>
      </c>
      <c r="C68" s="1" t="n">
        <v>1</v>
      </c>
      <c r="D68" s="2" t="s">
        <v>12</v>
      </c>
      <c r="E68" s="8" t="n">
        <v>45412</v>
      </c>
      <c r="F68" s="2" t="s">
        <v>15</v>
      </c>
      <c r="G68" s="7" t="str">
        <f aca="false">HYPERLINK("https://mncourtfraud.com/file/MCRO_27-CR-20-25524_Order-Evaluation for Competency to Proceed (Rule 20.01)_2024-04-30_20251126180301.pdf","MCRO_27-CR-20-25524_Order-Evaluation for Competency to Proceed (Rule 20.01)_2024-04-30_20251126180301.pdf")</f>
        <v>MCRO_27-CR-20-25524_Order-Evaluation for Competency to Proceed (Rule 20.01)_2024-04-30_20251126180301.pdf</v>
      </c>
      <c r="H68" s="1" t="s">
        <v>1362</v>
      </c>
      <c r="I68" s="1" t="n">
        <v>20251126180301</v>
      </c>
      <c r="J68" s="1" t="s">
        <v>3037</v>
      </c>
      <c r="K68" s="9" t="s">
        <v>2414</v>
      </c>
      <c r="L68" s="2" t="s">
        <v>2415</v>
      </c>
    </row>
    <row r="69" customFormat="false" ht="18.7" hidden="false" customHeight="true" outlineLevel="0" collapsed="false">
      <c r="A69" s="1" t="n">
        <v>68</v>
      </c>
      <c r="B69" s="7" t="str">
        <f aca="false">HYPERLINK("https://mncourtfraud.com/file/27-CR-20-25524.pdf","27-CR-20-25524")</f>
        <v>27-CR-20-25524</v>
      </c>
      <c r="C69" s="1" t="n">
        <v>1</v>
      </c>
      <c r="D69" s="2" t="s">
        <v>12</v>
      </c>
      <c r="E69" s="8" t="n">
        <v>45414</v>
      </c>
      <c r="F69" s="2" t="s">
        <v>15</v>
      </c>
      <c r="G69" s="7" t="str">
        <f aca="false">HYPERLINK("https://mncourtfraud.com/file/MCRO_27-CR-20-25524_Order-Evaluation for Competency to Proceed (Rule 20.01)_2024-05-02_20251126180315.pdf","MCRO_27-CR-20-25524_Order-Evaluation for Competency to Proceed (Rule 20.01)_2024-05-02_20251126180315.pdf")</f>
        <v>MCRO_27-CR-20-25524_Order-Evaluation for Competency to Proceed (Rule 20.01)_2024-05-02_20251126180315.pdf</v>
      </c>
      <c r="H69" s="1" t="s">
        <v>1362</v>
      </c>
      <c r="I69" s="1" t="n">
        <v>20251126180315</v>
      </c>
      <c r="J69" s="1" t="s">
        <v>3038</v>
      </c>
      <c r="K69" s="9" t="s">
        <v>2416</v>
      </c>
      <c r="L69" s="2" t="s">
        <v>2417</v>
      </c>
    </row>
    <row r="70" customFormat="false" ht="18.7" hidden="false" customHeight="true" outlineLevel="0" collapsed="false">
      <c r="A70" s="1" t="n">
        <v>69</v>
      </c>
      <c r="B70" s="7" t="str">
        <f aca="false">HYPERLINK("https://mncourtfraud.com/file/27-CR-20-2581.pdf","27-CR-20-2581")</f>
        <v>27-CR-20-2581</v>
      </c>
      <c r="C70" s="1" t="n">
        <v>1</v>
      </c>
      <c r="D70" s="2" t="s">
        <v>12</v>
      </c>
      <c r="E70" s="8" t="n">
        <v>43970</v>
      </c>
      <c r="F70" s="2" t="s">
        <v>17</v>
      </c>
      <c r="G70" s="7" t="str">
        <f aca="false">HYPERLINK("https://mncourtfraud.com/file/MCRO_27-CR-20-2581_Returned Mail_2020-05-19_20251126180706.pdf","MCRO_27-CR-20-2581_Returned Mail_2020-05-19_20251126180706.pdf")</f>
        <v>MCRO_27-CR-20-2581_Returned Mail_2020-05-19_20251126180706.pdf</v>
      </c>
      <c r="H70" s="1" t="s">
        <v>1362</v>
      </c>
      <c r="I70" s="1" t="n">
        <v>20251126180706</v>
      </c>
      <c r="J70" s="1" t="s">
        <v>3039</v>
      </c>
      <c r="K70" s="9" t="s">
        <v>2443</v>
      </c>
      <c r="L70" s="2" t="s">
        <v>2444</v>
      </c>
    </row>
    <row r="71" customFormat="false" ht="18.7" hidden="false" customHeight="true" outlineLevel="0" collapsed="false">
      <c r="A71" s="1" t="n">
        <v>70</v>
      </c>
      <c r="B71" s="7" t="str">
        <f aca="false">HYPERLINK("https://mncourtfraud.com/file/27-CR-20-2581.pdf","27-CR-20-2581")</f>
        <v>27-CR-20-2581</v>
      </c>
      <c r="C71" s="1" t="n">
        <v>1</v>
      </c>
      <c r="D71" s="2" t="s">
        <v>12</v>
      </c>
      <c r="E71" s="8" t="n">
        <v>44103</v>
      </c>
      <c r="F71" s="2" t="s">
        <v>19</v>
      </c>
      <c r="G71" s="7" t="str">
        <f aca="false">HYPERLINK("https://mncourtfraud.com/file/MCRO_27-CR-20-2581_Findings and Order_2020-09-29_20251126180408.pdf","MCRO_27-CR-20-2581_Findings and Order_2020-09-29_20251126180408.pdf")</f>
        <v>MCRO_27-CR-20-2581_Findings and Order_2020-09-29_20251126180408.pdf</v>
      </c>
      <c r="H71" s="1" t="s">
        <v>1362</v>
      </c>
      <c r="I71" s="1" t="n">
        <v>20251126180408</v>
      </c>
      <c r="J71" s="1" t="s">
        <v>3040</v>
      </c>
      <c r="K71" s="9" t="s">
        <v>2420</v>
      </c>
      <c r="L71" s="2" t="s">
        <v>2421</v>
      </c>
    </row>
    <row r="72" customFormat="false" ht="18.7" hidden="false" customHeight="true" outlineLevel="0" collapsed="false">
      <c r="A72" s="1" t="n">
        <v>71</v>
      </c>
      <c r="B72" s="7" t="str">
        <f aca="false">HYPERLINK("https://mncourtfraud.com/file/27-CR-20-2581.pdf","27-CR-20-2581")</f>
        <v>27-CR-20-2581</v>
      </c>
      <c r="C72" s="1" t="n">
        <v>1</v>
      </c>
      <c r="D72" s="2" t="s">
        <v>12</v>
      </c>
      <c r="E72" s="8" t="n">
        <v>44225</v>
      </c>
      <c r="F72" s="2" t="s">
        <v>15</v>
      </c>
      <c r="G72" s="7" t="str">
        <f aca="false">HYPERLINK("https://mncourtfraud.com/file/MCRO_27-CR-20-2581_Order-Evaluation for Competency to Proceed (Rule 20.01)_2021-01-29_20251126180652.pdf","MCRO_27-CR-20-2581_Order-Evaluation for Competency to Proceed (Rule 20.01)_2021-01-29_20251126180652.pdf")</f>
        <v>MCRO_27-CR-20-2581_Order-Evaluation for Competency to Proceed (Rule 20.01)_2021-01-29_20251126180652.pdf</v>
      </c>
      <c r="H72" s="1" t="s">
        <v>1362</v>
      </c>
      <c r="I72" s="1" t="n">
        <v>20251126180652</v>
      </c>
      <c r="J72" s="1" t="s">
        <v>3041</v>
      </c>
      <c r="K72" s="9" t="s">
        <v>2430</v>
      </c>
      <c r="L72" s="2" t="s">
        <v>2431</v>
      </c>
    </row>
    <row r="73" customFormat="false" ht="18.7" hidden="false" customHeight="true" outlineLevel="0" collapsed="false">
      <c r="A73" s="1" t="n">
        <v>72</v>
      </c>
      <c r="B73" s="7" t="str">
        <f aca="false">HYPERLINK("https://mncourtfraud.com/file/27-CR-20-2581.pdf","27-CR-20-2581")</f>
        <v>27-CR-20-2581</v>
      </c>
      <c r="C73" s="1" t="n">
        <v>1</v>
      </c>
      <c r="D73" s="2" t="s">
        <v>12</v>
      </c>
      <c r="E73" s="8" t="n">
        <v>44396</v>
      </c>
      <c r="F73" s="2" t="s">
        <v>15</v>
      </c>
      <c r="G73" s="7" t="str">
        <f aca="false">HYPERLINK("https://mncourtfraud.com/file/MCRO_27-CR-20-2581_Order-Evaluation for Competency to Proceed (Rule 20.01)_2021-07-19_20251126180534.pdf","MCRO_27-CR-20-2581_Order-Evaluation for Competency to Proceed (Rule 20.01)_2021-07-19_20251126180534.pdf")</f>
        <v>MCRO_27-CR-20-2581_Order-Evaluation for Competency to Proceed (Rule 20.01)_2021-07-19_20251126180534.pdf</v>
      </c>
      <c r="H73" s="1" t="s">
        <v>1362</v>
      </c>
      <c r="I73" s="1" t="n">
        <v>20251126180534</v>
      </c>
      <c r="J73" s="1" t="s">
        <v>3042</v>
      </c>
      <c r="K73" s="9" t="s">
        <v>2432</v>
      </c>
      <c r="L73" s="2" t="s">
        <v>2433</v>
      </c>
    </row>
    <row r="74" customFormat="false" ht="18.7" hidden="false" customHeight="true" outlineLevel="0" collapsed="false">
      <c r="A74" s="1" t="n">
        <v>73</v>
      </c>
      <c r="B74" s="7" t="str">
        <f aca="false">HYPERLINK("https://mncourtfraud.com/file/27-CR-20-2581.pdf","27-CR-20-2581")</f>
        <v>27-CR-20-2581</v>
      </c>
      <c r="C74" s="1" t="n">
        <v>1</v>
      </c>
      <c r="D74" s="2" t="s">
        <v>12</v>
      </c>
      <c r="E74" s="8" t="n">
        <v>44439</v>
      </c>
      <c r="F74" s="2" t="s">
        <v>19</v>
      </c>
      <c r="G74" s="7" t="str">
        <f aca="false">HYPERLINK("https://mncourtfraud.com/file/MCRO_27-CR-20-2581_Findings and Order_2021-08-31_20251126180418.pdf","MCRO_27-CR-20-2581_Findings and Order_2021-08-31_20251126180418.pdf")</f>
        <v>MCRO_27-CR-20-2581_Findings and Order_2021-08-31_20251126180418.pdf</v>
      </c>
      <c r="H74" s="1" t="s">
        <v>1362</v>
      </c>
      <c r="I74" s="1" t="n">
        <v>20251126180418</v>
      </c>
      <c r="J74" s="1" t="s">
        <v>3043</v>
      </c>
      <c r="K74" s="9" t="s">
        <v>2422</v>
      </c>
      <c r="L74" s="2" t="s">
        <v>2423</v>
      </c>
    </row>
    <row r="75" customFormat="false" ht="18.7" hidden="false" customHeight="true" outlineLevel="0" collapsed="false">
      <c r="A75" s="1" t="n">
        <v>74</v>
      </c>
      <c r="B75" s="7" t="str">
        <f aca="false">HYPERLINK("https://mncourtfraud.com/file/27-CR-20-2581.pdf","27-CR-20-2581")</f>
        <v>27-CR-20-2581</v>
      </c>
      <c r="C75" s="1" t="n">
        <v>1</v>
      </c>
      <c r="D75" s="2" t="s">
        <v>12</v>
      </c>
      <c r="E75" s="8" t="n">
        <v>44460</v>
      </c>
      <c r="F75" s="2" t="s">
        <v>24</v>
      </c>
      <c r="G75" s="7" t="str">
        <f aca="false">HYPERLINK("https://mncourtfraud.com/file/MCRO_27-CR-20-2581_Order for Conditional Release_2021-09-21_20251126180509.pdf","MCRO_27-CR-20-2581_Order for Conditional Release_2021-09-21_20251126180509.pdf")</f>
        <v>MCRO_27-CR-20-2581_Order for Conditional Release_2021-09-21_20251126180509.pdf</v>
      </c>
      <c r="H75" s="1" t="s">
        <v>1362</v>
      </c>
      <c r="I75" s="1" t="n">
        <v>20251126180509</v>
      </c>
      <c r="J75" s="1" t="s">
        <v>3044</v>
      </c>
      <c r="K75" s="9" t="s">
        <v>2428</v>
      </c>
      <c r="L75" s="2" t="s">
        <v>2293</v>
      </c>
    </row>
    <row r="76" customFormat="false" ht="18.7" hidden="false" customHeight="true" outlineLevel="0" collapsed="false">
      <c r="A76" s="1" t="n">
        <v>75</v>
      </c>
      <c r="B76" s="7" t="str">
        <f aca="false">HYPERLINK("https://mncourtfraud.com/file/27-CR-20-2581.pdf","27-CR-20-2581")</f>
        <v>27-CR-20-2581</v>
      </c>
      <c r="C76" s="1" t="n">
        <v>1</v>
      </c>
      <c r="D76" s="2" t="s">
        <v>12</v>
      </c>
      <c r="E76" s="8" t="n">
        <v>44468</v>
      </c>
      <c r="F76" s="2" t="s">
        <v>24</v>
      </c>
      <c r="G76" s="7" t="str">
        <f aca="false">HYPERLINK("https://mncourtfraud.com/file/MCRO_27-CR-20-2581_Order for Conditional Release_2021-09-29_20251126180519.pdf","MCRO_27-CR-20-2581_Order for Conditional Release_2021-09-29_20251126180519.pdf")</f>
        <v>MCRO_27-CR-20-2581_Order for Conditional Release_2021-09-29_20251126180519.pdf</v>
      </c>
      <c r="H76" s="1" t="s">
        <v>1362</v>
      </c>
      <c r="I76" s="1" t="n">
        <v>20251126180519</v>
      </c>
      <c r="J76" s="1" t="s">
        <v>3045</v>
      </c>
      <c r="K76" s="9" t="s">
        <v>2429</v>
      </c>
      <c r="L76" s="2" t="s">
        <v>2295</v>
      </c>
    </row>
    <row r="77" customFormat="false" ht="18.7" hidden="false" customHeight="true" outlineLevel="0" collapsed="false">
      <c r="A77" s="1" t="n">
        <v>76</v>
      </c>
      <c r="B77" s="7" t="str">
        <f aca="false">HYPERLINK("https://mncourtfraud.com/file/27-CR-20-2581.pdf","27-CR-20-2581")</f>
        <v>27-CR-20-2581</v>
      </c>
      <c r="C77" s="1" t="n">
        <v>1</v>
      </c>
      <c r="D77" s="2" t="s">
        <v>12</v>
      </c>
      <c r="E77" s="8" t="n">
        <v>44543</v>
      </c>
      <c r="F77" s="2" t="s">
        <v>15</v>
      </c>
      <c r="G77" s="7" t="str">
        <f aca="false">HYPERLINK("https://mncourtfraud.com/file/MCRO_27-CR-20-2581_Order-Evaluation for Competency to Proceed (Rule 20.01)_2021-12-13_20251126180544.pdf","MCRO_27-CR-20-2581_Order-Evaluation for Competency to Proceed (Rule 20.01)_2021-12-13_20251126180544.pdf")</f>
        <v>MCRO_27-CR-20-2581_Order-Evaluation for Competency to Proceed (Rule 20.01)_2021-12-13_20251126180544.pdf</v>
      </c>
      <c r="H77" s="1" t="s">
        <v>1362</v>
      </c>
      <c r="I77" s="1" t="n">
        <v>20251126180544</v>
      </c>
      <c r="J77" s="1" t="s">
        <v>3046</v>
      </c>
      <c r="K77" s="9" t="s">
        <v>2434</v>
      </c>
      <c r="L77" s="2" t="s">
        <v>2435</v>
      </c>
    </row>
    <row r="78" customFormat="false" ht="18.7" hidden="false" customHeight="true" outlineLevel="0" collapsed="false">
      <c r="A78" s="1" t="n">
        <v>77</v>
      </c>
      <c r="B78" s="7" t="str">
        <f aca="false">HYPERLINK("https://mncourtfraud.com/file/27-CR-20-2581.pdf","27-CR-20-2581")</f>
        <v>27-CR-20-2581</v>
      </c>
      <c r="C78" s="1" t="n">
        <v>1</v>
      </c>
      <c r="D78" s="2" t="s">
        <v>12</v>
      </c>
      <c r="E78" s="8" t="n">
        <v>44558</v>
      </c>
      <c r="F78" s="2" t="s">
        <v>15</v>
      </c>
      <c r="G78" s="7" t="str">
        <f aca="false">HYPERLINK("https://mncourtfraud.com/file/MCRO_27-CR-20-2581_Order-Evaluation for Competency to Proceed (Rule 20.01)_2021-12-28_20251126180556.pdf","MCRO_27-CR-20-2581_Order-Evaluation for Competency to Proceed (Rule 20.01)_2021-12-28_20251126180556.pdf")</f>
        <v>MCRO_27-CR-20-2581_Order-Evaluation for Competency to Proceed (Rule 20.01)_2021-12-28_20251126180556.pdf</v>
      </c>
      <c r="H78" s="1" t="s">
        <v>1362</v>
      </c>
      <c r="I78" s="1" t="n">
        <v>20251126180556</v>
      </c>
      <c r="J78" s="1" t="s">
        <v>3047</v>
      </c>
      <c r="K78" s="9" t="s">
        <v>2436</v>
      </c>
      <c r="L78" s="2" t="s">
        <v>2437</v>
      </c>
    </row>
    <row r="79" customFormat="false" ht="18.7" hidden="false" customHeight="true" outlineLevel="0" collapsed="false">
      <c r="A79" s="1" t="n">
        <v>78</v>
      </c>
      <c r="B79" s="7" t="str">
        <f aca="false">HYPERLINK("https://mncourtfraud.com/file/27-CR-20-2581.pdf","27-CR-20-2581")</f>
        <v>27-CR-20-2581</v>
      </c>
      <c r="C79" s="1" t="n">
        <v>1</v>
      </c>
      <c r="D79" s="2" t="s">
        <v>12</v>
      </c>
      <c r="E79" s="8" t="n">
        <v>44593</v>
      </c>
      <c r="F79" s="2" t="s">
        <v>19</v>
      </c>
      <c r="G79" s="7" t="str">
        <f aca="false">HYPERLINK("https://mncourtfraud.com/file/MCRO_27-CR-20-2581_Findings and Order_2022-02-01_20251126180358.pdf","MCRO_27-CR-20-2581_Findings and Order_2022-02-01_20251126180358.pdf")</f>
        <v>MCRO_27-CR-20-2581_Findings and Order_2022-02-01_20251126180358.pdf</v>
      </c>
      <c r="H79" s="1" t="s">
        <v>1362</v>
      </c>
      <c r="I79" s="1" t="n">
        <v>20251126180358</v>
      </c>
      <c r="J79" s="1" t="s">
        <v>3048</v>
      </c>
      <c r="K79" s="9" t="s">
        <v>2424</v>
      </c>
      <c r="L79" s="2" t="s">
        <v>2425</v>
      </c>
    </row>
    <row r="80" customFormat="false" ht="18.7" hidden="false" customHeight="true" outlineLevel="0" collapsed="false">
      <c r="A80" s="1" t="n">
        <v>79</v>
      </c>
      <c r="B80" s="7" t="str">
        <f aca="false">HYPERLINK("https://mncourtfraud.com/file/27-CR-20-2581.pdf","27-CR-20-2581")</f>
        <v>27-CR-20-2581</v>
      </c>
      <c r="C80" s="1" t="n">
        <v>1</v>
      </c>
      <c r="D80" s="2" t="s">
        <v>12</v>
      </c>
      <c r="E80" s="8" t="n">
        <v>44692</v>
      </c>
      <c r="F80" s="2" t="s">
        <v>15</v>
      </c>
      <c r="G80" s="7" t="str">
        <f aca="false">HYPERLINK("https://mncourtfraud.com/file/MCRO_27-CR-20-2581_Order-Evaluation for Competency to Proceed (Rule 20.01)_2022-05-11_20251126180606.pdf","MCRO_27-CR-20-2581_Order-Evaluation for Competency to Proceed (Rule 20.01)_2022-05-11_20251126180606.pdf")</f>
        <v>MCRO_27-CR-20-2581_Order-Evaluation for Competency to Proceed (Rule 20.01)_2022-05-11_20251126180606.pdf</v>
      </c>
      <c r="H80" s="1" t="s">
        <v>1362</v>
      </c>
      <c r="I80" s="1" t="n">
        <v>20251126180606</v>
      </c>
      <c r="J80" s="1" t="s">
        <v>3049</v>
      </c>
      <c r="K80" s="9" t="s">
        <v>2438</v>
      </c>
      <c r="L80" s="2" t="s">
        <v>2408</v>
      </c>
    </row>
    <row r="81" customFormat="false" ht="18.7" hidden="false" customHeight="true" outlineLevel="0" collapsed="false">
      <c r="A81" s="1" t="n">
        <v>80</v>
      </c>
      <c r="B81" s="7" t="str">
        <f aca="false">HYPERLINK("https://mncourtfraud.com/file/27-CR-20-2581.pdf","27-CR-20-2581")</f>
        <v>27-CR-20-2581</v>
      </c>
      <c r="C81" s="1" t="n">
        <v>1</v>
      </c>
      <c r="D81" s="2" t="s">
        <v>12</v>
      </c>
      <c r="E81" s="8" t="n">
        <v>44895</v>
      </c>
      <c r="F81" s="2" t="s">
        <v>15</v>
      </c>
      <c r="G81" s="7" t="str">
        <f aca="false">HYPERLINK("https://mncourtfraud.com/file/MCRO_27-CR-20-2581_Order-Evaluation for Competency to Proceed (Rule 20.01)_2022-11-30_20251126180618.pdf","MCRO_27-CR-20-2581_Order-Evaluation for Competency to Proceed (Rule 20.01)_2022-11-30_20251126180618.pdf")</f>
        <v>MCRO_27-CR-20-2581_Order-Evaluation for Competency to Proceed (Rule 20.01)_2022-11-30_20251126180618.pdf</v>
      </c>
      <c r="H81" s="1" t="s">
        <v>1362</v>
      </c>
      <c r="I81" s="1" t="n">
        <v>20251126180618</v>
      </c>
      <c r="J81" s="1" t="s">
        <v>3050</v>
      </c>
      <c r="K81" s="9" t="s">
        <v>2439</v>
      </c>
      <c r="L81" s="2" t="s">
        <v>2440</v>
      </c>
    </row>
    <row r="82" customFormat="false" ht="18.7" hidden="false" customHeight="true" outlineLevel="0" collapsed="false">
      <c r="A82" s="1" t="n">
        <v>81</v>
      </c>
      <c r="B82" s="7" t="str">
        <f aca="false">HYPERLINK("https://mncourtfraud.com/file/27-CR-20-2581.pdf","27-CR-20-2581")</f>
        <v>27-CR-20-2581</v>
      </c>
      <c r="C82" s="1" t="n">
        <v>1</v>
      </c>
      <c r="D82" s="2" t="s">
        <v>12</v>
      </c>
      <c r="E82" s="8" t="n">
        <v>45048</v>
      </c>
      <c r="F82" s="2" t="s">
        <v>80</v>
      </c>
      <c r="G82" s="7" t="str">
        <f aca="false">HYPERLINK("https://mncourtfraud.com/file/MCRO_27-CR-20-2581_Finding of Incompetency and Order_2023-05-02_20251126180343.pdf","MCRO_27-CR-20-2581_Finding of Incompetency and Order_2023-05-02_20251126180343.pdf")</f>
        <v>MCRO_27-CR-20-2581_Finding of Incompetency and Order_2023-05-02_20251126180343.pdf</v>
      </c>
      <c r="H82" s="1" t="s">
        <v>1362</v>
      </c>
      <c r="I82" s="1" t="n">
        <v>20251126180343</v>
      </c>
      <c r="J82" s="1" t="s">
        <v>3051</v>
      </c>
      <c r="K82" s="9" t="s">
        <v>2418</v>
      </c>
      <c r="L82" s="2" t="s">
        <v>2419</v>
      </c>
    </row>
    <row r="83" customFormat="false" ht="18.7" hidden="false" customHeight="true" outlineLevel="0" collapsed="false">
      <c r="A83" s="1" t="n">
        <v>82</v>
      </c>
      <c r="B83" s="7" t="str">
        <f aca="false">HYPERLINK("https://mncourtfraud.com/file/27-CR-20-2581.pdf","27-CR-20-2581")</f>
        <v>27-CR-20-2581</v>
      </c>
      <c r="C83" s="1" t="n">
        <v>1</v>
      </c>
      <c r="D83" s="2" t="s">
        <v>12</v>
      </c>
      <c r="E83" s="8" t="n">
        <v>45093</v>
      </c>
      <c r="F83" s="2" t="s">
        <v>82</v>
      </c>
      <c r="G83" s="7" t="str">
        <f aca="false">HYPERLINK("https://mncourtfraud.com/file/MCRO_27-CR-20-2581_Notice of Case Reassignment_2023-06-16_20251126180444.pdf","MCRO_27-CR-20-2581_Notice of Case Reassignment_2023-06-16_20251126180444.pdf")</f>
        <v>MCRO_27-CR-20-2581_Notice of Case Reassignment_2023-06-16_20251126180444.pdf</v>
      </c>
      <c r="H83" s="1" t="s">
        <v>1362</v>
      </c>
      <c r="I83" s="1" t="n">
        <v>20251126180444</v>
      </c>
      <c r="J83" s="1" t="s">
        <v>3052</v>
      </c>
      <c r="K83" s="9" t="s">
        <v>2426</v>
      </c>
      <c r="L83" s="2" t="s">
        <v>2427</v>
      </c>
    </row>
    <row r="84" customFormat="false" ht="18.7" hidden="false" customHeight="true" outlineLevel="0" collapsed="false">
      <c r="A84" s="1" t="n">
        <v>83</v>
      </c>
      <c r="B84" s="7" t="str">
        <f aca="false">HYPERLINK("https://mncourtfraud.com/file/27-CR-20-2581.pdf","27-CR-20-2581")</f>
        <v>27-CR-20-2581</v>
      </c>
      <c r="C84" s="1" t="n">
        <v>1</v>
      </c>
      <c r="D84" s="2" t="s">
        <v>12</v>
      </c>
      <c r="E84" s="8" t="n">
        <v>45160</v>
      </c>
      <c r="F84" s="2" t="s">
        <v>15</v>
      </c>
      <c r="G84" s="7" t="str">
        <f aca="false">HYPERLINK("https://mncourtfraud.com/file/MCRO_27-CR-20-2581_Order-Evaluation for Competency to Proceed (Rule 20.01)_2023-08-22_20251126180632.pdf","MCRO_27-CR-20-2581_Order-Evaluation for Competency to Proceed (Rule 20.01)_2023-08-22_20251126180632.pdf")</f>
        <v>MCRO_27-CR-20-2581_Order-Evaluation for Competency to Proceed (Rule 20.01)_2023-08-22_20251126180632.pdf</v>
      </c>
      <c r="H84" s="1" t="s">
        <v>1362</v>
      </c>
      <c r="I84" s="1" t="n">
        <v>20251126180632</v>
      </c>
      <c r="J84" s="1" t="s">
        <v>3053</v>
      </c>
      <c r="K84" s="9" t="s">
        <v>2441</v>
      </c>
      <c r="L84" s="2" t="s">
        <v>2442</v>
      </c>
    </row>
    <row r="85" customFormat="false" ht="18.7" hidden="false" customHeight="true" outlineLevel="0" collapsed="false">
      <c r="A85" s="1" t="n">
        <v>84</v>
      </c>
      <c r="B85" s="7" t="str">
        <f aca="false">HYPERLINK("https://mncourtfraud.com/file/27-CR-20-5618.pdf","27-CR-20-5618")</f>
        <v>27-CR-20-5618</v>
      </c>
      <c r="C85" s="1" t="n">
        <v>1</v>
      </c>
      <c r="D85" s="2" t="s">
        <v>12</v>
      </c>
      <c r="E85" s="8" t="n">
        <v>43902</v>
      </c>
      <c r="F85" s="2" t="s">
        <v>15</v>
      </c>
      <c r="G85" s="7" t="str">
        <f aca="false">HYPERLINK("https://mncourtfraud.com/file/MCRO_27-CR-20-5618_Order-Evaluation for Competency to Proceed (Rule 20.01)_2020-03-12_20251126181032.pdf","MCRO_27-CR-20-5618_Order-Evaluation for Competency to Proceed (Rule 20.01)_2020-03-12_20251126181032.pdf")</f>
        <v>MCRO_27-CR-20-5618_Order-Evaluation for Competency to Proceed (Rule 20.01)_2020-03-12_20251126181032.pdf</v>
      </c>
      <c r="H85" s="1" t="s">
        <v>1362</v>
      </c>
      <c r="I85" s="1" t="n">
        <v>20251126181032</v>
      </c>
      <c r="J85" s="1" t="s">
        <v>3054</v>
      </c>
      <c r="K85" s="9" t="s">
        <v>2457</v>
      </c>
      <c r="L85" s="2" t="s">
        <v>2458</v>
      </c>
    </row>
    <row r="86" customFormat="false" ht="18.7" hidden="false" customHeight="true" outlineLevel="0" collapsed="false">
      <c r="A86" s="1" t="n">
        <v>85</v>
      </c>
      <c r="B86" s="7" t="str">
        <f aca="false">HYPERLINK("https://mncourtfraud.com/file/27-CR-20-5618.pdf","27-CR-20-5618")</f>
        <v>27-CR-20-5618</v>
      </c>
      <c r="C86" s="1" t="n">
        <v>1</v>
      </c>
      <c r="D86" s="2" t="s">
        <v>12</v>
      </c>
      <c r="E86" s="8" t="n">
        <v>43970</v>
      </c>
      <c r="F86" s="2" t="s">
        <v>17</v>
      </c>
      <c r="G86" s="7" t="str">
        <f aca="false">HYPERLINK("https://mncourtfraud.com/file/MCRO_27-CR-20-5618_Returned Mail_2020-05-19_20251126181057.pdf","MCRO_27-CR-20-5618_Returned Mail_2020-05-19_20251126181057.pdf")</f>
        <v>MCRO_27-CR-20-5618_Returned Mail_2020-05-19_20251126181057.pdf</v>
      </c>
      <c r="H86" s="1" t="s">
        <v>1362</v>
      </c>
      <c r="I86" s="1" t="n">
        <v>20251126181057</v>
      </c>
      <c r="J86" s="1" t="s">
        <v>3055</v>
      </c>
      <c r="K86" s="9" t="s">
        <v>2472</v>
      </c>
      <c r="L86" s="2" t="s">
        <v>2444</v>
      </c>
    </row>
    <row r="87" customFormat="false" ht="18.7" hidden="false" customHeight="true" outlineLevel="0" collapsed="false">
      <c r="A87" s="1" t="n">
        <v>86</v>
      </c>
      <c r="B87" s="7" t="str">
        <f aca="false">HYPERLINK("https://mncourtfraud.com/file/27-CR-20-5618.pdf","27-CR-20-5618")</f>
        <v>27-CR-20-5618</v>
      </c>
      <c r="C87" s="1" t="n">
        <v>1</v>
      </c>
      <c r="D87" s="2" t="s">
        <v>12</v>
      </c>
      <c r="E87" s="8" t="n">
        <v>44103</v>
      </c>
      <c r="F87" s="2" t="s">
        <v>19</v>
      </c>
      <c r="G87" s="7" t="str">
        <f aca="false">HYPERLINK("https://mncourtfraud.com/file/MCRO_27-CR-20-5618_Findings and Order_2020-09-29_20251126180807.pdf","MCRO_27-CR-20-5618_Findings and Order_2020-09-29_20251126180807.pdf")</f>
        <v>MCRO_27-CR-20-5618_Findings and Order_2020-09-29_20251126180807.pdf</v>
      </c>
      <c r="H87" s="1" t="s">
        <v>1362</v>
      </c>
      <c r="I87" s="1" t="n">
        <v>20251126180807</v>
      </c>
      <c r="J87" s="1" t="s">
        <v>3056</v>
      </c>
      <c r="K87" s="9" t="s">
        <v>2447</v>
      </c>
      <c r="L87" s="2" t="s">
        <v>2448</v>
      </c>
    </row>
    <row r="88" customFormat="false" ht="18.7" hidden="false" customHeight="true" outlineLevel="0" collapsed="false">
      <c r="A88" s="1" t="n">
        <v>87</v>
      </c>
      <c r="B88" s="7" t="str">
        <f aca="false">HYPERLINK("https://mncourtfraud.com/file/27-CR-20-5618.pdf","27-CR-20-5618")</f>
        <v>27-CR-20-5618</v>
      </c>
      <c r="C88" s="1" t="n">
        <v>1</v>
      </c>
      <c r="D88" s="2" t="s">
        <v>12</v>
      </c>
      <c r="E88" s="8" t="n">
        <v>44225</v>
      </c>
      <c r="F88" s="2" t="s">
        <v>15</v>
      </c>
      <c r="G88" s="7" t="str">
        <f aca="false">HYPERLINK("https://mncourtfraud.com/file/MCRO_27-CR-20-5618_Order-Evaluation for Competency to Proceed (Rule 20.01)_2021-01-29_20251126181045.pdf","MCRO_27-CR-20-5618_Order-Evaluation for Competency to Proceed (Rule 20.01)_2021-01-29_20251126181045.pdf")</f>
        <v>MCRO_27-CR-20-5618_Order-Evaluation for Competency to Proceed (Rule 20.01)_2021-01-29_20251126181045.pdf</v>
      </c>
      <c r="H88" s="1" t="s">
        <v>1362</v>
      </c>
      <c r="I88" s="1" t="n">
        <v>20251126181045</v>
      </c>
      <c r="J88" s="1" t="s">
        <v>3057</v>
      </c>
      <c r="K88" s="9" t="s">
        <v>2459</v>
      </c>
      <c r="L88" s="2" t="s">
        <v>2460</v>
      </c>
    </row>
    <row r="89" customFormat="false" ht="18.7" hidden="false" customHeight="true" outlineLevel="0" collapsed="false">
      <c r="A89" s="1" t="n">
        <v>88</v>
      </c>
      <c r="B89" s="7" t="str">
        <f aca="false">HYPERLINK("https://mncourtfraud.com/file/27-CR-20-5618.pdf","27-CR-20-5618")</f>
        <v>27-CR-20-5618</v>
      </c>
      <c r="C89" s="1" t="n">
        <v>1</v>
      </c>
      <c r="D89" s="2" t="s">
        <v>12</v>
      </c>
      <c r="E89" s="8" t="n">
        <v>44396</v>
      </c>
      <c r="F89" s="2" t="s">
        <v>15</v>
      </c>
      <c r="G89" s="7" t="str">
        <f aca="false">HYPERLINK("https://mncourtfraud.com/file/MCRO_27-CR-20-5618_Order-Evaluation for Competency to Proceed (Rule 20.01)_2021-07-19_20251126180920.pdf","MCRO_27-CR-20-5618_Order-Evaluation for Competency to Proceed (Rule 20.01)_2021-07-19_20251126180920.pdf")</f>
        <v>MCRO_27-CR-20-5618_Order-Evaluation for Competency to Proceed (Rule 20.01)_2021-07-19_20251126180920.pdf</v>
      </c>
      <c r="H89" s="1" t="s">
        <v>1362</v>
      </c>
      <c r="I89" s="1" t="n">
        <v>20251126180920</v>
      </c>
      <c r="J89" s="1" t="s">
        <v>3058</v>
      </c>
      <c r="K89" s="9" t="s">
        <v>2461</v>
      </c>
      <c r="L89" s="2" t="s">
        <v>2462</v>
      </c>
    </row>
    <row r="90" customFormat="false" ht="18.7" hidden="false" customHeight="true" outlineLevel="0" collapsed="false">
      <c r="A90" s="1" t="n">
        <v>89</v>
      </c>
      <c r="B90" s="7" t="str">
        <f aca="false">HYPERLINK("https://mncourtfraud.com/file/27-CR-20-5618.pdf","27-CR-20-5618")</f>
        <v>27-CR-20-5618</v>
      </c>
      <c r="C90" s="1" t="n">
        <v>1</v>
      </c>
      <c r="D90" s="2" t="s">
        <v>12</v>
      </c>
      <c r="E90" s="8" t="n">
        <v>44439</v>
      </c>
      <c r="F90" s="2" t="s">
        <v>19</v>
      </c>
      <c r="G90" s="7" t="str">
        <f aca="false">HYPERLINK("https://mncourtfraud.com/file/MCRO_27-CR-20-5618_Findings and Order_2021-08-31_20251126180821.pdf","MCRO_27-CR-20-5618_Findings and Order_2021-08-31_20251126180821.pdf")</f>
        <v>MCRO_27-CR-20-5618_Findings and Order_2021-08-31_20251126180821.pdf</v>
      </c>
      <c r="H90" s="1" t="s">
        <v>1362</v>
      </c>
      <c r="I90" s="1" t="n">
        <v>20251126180821</v>
      </c>
      <c r="J90" s="1" t="s">
        <v>3059</v>
      </c>
      <c r="K90" s="9" t="s">
        <v>2449</v>
      </c>
      <c r="L90" s="2" t="s">
        <v>2450</v>
      </c>
    </row>
    <row r="91" customFormat="false" ht="18.7" hidden="false" customHeight="true" outlineLevel="0" collapsed="false">
      <c r="A91" s="1" t="n">
        <v>90</v>
      </c>
      <c r="B91" s="7" t="str">
        <f aca="false">HYPERLINK("https://mncourtfraud.com/file/27-CR-20-5618.pdf","27-CR-20-5618")</f>
        <v>27-CR-20-5618</v>
      </c>
      <c r="C91" s="1" t="n">
        <v>1</v>
      </c>
      <c r="D91" s="2" t="s">
        <v>12</v>
      </c>
      <c r="E91" s="8" t="n">
        <v>44460</v>
      </c>
      <c r="F91" s="2" t="s">
        <v>24</v>
      </c>
      <c r="G91" s="7" t="str">
        <f aca="false">HYPERLINK("https://mncourtfraud.com/file/MCRO_27-CR-20-5618_Order for Conditional Release_2021-09-21_20251126180857.pdf","MCRO_27-CR-20-5618_Order for Conditional Release_2021-09-21_20251126180857.pdf")</f>
        <v>MCRO_27-CR-20-5618_Order for Conditional Release_2021-09-21_20251126180857.pdf</v>
      </c>
      <c r="H91" s="1" t="s">
        <v>1362</v>
      </c>
      <c r="I91" s="1" t="n">
        <v>20251126180857</v>
      </c>
      <c r="J91" s="1" t="s">
        <v>3060</v>
      </c>
      <c r="K91" s="9" t="s">
        <v>2454</v>
      </c>
      <c r="L91" s="2" t="s">
        <v>2293</v>
      </c>
    </row>
    <row r="92" customFormat="false" ht="18.7" hidden="false" customHeight="true" outlineLevel="0" collapsed="false">
      <c r="A92" s="1" t="n">
        <v>91</v>
      </c>
      <c r="B92" s="7" t="str">
        <f aca="false">HYPERLINK("https://mncourtfraud.com/file/27-CR-20-5618.pdf","27-CR-20-5618")</f>
        <v>27-CR-20-5618</v>
      </c>
      <c r="C92" s="1" t="n">
        <v>1</v>
      </c>
      <c r="D92" s="2" t="s">
        <v>12</v>
      </c>
      <c r="E92" s="8" t="n">
        <v>44468</v>
      </c>
      <c r="F92" s="2" t="s">
        <v>24</v>
      </c>
      <c r="G92" s="7" t="str">
        <f aca="false">HYPERLINK("https://mncourtfraud.com/file/MCRO_27-CR-20-5618_Order for Conditional Release_2021-09-29_20251126180905.pdf","MCRO_27-CR-20-5618_Order for Conditional Release_2021-09-29_20251126180905.pdf")</f>
        <v>MCRO_27-CR-20-5618_Order for Conditional Release_2021-09-29_20251126180905.pdf</v>
      </c>
      <c r="H92" s="1" t="s">
        <v>1362</v>
      </c>
      <c r="I92" s="1" t="n">
        <v>20251126180905</v>
      </c>
      <c r="J92" s="1" t="s">
        <v>3061</v>
      </c>
      <c r="K92" s="9" t="s">
        <v>2455</v>
      </c>
      <c r="L92" s="2" t="s">
        <v>2456</v>
      </c>
    </row>
    <row r="93" customFormat="false" ht="18.7" hidden="false" customHeight="true" outlineLevel="0" collapsed="false">
      <c r="A93" s="1" t="n">
        <v>92</v>
      </c>
      <c r="B93" s="7" t="str">
        <f aca="false">HYPERLINK("https://mncourtfraud.com/file/27-CR-20-5618.pdf","27-CR-20-5618")</f>
        <v>27-CR-20-5618</v>
      </c>
      <c r="C93" s="1" t="n">
        <v>1</v>
      </c>
      <c r="D93" s="2" t="s">
        <v>12</v>
      </c>
      <c r="E93" s="8" t="n">
        <v>44543</v>
      </c>
      <c r="F93" s="2" t="s">
        <v>15</v>
      </c>
      <c r="G93" s="7" t="str">
        <f aca="false">HYPERLINK("https://mncourtfraud.com/file/MCRO_27-CR-20-5618_Order-Evaluation for Competency to Proceed (Rule 20.01)_2021-12-13_20251126180931.pdf","MCRO_27-CR-20-5618_Order-Evaluation for Competency to Proceed (Rule 20.01)_2021-12-13_20251126180931.pdf")</f>
        <v>MCRO_27-CR-20-5618_Order-Evaluation for Competency to Proceed (Rule 20.01)_2021-12-13_20251126180931.pdf</v>
      </c>
      <c r="H93" s="1" t="s">
        <v>1362</v>
      </c>
      <c r="I93" s="1" t="n">
        <v>20251126180931</v>
      </c>
      <c r="J93" s="1" t="s">
        <v>3062</v>
      </c>
      <c r="K93" s="9" t="s">
        <v>2463</v>
      </c>
      <c r="L93" s="2" t="s">
        <v>2464</v>
      </c>
    </row>
    <row r="94" customFormat="false" ht="18.7" hidden="false" customHeight="true" outlineLevel="0" collapsed="false">
      <c r="A94" s="1" t="n">
        <v>93</v>
      </c>
      <c r="B94" s="7" t="str">
        <f aca="false">HYPERLINK("https://mncourtfraud.com/file/27-CR-20-5618.pdf","27-CR-20-5618")</f>
        <v>27-CR-20-5618</v>
      </c>
      <c r="C94" s="1" t="n">
        <v>1</v>
      </c>
      <c r="D94" s="2" t="s">
        <v>12</v>
      </c>
      <c r="E94" s="8" t="n">
        <v>44558</v>
      </c>
      <c r="F94" s="2" t="s">
        <v>15</v>
      </c>
      <c r="G94" s="7" t="str">
        <f aca="false">HYPERLINK("https://mncourtfraud.com/file/MCRO_27-CR-20-5618_Order-Evaluation for Competency to Proceed (Rule 20.01)_2021-12-28_20251126180947.pdf","MCRO_27-CR-20-5618_Order-Evaluation for Competency to Proceed (Rule 20.01)_2021-12-28_20251126180947.pdf")</f>
        <v>MCRO_27-CR-20-5618_Order-Evaluation for Competency to Proceed (Rule 20.01)_2021-12-28_20251126180947.pdf</v>
      </c>
      <c r="H94" s="1" t="s">
        <v>1362</v>
      </c>
      <c r="I94" s="1" t="n">
        <v>20251126180947</v>
      </c>
      <c r="J94" s="1" t="s">
        <v>3063</v>
      </c>
      <c r="K94" s="9" t="s">
        <v>2465</v>
      </c>
      <c r="L94" s="2" t="s">
        <v>2466</v>
      </c>
    </row>
    <row r="95" customFormat="false" ht="18.7" hidden="false" customHeight="true" outlineLevel="0" collapsed="false">
      <c r="A95" s="1" t="n">
        <v>94</v>
      </c>
      <c r="B95" s="7" t="str">
        <f aca="false">HYPERLINK("https://mncourtfraud.com/file/27-CR-20-5618.pdf","27-CR-20-5618")</f>
        <v>27-CR-20-5618</v>
      </c>
      <c r="C95" s="1" t="n">
        <v>1</v>
      </c>
      <c r="D95" s="2" t="s">
        <v>12</v>
      </c>
      <c r="E95" s="8" t="n">
        <v>44593</v>
      </c>
      <c r="F95" s="2" t="s">
        <v>19</v>
      </c>
      <c r="G95" s="7" t="str">
        <f aca="false">HYPERLINK("https://mncourtfraud.com/file/MCRO_27-CR-20-5618_Findings and Order_2022-02-01_20251126180755.pdf","MCRO_27-CR-20-5618_Findings and Order_2022-02-01_20251126180755.pdf")</f>
        <v>MCRO_27-CR-20-5618_Findings and Order_2022-02-01_20251126180755.pdf</v>
      </c>
      <c r="H95" s="1" t="s">
        <v>1362</v>
      </c>
      <c r="I95" s="1" t="n">
        <v>20251126180755</v>
      </c>
      <c r="J95" s="1" t="s">
        <v>3064</v>
      </c>
      <c r="K95" s="9" t="s">
        <v>2451</v>
      </c>
      <c r="L95" s="2" t="s">
        <v>2425</v>
      </c>
    </row>
    <row r="96" customFormat="false" ht="18.7" hidden="false" customHeight="true" outlineLevel="0" collapsed="false">
      <c r="A96" s="1" t="n">
        <v>95</v>
      </c>
      <c r="B96" s="7" t="str">
        <f aca="false">HYPERLINK("https://mncourtfraud.com/file/27-CR-20-5618.pdf","27-CR-20-5618")</f>
        <v>27-CR-20-5618</v>
      </c>
      <c r="C96" s="1" t="n">
        <v>1</v>
      </c>
      <c r="D96" s="2" t="s">
        <v>12</v>
      </c>
      <c r="E96" s="8" t="n">
        <v>44692</v>
      </c>
      <c r="F96" s="2" t="s">
        <v>15</v>
      </c>
      <c r="G96" s="7" t="str">
        <f aca="false">HYPERLINK("https://mncourtfraud.com/file/MCRO_27-CR-20-5618_Order-Evaluation for Competency to Proceed (Rule 20.01)_2022-05-11_20251126180958.pdf","MCRO_27-CR-20-5618_Order-Evaluation for Competency to Proceed (Rule 20.01)_2022-05-11_20251126180958.pdf")</f>
        <v>MCRO_27-CR-20-5618_Order-Evaluation for Competency to Proceed (Rule 20.01)_2022-05-11_20251126180958.pdf</v>
      </c>
      <c r="H96" s="1" t="s">
        <v>1362</v>
      </c>
      <c r="I96" s="1" t="n">
        <v>20251126180958</v>
      </c>
      <c r="J96" s="1" t="s">
        <v>3065</v>
      </c>
      <c r="K96" s="9" t="s">
        <v>2467</v>
      </c>
      <c r="L96" s="2" t="s">
        <v>2408</v>
      </c>
    </row>
    <row r="97" customFormat="false" ht="18.7" hidden="false" customHeight="true" outlineLevel="0" collapsed="false">
      <c r="A97" s="1" t="n">
        <v>96</v>
      </c>
      <c r="B97" s="7" t="str">
        <f aca="false">HYPERLINK("https://mncourtfraud.com/file/27-CR-20-5618.pdf","27-CR-20-5618")</f>
        <v>27-CR-20-5618</v>
      </c>
      <c r="C97" s="1" t="n">
        <v>1</v>
      </c>
      <c r="D97" s="2" t="s">
        <v>12</v>
      </c>
      <c r="E97" s="8" t="n">
        <v>44895</v>
      </c>
      <c r="F97" s="2" t="s">
        <v>15</v>
      </c>
      <c r="G97" s="7" t="str">
        <f aca="false">HYPERLINK("https://mncourtfraud.com/file/MCRO_27-CR-20-5618_Order-Evaluation for Competency to Proceed (Rule 20.01)_2022-11-30_20251126181007.pdf","MCRO_27-CR-20-5618_Order-Evaluation for Competency to Proceed (Rule 20.01)_2022-11-30_20251126181007.pdf")</f>
        <v>MCRO_27-CR-20-5618_Order-Evaluation for Competency to Proceed (Rule 20.01)_2022-11-30_20251126181007.pdf</v>
      </c>
      <c r="H97" s="1" t="s">
        <v>1362</v>
      </c>
      <c r="I97" s="1" t="n">
        <v>20251126181007</v>
      </c>
      <c r="J97" s="1" t="s">
        <v>3066</v>
      </c>
      <c r="K97" s="9" t="s">
        <v>2468</v>
      </c>
      <c r="L97" s="2" t="s">
        <v>2469</v>
      </c>
    </row>
    <row r="98" customFormat="false" ht="18.7" hidden="false" customHeight="true" outlineLevel="0" collapsed="false">
      <c r="A98" s="1" t="n">
        <v>97</v>
      </c>
      <c r="B98" s="7" t="str">
        <f aca="false">HYPERLINK("https://mncourtfraud.com/file/27-CR-20-5618.pdf","27-CR-20-5618")</f>
        <v>27-CR-20-5618</v>
      </c>
      <c r="C98" s="1" t="n">
        <v>1</v>
      </c>
      <c r="D98" s="2" t="s">
        <v>12</v>
      </c>
      <c r="E98" s="8" t="n">
        <v>45048</v>
      </c>
      <c r="F98" s="2" t="s">
        <v>80</v>
      </c>
      <c r="G98" s="7" t="str">
        <f aca="false">HYPERLINK("https://mncourtfraud.com/file/MCRO_27-CR-20-5618_Finding of Incompetency and Order_2023-05-02_20251126180741.pdf","MCRO_27-CR-20-5618_Finding of Incompetency and Order_2023-05-02_20251126180741.pdf")</f>
        <v>MCRO_27-CR-20-5618_Finding of Incompetency and Order_2023-05-02_20251126180741.pdf</v>
      </c>
      <c r="H98" s="1" t="s">
        <v>1362</v>
      </c>
      <c r="I98" s="1" t="n">
        <v>20251126180741</v>
      </c>
      <c r="J98" s="1" t="s">
        <v>3067</v>
      </c>
      <c r="K98" s="9" t="s">
        <v>2445</v>
      </c>
      <c r="L98" s="2" t="s">
        <v>2446</v>
      </c>
    </row>
    <row r="99" customFormat="false" ht="18.7" hidden="false" customHeight="true" outlineLevel="0" collapsed="false">
      <c r="A99" s="1" t="n">
        <v>98</v>
      </c>
      <c r="B99" s="7" t="str">
        <f aca="false">HYPERLINK("https://mncourtfraud.com/file/27-CR-20-5618.pdf","27-CR-20-5618")</f>
        <v>27-CR-20-5618</v>
      </c>
      <c r="C99" s="1" t="n">
        <v>1</v>
      </c>
      <c r="D99" s="2" t="s">
        <v>12</v>
      </c>
      <c r="E99" s="8" t="n">
        <v>45093</v>
      </c>
      <c r="F99" s="2" t="s">
        <v>82</v>
      </c>
      <c r="G99" s="7" t="str">
        <f aca="false">HYPERLINK("https://mncourtfraud.com/file/MCRO_27-CR-20-5618_Notice of Case Reassignment_2023-06-16_20251126180834.pdf","MCRO_27-CR-20-5618_Notice of Case Reassignment_2023-06-16_20251126180834.pdf")</f>
        <v>MCRO_27-CR-20-5618_Notice of Case Reassignment_2023-06-16_20251126180834.pdf</v>
      </c>
      <c r="H99" s="1" t="s">
        <v>1362</v>
      </c>
      <c r="I99" s="1" t="n">
        <v>20251126180834</v>
      </c>
      <c r="J99" s="1" t="s">
        <v>3068</v>
      </c>
      <c r="K99" s="9" t="s">
        <v>2452</v>
      </c>
      <c r="L99" s="2" t="s">
        <v>2453</v>
      </c>
    </row>
    <row r="100" customFormat="false" ht="18.7" hidden="false" customHeight="true" outlineLevel="0" collapsed="false">
      <c r="A100" s="1" t="n">
        <v>99</v>
      </c>
      <c r="B100" s="7" t="str">
        <f aca="false">HYPERLINK("https://mncourtfraud.com/file/27-CR-20-5618.pdf","27-CR-20-5618")</f>
        <v>27-CR-20-5618</v>
      </c>
      <c r="C100" s="1" t="n">
        <v>1</v>
      </c>
      <c r="D100" s="2" t="s">
        <v>12</v>
      </c>
      <c r="E100" s="8" t="n">
        <v>45160</v>
      </c>
      <c r="F100" s="2" t="s">
        <v>15</v>
      </c>
      <c r="G100" s="7" t="str">
        <f aca="false">HYPERLINK("https://mncourtfraud.com/file/MCRO_27-CR-20-5618_Order-Evaluation for Competency to Proceed (Rule 20.01)_2023-08-22_20251126181021.pdf","MCRO_27-CR-20-5618_Order-Evaluation for Competency to Proceed (Rule 20.01)_2023-08-22_20251126181021.pdf")</f>
        <v>MCRO_27-CR-20-5618_Order-Evaluation for Competency to Proceed (Rule 20.01)_2023-08-22_20251126181021.pdf</v>
      </c>
      <c r="H100" s="1" t="s">
        <v>1362</v>
      </c>
      <c r="I100" s="1" t="n">
        <v>20251126181021</v>
      </c>
      <c r="J100" s="1" t="s">
        <v>3069</v>
      </c>
      <c r="K100" s="9" t="s">
        <v>2470</v>
      </c>
      <c r="L100" s="2" t="s">
        <v>2471</v>
      </c>
    </row>
    <row r="101" customFormat="false" ht="18.7" hidden="false" customHeight="true" outlineLevel="0" collapsed="false">
      <c r="A101" s="1" t="n">
        <v>100</v>
      </c>
      <c r="B101" s="7" t="str">
        <f aca="false">HYPERLINK("https://mncourtfraud.com/file/27-CR-20-693.pdf","27-CR-20-693")</f>
        <v>27-CR-20-693</v>
      </c>
      <c r="C101" s="1" t="n">
        <v>1</v>
      </c>
      <c r="D101" s="2" t="s">
        <v>12</v>
      </c>
      <c r="E101" s="8" t="n">
        <v>43844</v>
      </c>
      <c r="F101" s="2" t="s">
        <v>13</v>
      </c>
      <c r="G101" s="7" t="str">
        <f aca="false">HYPERLINK("https://mncourtfraud.com/file/MCRO_27-CR-20-693_Find of Fact-Order, Pet Commitment-Dfd Found Incompetent_2020-01-14_20251126181126.pdf","MCRO_27-CR-20-693_Find of Fact-Order, Pet Commitment-Dfd Found Incompetent_2020-01-14_20251126181126.pdf")</f>
        <v>MCRO_27-CR-20-693_Find of Fact-Order, Pet Commitment-Dfd Found Incompetent_2020-01-14_20251126181126.pdf</v>
      </c>
      <c r="H101" s="1" t="s">
        <v>1362</v>
      </c>
      <c r="I101" s="1" t="n">
        <v>20251126181126</v>
      </c>
      <c r="J101" s="1" t="s">
        <v>3070</v>
      </c>
      <c r="K101" s="9" t="s">
        <v>2473</v>
      </c>
      <c r="L101" s="2" t="s">
        <v>2474</v>
      </c>
    </row>
    <row r="102" customFormat="false" ht="18.7" hidden="false" customHeight="true" outlineLevel="0" collapsed="false">
      <c r="A102" s="1" t="n">
        <v>101</v>
      </c>
      <c r="B102" s="7" t="str">
        <f aca="false">HYPERLINK("https://mncourtfraud.com/file/27-CR-20-693.pdf","27-CR-20-693")</f>
        <v>27-CR-20-693</v>
      </c>
      <c r="C102" s="1" t="n">
        <v>1</v>
      </c>
      <c r="D102" s="2" t="s">
        <v>12</v>
      </c>
      <c r="E102" s="8" t="n">
        <v>43902</v>
      </c>
      <c r="F102" s="2" t="s">
        <v>15</v>
      </c>
      <c r="G102" s="7" t="str">
        <f aca="false">HYPERLINK("https://mncourtfraud.com/file/MCRO_27-CR-20-693_Order-Evaluation for Competency to Proceed (Rule 20.01)_2020-03-12_20251126181339.pdf","MCRO_27-CR-20-693_Order-Evaluation for Competency to Proceed (Rule 20.01)_2020-03-12_20251126181339.pdf")</f>
        <v>MCRO_27-CR-20-693_Order-Evaluation for Competency to Proceed (Rule 20.01)_2020-03-12_20251126181339.pdf</v>
      </c>
      <c r="H102" s="1" t="s">
        <v>1362</v>
      </c>
      <c r="I102" s="1" t="n">
        <v>20251126181339</v>
      </c>
      <c r="J102" s="1" t="s">
        <v>3071</v>
      </c>
      <c r="K102" s="9" t="s">
        <v>2483</v>
      </c>
      <c r="L102" s="2" t="s">
        <v>2484</v>
      </c>
    </row>
    <row r="103" customFormat="false" ht="18.7" hidden="false" customHeight="true" outlineLevel="0" collapsed="false">
      <c r="A103" s="1" t="n">
        <v>102</v>
      </c>
      <c r="B103" s="7" t="str">
        <f aca="false">HYPERLINK("https://mncourtfraud.com/file/27-CR-20-693.pdf","27-CR-20-693")</f>
        <v>27-CR-20-693</v>
      </c>
      <c r="C103" s="1" t="n">
        <v>1</v>
      </c>
      <c r="D103" s="2" t="s">
        <v>12</v>
      </c>
      <c r="E103" s="8" t="n">
        <v>43970</v>
      </c>
      <c r="F103" s="2" t="s">
        <v>17</v>
      </c>
      <c r="G103" s="7" t="str">
        <f aca="false">HYPERLINK("https://mncourtfraud.com/file/MCRO_27-CR-20-693_Returned Mail_2020-05-19_20251126181401.pdf","MCRO_27-CR-20-693_Returned Mail_2020-05-19_20251126181401.pdf")</f>
        <v>MCRO_27-CR-20-693_Returned Mail_2020-05-19_20251126181401.pdf</v>
      </c>
      <c r="H103" s="1" t="s">
        <v>1362</v>
      </c>
      <c r="I103" s="1" t="n">
        <v>20251126181401</v>
      </c>
      <c r="J103" s="1" t="s">
        <v>3072</v>
      </c>
      <c r="K103" s="9" t="s">
        <v>2495</v>
      </c>
      <c r="L103" s="2" t="s">
        <v>2496</v>
      </c>
    </row>
    <row r="104" customFormat="false" ht="18.7" hidden="false" customHeight="true" outlineLevel="0" collapsed="false">
      <c r="A104" s="1" t="n">
        <v>103</v>
      </c>
      <c r="B104" s="7" t="str">
        <f aca="false">HYPERLINK("https://mncourtfraud.com/file/27-CR-20-693.pdf","27-CR-20-693")</f>
        <v>27-CR-20-693</v>
      </c>
      <c r="C104" s="1" t="n">
        <v>1</v>
      </c>
      <c r="D104" s="2" t="s">
        <v>12</v>
      </c>
      <c r="E104" s="8" t="n">
        <v>44103</v>
      </c>
      <c r="F104" s="2" t="s">
        <v>19</v>
      </c>
      <c r="G104" s="7" t="str">
        <f aca="false">HYPERLINK("https://mncourtfraud.com/file/MCRO_27-CR-20-693_Findings and Order_2020-09-29_20251126181151.pdf","MCRO_27-CR-20-693_Findings and Order_2020-09-29_20251126181151.pdf")</f>
        <v>MCRO_27-CR-20-693_Findings and Order_2020-09-29_20251126181151.pdf</v>
      </c>
      <c r="H104" s="1" t="s">
        <v>1362</v>
      </c>
      <c r="I104" s="1" t="n">
        <v>20251126181151</v>
      </c>
      <c r="J104" s="1" t="s">
        <v>3073</v>
      </c>
      <c r="K104" s="9" t="s">
        <v>2475</v>
      </c>
      <c r="L104" s="2" t="s">
        <v>2476</v>
      </c>
    </row>
    <row r="105" customFormat="false" ht="18.7" hidden="false" customHeight="true" outlineLevel="0" collapsed="false">
      <c r="A105" s="1" t="n">
        <v>104</v>
      </c>
      <c r="B105" s="7" t="str">
        <f aca="false">HYPERLINK("https://mncourtfraud.com/file/27-CR-20-693.pdf","27-CR-20-693")</f>
        <v>27-CR-20-693</v>
      </c>
      <c r="C105" s="1" t="n">
        <v>1</v>
      </c>
      <c r="D105" s="2" t="s">
        <v>12</v>
      </c>
      <c r="E105" s="8" t="n">
        <v>44225</v>
      </c>
      <c r="F105" s="2" t="s">
        <v>15</v>
      </c>
      <c r="G105" s="7" t="str">
        <f aca="false">HYPERLINK("https://mncourtfraud.com/file/MCRO_27-CR-20-693_Order-Evaluation for Competency to Proceed (Rule 20.01)_2021-01-29_20251126181349.pdf","MCRO_27-CR-20-693_Order-Evaluation for Competency to Proceed (Rule 20.01)_2021-01-29_20251126181349.pdf")</f>
        <v>MCRO_27-CR-20-693_Order-Evaluation for Competency to Proceed (Rule 20.01)_2021-01-29_20251126181349.pdf</v>
      </c>
      <c r="H105" s="1" t="s">
        <v>1362</v>
      </c>
      <c r="I105" s="1" t="n">
        <v>20251126181349</v>
      </c>
      <c r="J105" s="1" t="s">
        <v>3074</v>
      </c>
      <c r="K105" s="9" t="s">
        <v>2485</v>
      </c>
      <c r="L105" s="2" t="s">
        <v>2486</v>
      </c>
    </row>
    <row r="106" customFormat="false" ht="18.7" hidden="false" customHeight="true" outlineLevel="0" collapsed="false">
      <c r="A106" s="1" t="n">
        <v>105</v>
      </c>
      <c r="B106" s="7" t="str">
        <f aca="false">HYPERLINK("https://mncourtfraud.com/file/27-CR-20-693.pdf","27-CR-20-693")</f>
        <v>27-CR-20-693</v>
      </c>
      <c r="C106" s="1" t="n">
        <v>1</v>
      </c>
      <c r="D106" s="2" t="s">
        <v>12</v>
      </c>
      <c r="E106" s="8" t="n">
        <v>44396</v>
      </c>
      <c r="F106" s="2" t="s">
        <v>15</v>
      </c>
      <c r="G106" s="7" t="str">
        <f aca="false">HYPERLINK("https://mncourtfraud.com/file/MCRO_27-CR-20-693_Order-Evaluation for Competency to Proceed (Rule 20.01)_2021-07-19_20251126181241.pdf","MCRO_27-CR-20-693_Order-Evaluation for Competency to Proceed (Rule 20.01)_2021-07-19_20251126181241.pdf")</f>
        <v>MCRO_27-CR-20-693_Order-Evaluation for Competency to Proceed (Rule 20.01)_2021-07-19_20251126181241.pdf</v>
      </c>
      <c r="H106" s="1" t="s">
        <v>1362</v>
      </c>
      <c r="I106" s="1" t="n">
        <v>20251126181241</v>
      </c>
      <c r="J106" s="1" t="s">
        <v>3075</v>
      </c>
      <c r="K106" s="9" t="s">
        <v>2487</v>
      </c>
      <c r="L106" s="2" t="s">
        <v>2488</v>
      </c>
    </row>
    <row r="107" customFormat="false" ht="18.7" hidden="false" customHeight="true" outlineLevel="0" collapsed="false">
      <c r="A107" s="1" t="n">
        <v>106</v>
      </c>
      <c r="B107" s="7" t="str">
        <f aca="false">HYPERLINK("https://mncourtfraud.com/file/27-CR-20-693.pdf","27-CR-20-693")</f>
        <v>27-CR-20-693</v>
      </c>
      <c r="C107" s="1" t="n">
        <v>1</v>
      </c>
      <c r="D107" s="2" t="s">
        <v>12</v>
      </c>
      <c r="E107" s="8" t="n">
        <v>44439</v>
      </c>
      <c r="F107" s="2" t="s">
        <v>19</v>
      </c>
      <c r="G107" s="7" t="str">
        <f aca="false">HYPERLINK("https://mncourtfraud.com/file/MCRO_27-CR-20-693_Findings and Order_2021-08-31_20251126181201.pdf","MCRO_27-CR-20-693_Findings and Order_2021-08-31_20251126181201.pdf")</f>
        <v>MCRO_27-CR-20-693_Findings and Order_2021-08-31_20251126181201.pdf</v>
      </c>
      <c r="H107" s="1" t="s">
        <v>1362</v>
      </c>
      <c r="I107" s="1" t="n">
        <v>20251126181201</v>
      </c>
      <c r="J107" s="1" t="s">
        <v>3076</v>
      </c>
      <c r="K107" s="9" t="s">
        <v>2477</v>
      </c>
      <c r="L107" s="2" t="s">
        <v>2478</v>
      </c>
    </row>
    <row r="108" customFormat="false" ht="18.7" hidden="false" customHeight="true" outlineLevel="0" collapsed="false">
      <c r="A108" s="1" t="n">
        <v>107</v>
      </c>
      <c r="B108" s="7" t="str">
        <f aca="false">HYPERLINK("https://mncourtfraud.com/file/27-CR-20-693.pdf","27-CR-20-693")</f>
        <v>27-CR-20-693</v>
      </c>
      <c r="C108" s="1" t="n">
        <v>1</v>
      </c>
      <c r="D108" s="2" t="s">
        <v>12</v>
      </c>
      <c r="E108" s="8" t="n">
        <v>44460</v>
      </c>
      <c r="F108" s="2" t="s">
        <v>24</v>
      </c>
      <c r="G108" s="7" t="str">
        <f aca="false">HYPERLINK("https://mncourtfraud.com/file/MCRO_27-CR-20-693_Order for Conditional Release_2021-09-21_20251126181227.pdf","MCRO_27-CR-20-693_Order for Conditional Release_2021-09-21_20251126181227.pdf")</f>
        <v>MCRO_27-CR-20-693_Order for Conditional Release_2021-09-21_20251126181227.pdf</v>
      </c>
      <c r="H108" s="1" t="s">
        <v>1362</v>
      </c>
      <c r="I108" s="1" t="n">
        <v>20251126181227</v>
      </c>
      <c r="J108" s="1" t="s">
        <v>3077</v>
      </c>
      <c r="K108" s="9" t="s">
        <v>2480</v>
      </c>
      <c r="L108" s="2" t="s">
        <v>2293</v>
      </c>
    </row>
    <row r="109" customFormat="false" ht="18.7" hidden="false" customHeight="true" outlineLevel="0" collapsed="false">
      <c r="A109" s="1" t="n">
        <v>108</v>
      </c>
      <c r="B109" s="7" t="str">
        <f aca="false">HYPERLINK("https://mncourtfraud.com/file/27-CR-20-693.pdf","27-CR-20-693")</f>
        <v>27-CR-20-693</v>
      </c>
      <c r="C109" s="1" t="n">
        <v>1</v>
      </c>
      <c r="D109" s="2" t="s">
        <v>12</v>
      </c>
      <c r="E109" s="8" t="n">
        <v>44468</v>
      </c>
      <c r="F109" s="2" t="s">
        <v>24</v>
      </c>
      <c r="G109" s="7" t="str">
        <f aca="false">HYPERLINK("https://mncourtfraud.com/file/MCRO_27-CR-20-693_Order for Conditional Release_2021-09-29_20251126181223.pdf","MCRO_27-CR-20-693_Order for Conditional Release_2021-09-29_20251126181223.pdf")</f>
        <v>MCRO_27-CR-20-693_Order for Conditional Release_2021-09-29_20251126181223.pdf</v>
      </c>
      <c r="H109" s="1" t="s">
        <v>1362</v>
      </c>
      <c r="I109" s="1" t="n">
        <v>20251126181223</v>
      </c>
      <c r="J109" s="1" t="s">
        <v>3078</v>
      </c>
      <c r="K109" s="9" t="s">
        <v>2481</v>
      </c>
      <c r="L109" s="2" t="s">
        <v>2482</v>
      </c>
    </row>
    <row r="110" customFormat="false" ht="18.7" hidden="false" customHeight="true" outlineLevel="0" collapsed="false">
      <c r="A110" s="1" t="n">
        <v>109</v>
      </c>
      <c r="B110" s="7" t="str">
        <f aca="false">HYPERLINK("https://mncourtfraud.com/file/27-CR-20-693.pdf","27-CR-20-693")</f>
        <v>27-CR-20-693</v>
      </c>
      <c r="C110" s="1" t="n">
        <v>1</v>
      </c>
      <c r="D110" s="2" t="s">
        <v>12</v>
      </c>
      <c r="E110" s="8" t="n">
        <v>44543</v>
      </c>
      <c r="F110" s="2" t="s">
        <v>15</v>
      </c>
      <c r="G110" s="7" t="str">
        <f aca="false">HYPERLINK("https://mncourtfraud.com/file/MCRO_27-CR-20-693_Order-Evaluation for Competency to Proceed (Rule 20.01)_2021-12-13_20251126181255.pdf","MCRO_27-CR-20-693_Order-Evaluation for Competency to Proceed (Rule 20.01)_2021-12-13_20251126181255.pdf")</f>
        <v>MCRO_27-CR-20-693_Order-Evaluation for Competency to Proceed (Rule 20.01)_2021-12-13_20251126181255.pdf</v>
      </c>
      <c r="H110" s="1" t="s">
        <v>1362</v>
      </c>
      <c r="I110" s="1" t="n">
        <v>20251126181255</v>
      </c>
      <c r="J110" s="1" t="s">
        <v>3079</v>
      </c>
      <c r="K110" s="9" t="s">
        <v>2489</v>
      </c>
      <c r="L110" s="2" t="s">
        <v>2331</v>
      </c>
    </row>
    <row r="111" customFormat="false" ht="18.7" hidden="false" customHeight="true" outlineLevel="0" collapsed="false">
      <c r="A111" s="1" t="n">
        <v>110</v>
      </c>
      <c r="B111" s="7" t="str">
        <f aca="false">HYPERLINK("https://mncourtfraud.com/file/27-CR-20-693.pdf","27-CR-20-693")</f>
        <v>27-CR-20-693</v>
      </c>
      <c r="C111" s="1" t="n">
        <v>1</v>
      </c>
      <c r="D111" s="2" t="s">
        <v>12</v>
      </c>
      <c r="E111" s="8" t="n">
        <v>44558</v>
      </c>
      <c r="F111" s="2" t="s">
        <v>15</v>
      </c>
      <c r="G111" s="7" t="str">
        <f aca="false">HYPERLINK("https://mncourtfraud.com/file/MCRO_27-CR-20-693_Order-Evaluation for Competency to Proceed (Rule 20.01)_2021-12-28_20251126181306.pdf","MCRO_27-CR-20-693_Order-Evaluation for Competency to Proceed (Rule 20.01)_2021-12-28_20251126181306.pdf")</f>
        <v>MCRO_27-CR-20-693_Order-Evaluation for Competency to Proceed (Rule 20.01)_2021-12-28_20251126181306.pdf</v>
      </c>
      <c r="H111" s="1" t="s">
        <v>1362</v>
      </c>
      <c r="I111" s="1" t="n">
        <v>20251126181306</v>
      </c>
      <c r="J111" s="1" t="s">
        <v>3080</v>
      </c>
      <c r="K111" s="9" t="s">
        <v>2490</v>
      </c>
      <c r="L111" s="2" t="s">
        <v>2491</v>
      </c>
    </row>
    <row r="112" customFormat="false" ht="18.7" hidden="false" customHeight="true" outlineLevel="0" collapsed="false">
      <c r="A112" s="1" t="n">
        <v>111</v>
      </c>
      <c r="B112" s="7" t="str">
        <f aca="false">HYPERLINK("https://mncourtfraud.com/file/27-CR-20-693.pdf","27-CR-20-693")</f>
        <v>27-CR-20-693</v>
      </c>
      <c r="C112" s="1" t="n">
        <v>1</v>
      </c>
      <c r="D112" s="2" t="s">
        <v>12</v>
      </c>
      <c r="E112" s="8" t="n">
        <v>44593</v>
      </c>
      <c r="F112" s="2" t="s">
        <v>19</v>
      </c>
      <c r="G112" s="7" t="str">
        <f aca="false">HYPERLINK("https://mncourtfraud.com/file/MCRO_27-CR-20-693_Findings and Order_2022-02-01_20251126181139.pdf","MCRO_27-CR-20-693_Findings and Order_2022-02-01_20251126181139.pdf")</f>
        <v>MCRO_27-CR-20-693_Findings and Order_2022-02-01_20251126181139.pdf</v>
      </c>
      <c r="H112" s="1" t="s">
        <v>1362</v>
      </c>
      <c r="I112" s="1" t="n">
        <v>20251126181139</v>
      </c>
      <c r="J112" s="1" t="s">
        <v>3081</v>
      </c>
      <c r="K112" s="9" t="s">
        <v>2479</v>
      </c>
      <c r="L112" s="2" t="s">
        <v>2291</v>
      </c>
    </row>
    <row r="113" customFormat="false" ht="18.7" hidden="false" customHeight="true" outlineLevel="0" collapsed="false">
      <c r="A113" s="1" t="n">
        <v>112</v>
      </c>
      <c r="B113" s="7" t="str">
        <f aca="false">HYPERLINK("https://mncourtfraud.com/file/27-CR-20-693.pdf","27-CR-20-693")</f>
        <v>27-CR-20-693</v>
      </c>
      <c r="C113" s="1" t="n">
        <v>1</v>
      </c>
      <c r="D113" s="2" t="s">
        <v>12</v>
      </c>
      <c r="E113" s="8" t="n">
        <v>44692</v>
      </c>
      <c r="F113" s="2" t="s">
        <v>15</v>
      </c>
      <c r="G113" s="7" t="str">
        <f aca="false">HYPERLINK("https://mncourtfraud.com/file/MCRO_27-CR-20-693_Order-Evaluation for Competency to Proceed (Rule 20.01)_2022-05-11_20251126181315.pdf","MCRO_27-CR-20-693_Order-Evaluation for Competency to Proceed (Rule 20.01)_2022-05-11_20251126181315.pdf")</f>
        <v>MCRO_27-CR-20-693_Order-Evaluation for Competency to Proceed (Rule 20.01)_2022-05-11_20251126181315.pdf</v>
      </c>
      <c r="H113" s="1" t="s">
        <v>1362</v>
      </c>
      <c r="I113" s="1" t="n">
        <v>20251126181315</v>
      </c>
      <c r="J113" s="1" t="s">
        <v>3082</v>
      </c>
      <c r="K113" s="9" t="s">
        <v>2492</v>
      </c>
      <c r="L113" s="2" t="s">
        <v>2493</v>
      </c>
    </row>
    <row r="114" customFormat="false" ht="18.7" hidden="false" customHeight="true" outlineLevel="0" collapsed="false">
      <c r="A114" s="1" t="n">
        <v>113</v>
      </c>
      <c r="B114" s="7" t="str">
        <f aca="false">HYPERLINK("https://mncourtfraud.com/file/27-CR-20-693.pdf","27-CR-20-693")</f>
        <v>27-CR-20-693</v>
      </c>
      <c r="C114" s="1" t="n">
        <v>1</v>
      </c>
      <c r="D114" s="2" t="s">
        <v>12</v>
      </c>
      <c r="E114" s="8" t="n">
        <v>44895</v>
      </c>
      <c r="F114" s="2" t="s">
        <v>15</v>
      </c>
      <c r="G114" s="7" t="str">
        <f aca="false">HYPERLINK("https://mncourtfraud.com/file/MCRO_27-CR-20-693_Order-Evaluation for Competency to Proceed (Rule 20.01)_2022-11-30_20251126181327.pdf","MCRO_27-CR-20-693_Order-Evaluation for Competency to Proceed (Rule 20.01)_2022-11-30_20251126181327.pdf")</f>
        <v>MCRO_27-CR-20-693_Order-Evaluation for Competency to Proceed (Rule 20.01)_2022-11-30_20251126181327.pdf</v>
      </c>
      <c r="H114" s="1" t="s">
        <v>1362</v>
      </c>
      <c r="I114" s="1" t="n">
        <v>20251126181327</v>
      </c>
      <c r="J114" s="1" t="s">
        <v>3083</v>
      </c>
      <c r="K114" s="9" t="s">
        <v>2494</v>
      </c>
      <c r="L114" s="2" t="s">
        <v>2336</v>
      </c>
    </row>
    <row r="115" customFormat="false" ht="18.7" hidden="false" customHeight="true" outlineLevel="0" collapsed="false">
      <c r="A115" s="1" t="n">
        <v>114</v>
      </c>
      <c r="B115" s="7" t="str">
        <f aca="false">HYPERLINK("https://mncourtfraud.com/file/27-CR-21-10185.pdf","27-CR-21-10185")</f>
        <v>27-CR-21-10185</v>
      </c>
      <c r="C115" s="1" t="n">
        <v>1</v>
      </c>
      <c r="D115" s="2" t="s">
        <v>12</v>
      </c>
      <c r="E115" s="8" t="n">
        <v>44396</v>
      </c>
      <c r="F115" s="2" t="s">
        <v>15</v>
      </c>
      <c r="G115" s="7" t="str">
        <f aca="false">HYPERLINK("https://mncourtfraud.com/file/MCRO_27-CR-21-10185_Order-Evaluation for Competency to Proceed (Rule 20.01)_2021-07-19_20251126181524.pdf","MCRO_27-CR-21-10185_Order-Evaluation for Competency to Proceed (Rule 20.01)_2021-07-19_20251126181524.pdf")</f>
        <v>MCRO_27-CR-21-10185_Order-Evaluation for Competency to Proceed (Rule 20.01)_2021-07-19_20251126181524.pdf</v>
      </c>
      <c r="H115" s="1" t="s">
        <v>1362</v>
      </c>
      <c r="I115" s="1" t="n">
        <v>20251126181524</v>
      </c>
      <c r="J115" s="1" t="s">
        <v>3084</v>
      </c>
      <c r="K115" s="9" t="s">
        <v>2504</v>
      </c>
      <c r="L115" s="2" t="s">
        <v>2505</v>
      </c>
    </row>
    <row r="116" customFormat="false" ht="18.7" hidden="false" customHeight="true" outlineLevel="0" collapsed="false">
      <c r="A116" s="1" t="n">
        <v>115</v>
      </c>
      <c r="B116" s="7" t="str">
        <f aca="false">HYPERLINK("https://mncourtfraud.com/file/27-CR-21-10185.pdf","27-CR-21-10185")</f>
        <v>27-CR-21-10185</v>
      </c>
      <c r="C116" s="1" t="n">
        <v>1</v>
      </c>
      <c r="D116" s="2" t="s">
        <v>12</v>
      </c>
      <c r="E116" s="8" t="n">
        <v>44439</v>
      </c>
      <c r="F116" s="2" t="s">
        <v>19</v>
      </c>
      <c r="G116" s="7" t="str">
        <f aca="false">HYPERLINK("https://mncourtfraud.com/file/MCRO_27-CR-21-10185_Findings and Order_2021-08-31_20251126181437.pdf","MCRO_27-CR-21-10185_Findings and Order_2021-08-31_20251126181437.pdf")</f>
        <v>MCRO_27-CR-21-10185_Findings and Order_2021-08-31_20251126181437.pdf</v>
      </c>
      <c r="H116" s="1" t="s">
        <v>1362</v>
      </c>
      <c r="I116" s="1" t="n">
        <v>20251126181437</v>
      </c>
      <c r="J116" s="1" t="s">
        <v>3085</v>
      </c>
      <c r="K116" s="9" t="s">
        <v>2497</v>
      </c>
      <c r="L116" s="2" t="s">
        <v>2498</v>
      </c>
    </row>
    <row r="117" customFormat="false" ht="18.7" hidden="false" customHeight="true" outlineLevel="0" collapsed="false">
      <c r="A117" s="1" t="n">
        <v>116</v>
      </c>
      <c r="B117" s="7" t="str">
        <f aca="false">HYPERLINK("https://mncourtfraud.com/file/27-CR-21-10185.pdf","27-CR-21-10185")</f>
        <v>27-CR-21-10185</v>
      </c>
      <c r="C117" s="1" t="n">
        <v>1</v>
      </c>
      <c r="D117" s="2" t="s">
        <v>12</v>
      </c>
      <c r="E117" s="8" t="n">
        <v>44439</v>
      </c>
      <c r="F117" s="2" t="s">
        <v>134</v>
      </c>
      <c r="G117" s="7" t="str">
        <f aca="false">HYPERLINK("https://mncourtfraud.com/file/MCRO_27-CR-21-10185_Notice of Intent to Prosecute_2021-08-31_20251126181452.pdf","MCRO_27-CR-21-10185_Notice of Intent to Prosecute_2021-08-31_20251126181452.pdf")</f>
        <v>MCRO_27-CR-21-10185_Notice of Intent to Prosecute_2021-08-31_20251126181452.pdf</v>
      </c>
      <c r="H117" s="1" t="s">
        <v>1362</v>
      </c>
      <c r="I117" s="1" t="n">
        <v>20251126181452</v>
      </c>
      <c r="J117" s="1" t="s">
        <v>3086</v>
      </c>
      <c r="K117" s="9" t="s">
        <v>2500</v>
      </c>
      <c r="L117" s="2" t="s">
        <v>2501</v>
      </c>
    </row>
    <row r="118" customFormat="false" ht="18.7" hidden="false" customHeight="true" outlineLevel="0" collapsed="false">
      <c r="A118" s="1" t="n">
        <v>117</v>
      </c>
      <c r="B118" s="7" t="str">
        <f aca="false">HYPERLINK("https://mncourtfraud.com/file/27-CR-21-10185.pdf","27-CR-21-10185")</f>
        <v>27-CR-21-10185</v>
      </c>
      <c r="C118" s="1" t="n">
        <v>1</v>
      </c>
      <c r="D118" s="2" t="s">
        <v>12</v>
      </c>
      <c r="E118" s="8" t="n">
        <v>44460</v>
      </c>
      <c r="F118" s="2" t="s">
        <v>24</v>
      </c>
      <c r="G118" s="7" t="str">
        <f aca="false">HYPERLINK("https://mncourtfraud.com/file/MCRO_27-CR-21-10185_Order for Conditional Release_2021-09-21_20251126181510.pdf","MCRO_27-CR-21-10185_Order for Conditional Release_2021-09-21_20251126181510.pdf")</f>
        <v>MCRO_27-CR-21-10185_Order for Conditional Release_2021-09-21_20251126181510.pdf</v>
      </c>
      <c r="H118" s="1" t="s">
        <v>1362</v>
      </c>
      <c r="I118" s="1" t="n">
        <v>20251126181510</v>
      </c>
      <c r="J118" s="1" t="s">
        <v>3087</v>
      </c>
      <c r="K118" s="9" t="s">
        <v>2502</v>
      </c>
      <c r="L118" s="2" t="s">
        <v>2293</v>
      </c>
    </row>
    <row r="119" customFormat="false" ht="18.7" hidden="false" customHeight="true" outlineLevel="0" collapsed="false">
      <c r="A119" s="1" t="n">
        <v>118</v>
      </c>
      <c r="B119" s="7" t="str">
        <f aca="false">HYPERLINK("https://mncourtfraud.com/file/27-CR-21-10185.pdf","27-CR-21-10185")</f>
        <v>27-CR-21-10185</v>
      </c>
      <c r="C119" s="1" t="n">
        <v>1</v>
      </c>
      <c r="D119" s="2" t="s">
        <v>12</v>
      </c>
      <c r="E119" s="8" t="n">
        <v>44468</v>
      </c>
      <c r="F119" s="2" t="s">
        <v>24</v>
      </c>
      <c r="G119" s="7" t="str">
        <f aca="false">HYPERLINK("https://mncourtfraud.com/file/MCRO_27-CR-21-10185_Order for Conditional Release_2021-09-29_20251126181506.pdf","MCRO_27-CR-21-10185_Order for Conditional Release_2021-09-29_20251126181506.pdf")</f>
        <v>MCRO_27-CR-21-10185_Order for Conditional Release_2021-09-29_20251126181506.pdf</v>
      </c>
      <c r="H119" s="1" t="s">
        <v>1362</v>
      </c>
      <c r="I119" s="1" t="n">
        <v>20251126181506</v>
      </c>
      <c r="J119" s="1" t="s">
        <v>3088</v>
      </c>
      <c r="K119" s="9" t="s">
        <v>2503</v>
      </c>
      <c r="L119" s="2" t="s">
        <v>2295</v>
      </c>
    </row>
    <row r="120" customFormat="false" ht="18.7" hidden="false" customHeight="true" outlineLevel="0" collapsed="false">
      <c r="A120" s="1" t="n">
        <v>119</v>
      </c>
      <c r="B120" s="7" t="str">
        <f aca="false">HYPERLINK("https://mncourtfraud.com/file/27-CR-21-10185.pdf","27-CR-21-10185")</f>
        <v>27-CR-21-10185</v>
      </c>
      <c r="C120" s="1" t="n">
        <v>1</v>
      </c>
      <c r="D120" s="2" t="s">
        <v>12</v>
      </c>
      <c r="E120" s="8" t="n">
        <v>44543</v>
      </c>
      <c r="F120" s="2" t="s">
        <v>15</v>
      </c>
      <c r="G120" s="7" t="str">
        <f aca="false">HYPERLINK("https://mncourtfraud.com/file/MCRO_27-CR-21-10185_Order-Evaluation for Competency to Proceed (Rule 20.01)_2021-12-13_20251126181536.pdf","MCRO_27-CR-21-10185_Order-Evaluation for Competency to Proceed (Rule 20.01)_2021-12-13_20251126181536.pdf")</f>
        <v>MCRO_27-CR-21-10185_Order-Evaluation for Competency to Proceed (Rule 20.01)_2021-12-13_20251126181536.pdf</v>
      </c>
      <c r="H120" s="1" t="s">
        <v>1362</v>
      </c>
      <c r="I120" s="1" t="n">
        <v>20251126181536</v>
      </c>
      <c r="J120" s="1" t="s">
        <v>3089</v>
      </c>
      <c r="K120" s="9" t="s">
        <v>2506</v>
      </c>
      <c r="L120" s="2" t="s">
        <v>2507</v>
      </c>
    </row>
    <row r="121" customFormat="false" ht="18.7" hidden="false" customHeight="true" outlineLevel="0" collapsed="false">
      <c r="A121" s="1" t="n">
        <v>120</v>
      </c>
      <c r="B121" s="7" t="str">
        <f aca="false">HYPERLINK("https://mncourtfraud.com/file/27-CR-21-10185.pdf","27-CR-21-10185")</f>
        <v>27-CR-21-10185</v>
      </c>
      <c r="C121" s="1" t="n">
        <v>1</v>
      </c>
      <c r="D121" s="2" t="s">
        <v>12</v>
      </c>
      <c r="E121" s="8" t="n">
        <v>44558</v>
      </c>
      <c r="F121" s="2" t="s">
        <v>15</v>
      </c>
      <c r="G121" s="7" t="str">
        <f aca="false">HYPERLINK("https://mncourtfraud.com/file/MCRO_27-CR-21-10185_Order-Evaluation for Competency to Proceed (Rule 20.01)_2021-12-28_20251126181546.pdf","MCRO_27-CR-21-10185_Order-Evaluation for Competency to Proceed (Rule 20.01)_2021-12-28_20251126181546.pdf")</f>
        <v>MCRO_27-CR-21-10185_Order-Evaluation for Competency to Proceed (Rule 20.01)_2021-12-28_20251126181546.pdf</v>
      </c>
      <c r="H121" s="1" t="s">
        <v>1362</v>
      </c>
      <c r="I121" s="1" t="n">
        <v>20251126181546</v>
      </c>
      <c r="J121" s="1" t="s">
        <v>3090</v>
      </c>
      <c r="K121" s="9" t="s">
        <v>2508</v>
      </c>
      <c r="L121" s="2" t="s">
        <v>2509</v>
      </c>
    </row>
    <row r="122" customFormat="false" ht="18.7" hidden="false" customHeight="true" outlineLevel="0" collapsed="false">
      <c r="A122" s="1" t="n">
        <v>121</v>
      </c>
      <c r="B122" s="7" t="str">
        <f aca="false">HYPERLINK("https://mncourtfraud.com/file/27-CR-21-10185.pdf","27-CR-21-10185")</f>
        <v>27-CR-21-10185</v>
      </c>
      <c r="C122" s="1" t="n">
        <v>1</v>
      </c>
      <c r="D122" s="2" t="s">
        <v>12</v>
      </c>
      <c r="E122" s="8" t="n">
        <v>44593</v>
      </c>
      <c r="F122" s="2" t="s">
        <v>19</v>
      </c>
      <c r="G122" s="7" t="str">
        <f aca="false">HYPERLINK("https://mncourtfraud.com/file/MCRO_27-CR-21-10185_Findings and Order_2022-02-01_20251126181428.pdf","MCRO_27-CR-21-10185_Findings and Order_2022-02-01_20251126181428.pdf")</f>
        <v>MCRO_27-CR-21-10185_Findings and Order_2022-02-01_20251126181428.pdf</v>
      </c>
      <c r="H122" s="1" t="s">
        <v>1362</v>
      </c>
      <c r="I122" s="1" t="n">
        <v>20251126181428</v>
      </c>
      <c r="J122" s="1" t="s">
        <v>3091</v>
      </c>
      <c r="K122" s="9" t="s">
        <v>2499</v>
      </c>
      <c r="L122" s="2" t="s">
        <v>2425</v>
      </c>
    </row>
    <row r="123" customFormat="false" ht="18.7" hidden="false" customHeight="true" outlineLevel="0" collapsed="false">
      <c r="A123" s="1" t="n">
        <v>122</v>
      </c>
      <c r="B123" s="7" t="str">
        <f aca="false">HYPERLINK("https://mncourtfraud.com/file/27-CR-21-10185.pdf","27-CR-21-10185")</f>
        <v>27-CR-21-10185</v>
      </c>
      <c r="C123" s="1" t="n">
        <v>1</v>
      </c>
      <c r="D123" s="2" t="s">
        <v>12</v>
      </c>
      <c r="E123" s="8" t="n">
        <v>44692</v>
      </c>
      <c r="F123" s="2" t="s">
        <v>15</v>
      </c>
      <c r="G123" s="7" t="str">
        <f aca="false">HYPERLINK("https://mncourtfraud.com/file/MCRO_27-CR-21-10185_Order-Evaluation for Competency to Proceed (Rule 20.01)_2022-05-11_20251126181600.pdf","MCRO_27-CR-21-10185_Order-Evaluation for Competency to Proceed (Rule 20.01)_2022-05-11_20251126181600.pdf")</f>
        <v>MCRO_27-CR-21-10185_Order-Evaluation for Competency to Proceed (Rule 20.01)_2022-05-11_20251126181600.pdf</v>
      </c>
      <c r="H123" s="1" t="s">
        <v>1362</v>
      </c>
      <c r="I123" s="1" t="n">
        <v>20251126181600</v>
      </c>
      <c r="J123" s="1" t="s">
        <v>3092</v>
      </c>
      <c r="K123" s="9" t="s">
        <v>2510</v>
      </c>
      <c r="L123" s="2" t="s">
        <v>2511</v>
      </c>
    </row>
    <row r="124" customFormat="false" ht="18.7" hidden="false" customHeight="true" outlineLevel="0" collapsed="false">
      <c r="A124" s="1" t="n">
        <v>123</v>
      </c>
      <c r="B124" s="7" t="str">
        <f aca="false">HYPERLINK("https://mncourtfraud.com/file/27-CR-21-10185.pdf","27-CR-21-10185")</f>
        <v>27-CR-21-10185</v>
      </c>
      <c r="C124" s="1" t="n">
        <v>1</v>
      </c>
      <c r="D124" s="2" t="s">
        <v>12</v>
      </c>
      <c r="E124" s="8" t="n">
        <v>44895</v>
      </c>
      <c r="F124" s="2" t="s">
        <v>15</v>
      </c>
      <c r="G124" s="7" t="str">
        <f aca="false">HYPERLINK("https://mncourtfraud.com/file/MCRO_27-CR-21-10185_Order-Evaluation for Competency to Proceed (Rule 20.01)_2022-11-30_20251126181610.pdf","MCRO_27-CR-21-10185_Order-Evaluation for Competency to Proceed (Rule 20.01)_2022-11-30_20251126181610.pdf")</f>
        <v>MCRO_27-CR-21-10185_Order-Evaluation for Competency to Proceed (Rule 20.01)_2022-11-30_20251126181610.pdf</v>
      </c>
      <c r="H124" s="1" t="s">
        <v>1362</v>
      </c>
      <c r="I124" s="1" t="n">
        <v>20251126181610</v>
      </c>
      <c r="J124" s="1" t="s">
        <v>3093</v>
      </c>
      <c r="K124" s="9" t="s">
        <v>2512</v>
      </c>
      <c r="L124" s="2" t="s">
        <v>2513</v>
      </c>
    </row>
    <row r="125" customFormat="false" ht="18.7" hidden="false" customHeight="true" outlineLevel="0" collapsed="false">
      <c r="A125" s="1" t="n">
        <v>124</v>
      </c>
      <c r="B125" s="7" t="str">
        <f aca="false">HYPERLINK("https://mncourtfraud.com/file/27-CR-21-12714.pdf","27-CR-21-12714")</f>
        <v>27-CR-21-12714</v>
      </c>
      <c r="C125" s="1" t="n">
        <v>1</v>
      </c>
      <c r="D125" s="2" t="s">
        <v>12</v>
      </c>
      <c r="E125" s="8" t="n">
        <v>44396</v>
      </c>
      <c r="F125" s="2" t="s">
        <v>15</v>
      </c>
      <c r="G125" s="7" t="str">
        <f aca="false">HYPERLINK("https://mncourtfraud.com/file/MCRO_27-CR-21-12714_Order-Evaluation for Competency to Proceed (Rule 20.01)_2021-07-19_20251126181807.pdf","MCRO_27-CR-21-12714_Order-Evaluation for Competency to Proceed (Rule 20.01)_2021-07-19_20251126181807.pdf")</f>
        <v>MCRO_27-CR-21-12714_Order-Evaluation for Competency to Proceed (Rule 20.01)_2021-07-19_20251126181807.pdf</v>
      </c>
      <c r="H125" s="1" t="s">
        <v>1362</v>
      </c>
      <c r="I125" s="1" t="n">
        <v>20251126181807</v>
      </c>
      <c r="J125" s="1" t="s">
        <v>3094</v>
      </c>
      <c r="K125" s="9" t="s">
        <v>2525</v>
      </c>
      <c r="L125" s="2" t="s">
        <v>2526</v>
      </c>
    </row>
    <row r="126" customFormat="false" ht="18.7" hidden="false" customHeight="true" outlineLevel="0" collapsed="false">
      <c r="A126" s="1" t="n">
        <v>125</v>
      </c>
      <c r="B126" s="7" t="str">
        <f aca="false">HYPERLINK("https://mncourtfraud.com/file/27-CR-21-12714.pdf","27-CR-21-12714")</f>
        <v>27-CR-21-12714</v>
      </c>
      <c r="C126" s="1" t="n">
        <v>1</v>
      </c>
      <c r="D126" s="2" t="s">
        <v>12</v>
      </c>
      <c r="E126" s="8" t="n">
        <v>44405</v>
      </c>
      <c r="F126" s="2" t="s">
        <v>145</v>
      </c>
      <c r="G126" s="7" t="str">
        <f aca="false">HYPERLINK("https://mncourtfraud.com/file/MCRO_27-CR-21-12714_Demand or Request for Discovery_2021-07-28_20251126181647.pdf","MCRO_27-CR-21-12714_Demand or Request for Discovery_2021-07-28_20251126181647.pdf")</f>
        <v>MCRO_27-CR-21-12714_Demand or Request for Discovery_2021-07-28_20251126181647.pdf</v>
      </c>
      <c r="H126" s="1" t="s">
        <v>1362</v>
      </c>
      <c r="I126" s="1" t="n">
        <v>20251126181647</v>
      </c>
      <c r="J126" s="1" t="s">
        <v>3095</v>
      </c>
      <c r="K126" s="9" t="s">
        <v>2514</v>
      </c>
      <c r="L126" s="2" t="s">
        <v>2515</v>
      </c>
    </row>
    <row r="127" customFormat="false" ht="18.7" hidden="false" customHeight="true" outlineLevel="0" collapsed="false">
      <c r="A127" s="1" t="n">
        <v>126</v>
      </c>
      <c r="B127" s="7" t="str">
        <f aca="false">HYPERLINK("https://mncourtfraud.com/file/27-CR-21-12714.pdf","27-CR-21-12714")</f>
        <v>27-CR-21-12714</v>
      </c>
      <c r="C127" s="1" t="n">
        <v>1</v>
      </c>
      <c r="D127" s="2" t="s">
        <v>12</v>
      </c>
      <c r="E127" s="8" t="n">
        <v>44439</v>
      </c>
      <c r="F127" s="2" t="s">
        <v>19</v>
      </c>
      <c r="G127" s="7" t="str">
        <f aca="false">HYPERLINK("https://mncourtfraud.com/file/MCRO_27-CR-21-12714_Findings and Order_2021-08-31_20251126181722.pdf","MCRO_27-CR-21-12714_Findings and Order_2021-08-31_20251126181722.pdf")</f>
        <v>MCRO_27-CR-21-12714_Findings and Order_2021-08-31_20251126181722.pdf</v>
      </c>
      <c r="H127" s="1" t="s">
        <v>1362</v>
      </c>
      <c r="I127" s="1" t="n">
        <v>20251126181722</v>
      </c>
      <c r="J127" s="1" t="s">
        <v>3096</v>
      </c>
      <c r="K127" s="9" t="s">
        <v>2517</v>
      </c>
      <c r="L127" s="2" t="s">
        <v>2518</v>
      </c>
    </row>
    <row r="128" customFormat="false" ht="18.7" hidden="false" customHeight="true" outlineLevel="0" collapsed="false">
      <c r="A128" s="1" t="n">
        <v>127</v>
      </c>
      <c r="B128" s="7" t="str">
        <f aca="false">HYPERLINK("https://mncourtfraud.com/file/27-CR-21-12714.pdf","27-CR-21-12714")</f>
        <v>27-CR-21-12714</v>
      </c>
      <c r="C128" s="1" t="n">
        <v>1</v>
      </c>
      <c r="D128" s="2" t="s">
        <v>12</v>
      </c>
      <c r="E128" s="8" t="n">
        <v>44460</v>
      </c>
      <c r="F128" s="2" t="s">
        <v>24</v>
      </c>
      <c r="G128" s="7" t="str">
        <f aca="false">HYPERLINK("https://mncourtfraud.com/file/MCRO_27-CR-21-12714_Order for Conditional Release_2021-09-21_20251126181747.pdf","MCRO_27-CR-21-12714_Order for Conditional Release_2021-09-21_20251126181747.pdf")</f>
        <v>MCRO_27-CR-21-12714_Order for Conditional Release_2021-09-21_20251126181747.pdf</v>
      </c>
      <c r="H128" s="1" t="s">
        <v>1362</v>
      </c>
      <c r="I128" s="1" t="n">
        <v>20251126181747</v>
      </c>
      <c r="J128" s="1" t="s">
        <v>3097</v>
      </c>
      <c r="K128" s="9" t="s">
        <v>2520</v>
      </c>
      <c r="L128" s="2" t="s">
        <v>2321</v>
      </c>
    </row>
    <row r="129" customFormat="false" ht="18.7" hidden="false" customHeight="true" outlineLevel="0" collapsed="false">
      <c r="A129" s="1" t="n">
        <v>128</v>
      </c>
      <c r="B129" s="7" t="str">
        <f aca="false">HYPERLINK("https://mncourtfraud.com/file/27-CR-21-12714.pdf","27-CR-21-12714")</f>
        <v>27-CR-21-12714</v>
      </c>
      <c r="C129" s="1" t="n">
        <v>1</v>
      </c>
      <c r="D129" s="2" t="s">
        <v>12</v>
      </c>
      <c r="E129" s="8" t="n">
        <v>44468</v>
      </c>
      <c r="F129" s="2" t="s">
        <v>24</v>
      </c>
      <c r="G129" s="7" t="str">
        <f aca="false">HYPERLINK("https://mncourtfraud.com/file/MCRO_27-CR-21-12714_Order for Conditional Release_2021-09-29_20251126181755.pdf","MCRO_27-CR-21-12714_Order for Conditional Release_2021-09-29_20251126181755.pdf")</f>
        <v>MCRO_27-CR-21-12714_Order for Conditional Release_2021-09-29_20251126181755.pdf</v>
      </c>
      <c r="H129" s="1" t="s">
        <v>1362</v>
      </c>
      <c r="I129" s="1" t="n">
        <v>20251126181755</v>
      </c>
      <c r="J129" s="1" t="s">
        <v>3098</v>
      </c>
      <c r="K129" s="9" t="s">
        <v>2521</v>
      </c>
      <c r="L129" s="2" t="s">
        <v>2522</v>
      </c>
    </row>
    <row r="130" customFormat="false" ht="18.7" hidden="false" customHeight="true" outlineLevel="0" collapsed="false">
      <c r="A130" s="1" t="n">
        <v>129</v>
      </c>
      <c r="B130" s="7" t="str">
        <f aca="false">HYPERLINK("https://mncourtfraud.com/file/27-CR-21-12714.pdf","27-CR-21-12714")</f>
        <v>27-CR-21-12714</v>
      </c>
      <c r="C130" s="1" t="n">
        <v>1</v>
      </c>
      <c r="D130" s="2" t="s">
        <v>12</v>
      </c>
      <c r="E130" s="8" t="n">
        <v>44543</v>
      </c>
      <c r="F130" s="2" t="s">
        <v>15</v>
      </c>
      <c r="G130" s="7" t="str">
        <f aca="false">HYPERLINK("https://mncourtfraud.com/file/MCRO_27-CR-21-12714_Order-Evaluation for Competency to Proceed (Rule 20.01)_2021-12-13_20251126181817.pdf","MCRO_27-CR-21-12714_Order-Evaluation for Competency to Proceed (Rule 20.01)_2021-12-13_20251126181817.pdf")</f>
        <v>MCRO_27-CR-21-12714_Order-Evaluation for Competency to Proceed (Rule 20.01)_2021-12-13_20251126181817.pdf</v>
      </c>
      <c r="H130" s="1" t="s">
        <v>1362</v>
      </c>
      <c r="I130" s="1" t="n">
        <v>20251126181817</v>
      </c>
      <c r="J130" s="1" t="s">
        <v>3099</v>
      </c>
      <c r="K130" s="9" t="s">
        <v>2527</v>
      </c>
      <c r="L130" s="2" t="s">
        <v>2528</v>
      </c>
    </row>
    <row r="131" customFormat="false" ht="18.7" hidden="false" customHeight="true" outlineLevel="0" collapsed="false">
      <c r="A131" s="1" t="n">
        <v>130</v>
      </c>
      <c r="B131" s="7" t="str">
        <f aca="false">HYPERLINK("https://mncourtfraud.com/file/27-CR-21-12714.pdf","27-CR-21-12714")</f>
        <v>27-CR-21-12714</v>
      </c>
      <c r="C131" s="1" t="n">
        <v>1</v>
      </c>
      <c r="D131" s="2" t="s">
        <v>12</v>
      </c>
      <c r="E131" s="8" t="n">
        <v>44558</v>
      </c>
      <c r="F131" s="2" t="s">
        <v>15</v>
      </c>
      <c r="G131" s="7" t="str">
        <f aca="false">HYPERLINK("https://mncourtfraud.com/file/MCRO_27-CR-21-12714_Order-Evaluation for Competency to Proceed (Rule 20.01)_2021-12-28_20251126181825.pdf","MCRO_27-CR-21-12714_Order-Evaluation for Competency to Proceed (Rule 20.01)_2021-12-28_20251126181825.pdf")</f>
        <v>MCRO_27-CR-21-12714_Order-Evaluation for Competency to Proceed (Rule 20.01)_2021-12-28_20251126181825.pdf</v>
      </c>
      <c r="H131" s="1" t="s">
        <v>1362</v>
      </c>
      <c r="I131" s="1" t="n">
        <v>20251126181825</v>
      </c>
      <c r="J131" s="1" t="s">
        <v>3100</v>
      </c>
      <c r="K131" s="9" t="s">
        <v>2529</v>
      </c>
      <c r="L131" s="2" t="s">
        <v>2530</v>
      </c>
    </row>
    <row r="132" customFormat="false" ht="18.7" hidden="false" customHeight="true" outlineLevel="0" collapsed="false">
      <c r="A132" s="1" t="n">
        <v>131</v>
      </c>
      <c r="B132" s="7" t="str">
        <f aca="false">HYPERLINK("https://mncourtfraud.com/file/27-CR-21-12714.pdf","27-CR-21-12714")</f>
        <v>27-CR-21-12714</v>
      </c>
      <c r="C132" s="1" t="n">
        <v>1</v>
      </c>
      <c r="D132" s="2" t="s">
        <v>12</v>
      </c>
      <c r="E132" s="8" t="n">
        <v>44593</v>
      </c>
      <c r="F132" s="2" t="s">
        <v>19</v>
      </c>
      <c r="G132" s="7" t="str">
        <f aca="false">HYPERLINK("https://mncourtfraud.com/file/MCRO_27-CR-21-12714_Findings and Order_2022-02-01_20251126181711.pdf","MCRO_27-CR-21-12714_Findings and Order_2022-02-01_20251126181711.pdf")</f>
        <v>MCRO_27-CR-21-12714_Findings and Order_2022-02-01_20251126181711.pdf</v>
      </c>
      <c r="H132" s="1" t="s">
        <v>1362</v>
      </c>
      <c r="I132" s="1" t="n">
        <v>20251126181711</v>
      </c>
      <c r="J132" s="1" t="s">
        <v>3101</v>
      </c>
      <c r="K132" s="9" t="s">
        <v>2519</v>
      </c>
      <c r="L132" s="2" t="s">
        <v>2291</v>
      </c>
    </row>
    <row r="133" customFormat="false" ht="18.7" hidden="false" customHeight="true" outlineLevel="0" collapsed="false">
      <c r="A133" s="1" t="n">
        <v>132</v>
      </c>
      <c r="B133" s="7" t="str">
        <f aca="false">HYPERLINK("https://mncourtfraud.com/file/27-CR-21-12714.pdf","27-CR-21-12714")</f>
        <v>27-CR-21-12714</v>
      </c>
      <c r="C133" s="1" t="n">
        <v>1</v>
      </c>
      <c r="D133" s="2" t="s">
        <v>12</v>
      </c>
      <c r="E133" s="8" t="n">
        <v>44692</v>
      </c>
      <c r="F133" s="2" t="s">
        <v>15</v>
      </c>
      <c r="G133" s="7" t="str">
        <f aca="false">HYPERLINK("https://mncourtfraud.com/file/MCRO_27-CR-21-12714_Order-Evaluation for Competency to Proceed (Rule 20.01)_2022-05-11_20251126181834.pdf","MCRO_27-CR-21-12714_Order-Evaluation for Competency to Proceed (Rule 20.01)_2022-05-11_20251126181834.pdf")</f>
        <v>MCRO_27-CR-21-12714_Order-Evaluation for Competency to Proceed (Rule 20.01)_2022-05-11_20251126181834.pdf</v>
      </c>
      <c r="H133" s="1" t="s">
        <v>1362</v>
      </c>
      <c r="I133" s="1" t="n">
        <v>20251126181834</v>
      </c>
      <c r="J133" s="1" t="s">
        <v>3102</v>
      </c>
      <c r="K133" s="9" t="s">
        <v>2531</v>
      </c>
      <c r="L133" s="2" t="s">
        <v>2532</v>
      </c>
    </row>
    <row r="134" customFormat="false" ht="18.7" hidden="false" customHeight="true" outlineLevel="0" collapsed="false">
      <c r="A134" s="1" t="n">
        <v>133</v>
      </c>
      <c r="B134" s="7" t="str">
        <f aca="false">HYPERLINK("https://mncourtfraud.com/file/27-CR-21-12714.pdf","27-CR-21-12714")</f>
        <v>27-CR-21-12714</v>
      </c>
      <c r="C134" s="1" t="n">
        <v>1</v>
      </c>
      <c r="D134" s="2" t="s">
        <v>12</v>
      </c>
      <c r="E134" s="8" t="n">
        <v>44895</v>
      </c>
      <c r="F134" s="2" t="s">
        <v>15</v>
      </c>
      <c r="G134" s="7" t="str">
        <f aca="false">HYPERLINK("https://mncourtfraud.com/file/MCRO_27-CR-21-12714_Order-Evaluation for Competency to Proceed (Rule 20.01)_2022-11-30_20251126181847.pdf","MCRO_27-CR-21-12714_Order-Evaluation for Competency to Proceed (Rule 20.01)_2022-11-30_20251126181847.pdf")</f>
        <v>MCRO_27-CR-21-12714_Order-Evaluation for Competency to Proceed (Rule 20.01)_2022-11-30_20251126181847.pdf</v>
      </c>
      <c r="H134" s="1" t="s">
        <v>1362</v>
      </c>
      <c r="I134" s="1" t="n">
        <v>20251126181847</v>
      </c>
      <c r="J134" s="1" t="s">
        <v>3103</v>
      </c>
      <c r="K134" s="9" t="s">
        <v>2533</v>
      </c>
      <c r="L134" s="2" t="s">
        <v>2336</v>
      </c>
    </row>
    <row r="135" customFormat="false" ht="18.7" hidden="false" customHeight="true" outlineLevel="0" collapsed="false">
      <c r="A135" s="1" t="n">
        <v>134</v>
      </c>
      <c r="B135" s="7" t="str">
        <f aca="false">HYPERLINK("https://mncourtfraud.com/file/27-CR-21-12714.pdf","27-CR-21-12714")</f>
        <v>27-CR-21-12714</v>
      </c>
      <c r="C135" s="1" t="n">
        <v>1</v>
      </c>
      <c r="D135" s="2" t="s">
        <v>12</v>
      </c>
      <c r="E135" s="8" t="n">
        <v>45048</v>
      </c>
      <c r="F135" s="2" t="s">
        <v>80</v>
      </c>
      <c r="G135" s="7" t="str">
        <f aca="false">HYPERLINK("https://mncourtfraud.com/file/MCRO_27-CR-21-12714_Finding of Incompetency and Order_2023-05-02_20251126181658.pdf","MCRO_27-CR-21-12714_Finding of Incompetency and Order_2023-05-02_20251126181658.pdf")</f>
        <v>MCRO_27-CR-21-12714_Finding of Incompetency and Order_2023-05-02_20251126181658.pdf</v>
      </c>
      <c r="H135" s="1" t="s">
        <v>1362</v>
      </c>
      <c r="I135" s="1" t="n">
        <v>20251126181658</v>
      </c>
      <c r="J135" s="1" t="s">
        <v>3104</v>
      </c>
      <c r="K135" s="9" t="s">
        <v>2516</v>
      </c>
      <c r="L135" s="2" t="s">
        <v>2419</v>
      </c>
    </row>
    <row r="136" customFormat="false" ht="18.7" hidden="false" customHeight="true" outlineLevel="0" collapsed="false">
      <c r="A136" s="1" t="n">
        <v>135</v>
      </c>
      <c r="B136" s="7" t="str">
        <f aca="false">HYPERLINK("https://mncourtfraud.com/file/27-CR-21-12714.pdf","27-CR-21-12714")</f>
        <v>27-CR-21-12714</v>
      </c>
      <c r="C136" s="1" t="n">
        <v>1</v>
      </c>
      <c r="D136" s="2" t="s">
        <v>12</v>
      </c>
      <c r="E136" s="8" t="n">
        <v>45160</v>
      </c>
      <c r="F136" s="2" t="s">
        <v>15</v>
      </c>
      <c r="G136" s="7" t="str">
        <f aca="false">HYPERLINK("https://mncourtfraud.com/file/MCRO_27-CR-21-12714_Order-Evaluation for Competency to Proceed (Rule 20.01)_2023-08-22_20251126181856.pdf","MCRO_27-CR-21-12714_Order-Evaluation for Competency to Proceed (Rule 20.01)_2023-08-22_20251126181856.pdf")</f>
        <v>MCRO_27-CR-21-12714_Order-Evaluation for Competency to Proceed (Rule 20.01)_2023-08-22_20251126181856.pdf</v>
      </c>
      <c r="H136" s="1" t="s">
        <v>1362</v>
      </c>
      <c r="I136" s="1" t="n">
        <v>20251126181856</v>
      </c>
      <c r="J136" s="1" t="s">
        <v>3105</v>
      </c>
      <c r="K136" s="9" t="s">
        <v>2534</v>
      </c>
      <c r="L136" s="2" t="s">
        <v>2535</v>
      </c>
    </row>
    <row r="137" customFormat="false" ht="18.7" hidden="false" customHeight="true" outlineLevel="0" collapsed="false">
      <c r="A137" s="1" t="n">
        <v>136</v>
      </c>
      <c r="B137" s="7" t="str">
        <f aca="false">HYPERLINK("https://mncourtfraud.com/file/27-CR-21-12714.pdf","27-CR-21-12714")</f>
        <v>27-CR-21-12714</v>
      </c>
      <c r="C137" s="1" t="n">
        <v>1</v>
      </c>
      <c r="D137" s="2" t="s">
        <v>12</v>
      </c>
      <c r="E137" s="8" t="n">
        <v>45412</v>
      </c>
      <c r="F137" s="2" t="s">
        <v>24</v>
      </c>
      <c r="G137" s="7" t="str">
        <f aca="false">HYPERLINK("https://mncourtfraud.com/file/MCRO_27-CR-21-12714_Order for Conditional Release_2024-04-30_20251126181738.pdf","MCRO_27-CR-21-12714_Order for Conditional Release_2024-04-30_20251126181738.pdf")</f>
        <v>MCRO_27-CR-21-12714_Order for Conditional Release_2024-04-30_20251126181738.pdf</v>
      </c>
      <c r="H137" s="1" t="s">
        <v>1362</v>
      </c>
      <c r="I137" s="1" t="n">
        <v>20251126181738</v>
      </c>
      <c r="J137" s="1" t="s">
        <v>3106</v>
      </c>
      <c r="K137" s="9" t="s">
        <v>2523</v>
      </c>
      <c r="L137" s="2" t="s">
        <v>2524</v>
      </c>
    </row>
    <row r="138" customFormat="false" ht="18.7" hidden="false" customHeight="true" outlineLevel="0" collapsed="false">
      <c r="A138" s="1" t="n">
        <v>137</v>
      </c>
      <c r="B138" s="7" t="str">
        <f aca="false">HYPERLINK("https://mncourtfraud.com/file/27-CR-21-12714.pdf","27-CR-21-12714")</f>
        <v>27-CR-21-12714</v>
      </c>
      <c r="C138" s="1" t="n">
        <v>1</v>
      </c>
      <c r="D138" s="2" t="s">
        <v>12</v>
      </c>
      <c r="E138" s="8" t="n">
        <v>45412</v>
      </c>
      <c r="F138" s="2" t="s">
        <v>15</v>
      </c>
      <c r="G138" s="7" t="str">
        <f aca="false">HYPERLINK("https://mncourtfraud.com/file/MCRO_27-CR-21-12714_Order-Evaluation for Competency to Proceed (Rule 20.01)_2024-04-30_20251126181906.pdf","MCRO_27-CR-21-12714_Order-Evaluation for Competency to Proceed (Rule 20.01)_2024-04-30_20251126181906.pdf")</f>
        <v>MCRO_27-CR-21-12714_Order-Evaluation for Competency to Proceed (Rule 20.01)_2024-04-30_20251126181906.pdf</v>
      </c>
      <c r="H138" s="1" t="s">
        <v>1362</v>
      </c>
      <c r="I138" s="1" t="n">
        <v>20251126181906</v>
      </c>
      <c r="J138" s="1" t="s">
        <v>3107</v>
      </c>
      <c r="K138" s="9" t="s">
        <v>2536</v>
      </c>
      <c r="L138" s="2" t="s">
        <v>2415</v>
      </c>
    </row>
    <row r="139" customFormat="false" ht="18.7" hidden="false" customHeight="true" outlineLevel="0" collapsed="false">
      <c r="A139" s="1" t="n">
        <v>138</v>
      </c>
      <c r="B139" s="7" t="str">
        <f aca="false">HYPERLINK("https://mncourtfraud.com/file/27-CR-21-12749.pdf","27-CR-21-12749")</f>
        <v>27-CR-21-12749</v>
      </c>
      <c r="C139" s="1" t="n">
        <v>1</v>
      </c>
      <c r="D139" s="2" t="s">
        <v>12</v>
      </c>
      <c r="E139" s="8" t="n">
        <v>44396</v>
      </c>
      <c r="F139" s="2" t="s">
        <v>15</v>
      </c>
      <c r="G139" s="7" t="str">
        <f aca="false">HYPERLINK("https://mncourtfraud.com/file/MCRO_27-CR-21-12749_Order-Evaluation for Competency to Proceed (Rule 20.01)_2021-07-19_20251126182123.pdf","MCRO_27-CR-21-12749_Order-Evaluation for Competency to Proceed (Rule 20.01)_2021-07-19_20251126182123.pdf")</f>
        <v>MCRO_27-CR-21-12749_Order-Evaluation for Competency to Proceed (Rule 20.01)_2021-07-19_20251126182123.pdf</v>
      </c>
      <c r="H139" s="1" t="s">
        <v>1362</v>
      </c>
      <c r="I139" s="1" t="n">
        <v>20251126182123</v>
      </c>
      <c r="J139" s="1" t="s">
        <v>3108</v>
      </c>
      <c r="K139" s="9" t="s">
        <v>2549</v>
      </c>
      <c r="L139" s="2" t="s">
        <v>2550</v>
      </c>
    </row>
    <row r="140" customFormat="false" ht="18.7" hidden="false" customHeight="true" outlineLevel="0" collapsed="false">
      <c r="A140" s="1" t="n">
        <v>139</v>
      </c>
      <c r="B140" s="7" t="str">
        <f aca="false">HYPERLINK("https://mncourtfraud.com/file/27-CR-21-12749.pdf","27-CR-21-12749")</f>
        <v>27-CR-21-12749</v>
      </c>
      <c r="C140" s="1" t="n">
        <v>1</v>
      </c>
      <c r="D140" s="2" t="s">
        <v>12</v>
      </c>
      <c r="E140" s="8" t="n">
        <v>44405</v>
      </c>
      <c r="F140" s="2" t="s">
        <v>145</v>
      </c>
      <c r="G140" s="7" t="str">
        <f aca="false">HYPERLINK("https://mncourtfraud.com/file/MCRO_27-CR-21-12749_Demand or Request for Discovery_2021-07-28_20251126181936.pdf","MCRO_27-CR-21-12749_Demand or Request for Discovery_2021-07-28_20251126181936.pdf")</f>
        <v>MCRO_27-CR-21-12749_Demand or Request for Discovery_2021-07-28_20251126181936.pdf</v>
      </c>
      <c r="H140" s="1" t="s">
        <v>1362</v>
      </c>
      <c r="I140" s="1" t="n">
        <v>20251126181936</v>
      </c>
      <c r="J140" s="1" t="s">
        <v>3109</v>
      </c>
      <c r="K140" s="9" t="s">
        <v>2537</v>
      </c>
      <c r="L140" s="2" t="s">
        <v>2538</v>
      </c>
    </row>
    <row r="141" customFormat="false" ht="18.7" hidden="false" customHeight="true" outlineLevel="0" collapsed="false">
      <c r="A141" s="1" t="n">
        <v>140</v>
      </c>
      <c r="B141" s="7" t="str">
        <f aca="false">HYPERLINK("https://mncourtfraud.com/file/27-CR-21-12749.pdf","27-CR-21-12749")</f>
        <v>27-CR-21-12749</v>
      </c>
      <c r="C141" s="1" t="n">
        <v>1</v>
      </c>
      <c r="D141" s="2" t="s">
        <v>12</v>
      </c>
      <c r="E141" s="8" t="n">
        <v>44439</v>
      </c>
      <c r="F141" s="2" t="s">
        <v>19</v>
      </c>
      <c r="G141" s="7" t="str">
        <f aca="false">HYPERLINK("https://mncourtfraud.com/file/MCRO_27-CR-21-12749_Findings and Order_2021-08-31_20251126182009.pdf","MCRO_27-CR-21-12749_Findings and Order_2021-08-31_20251126182009.pdf")</f>
        <v>MCRO_27-CR-21-12749_Findings and Order_2021-08-31_20251126182009.pdf</v>
      </c>
      <c r="H141" s="1" t="s">
        <v>1362</v>
      </c>
      <c r="I141" s="1" t="n">
        <v>20251126182009</v>
      </c>
      <c r="J141" s="1" t="s">
        <v>3110</v>
      </c>
      <c r="K141" s="9" t="s">
        <v>2541</v>
      </c>
      <c r="L141" s="2" t="s">
        <v>2542</v>
      </c>
    </row>
    <row r="142" customFormat="false" ht="18.7" hidden="false" customHeight="true" outlineLevel="0" collapsed="false">
      <c r="A142" s="1" t="n">
        <v>141</v>
      </c>
      <c r="B142" s="7" t="str">
        <f aca="false">HYPERLINK("https://mncourtfraud.com/file/27-CR-21-12749.pdf","27-CR-21-12749")</f>
        <v>27-CR-21-12749</v>
      </c>
      <c r="C142" s="1" t="n">
        <v>1</v>
      </c>
      <c r="D142" s="2" t="s">
        <v>12</v>
      </c>
      <c r="E142" s="8" t="n">
        <v>44460</v>
      </c>
      <c r="F142" s="2" t="s">
        <v>24</v>
      </c>
      <c r="G142" s="7" t="str">
        <f aca="false">HYPERLINK("https://mncourtfraud.com/file/MCRO_27-CR-21-12749_Order for Conditional Release_2021-09-21_20251126182103.pdf","MCRO_27-CR-21-12749_Order for Conditional Release_2021-09-21_20251126182103.pdf")</f>
        <v>MCRO_27-CR-21-12749_Order for Conditional Release_2021-09-21_20251126182103.pdf</v>
      </c>
      <c r="H142" s="1" t="s">
        <v>1362</v>
      </c>
      <c r="I142" s="1" t="n">
        <v>20251126182103</v>
      </c>
      <c r="J142" s="1" t="s">
        <v>3111</v>
      </c>
      <c r="K142" s="9" t="s">
        <v>2546</v>
      </c>
      <c r="L142" s="2" t="s">
        <v>2293</v>
      </c>
    </row>
    <row r="143" customFormat="false" ht="18.7" hidden="false" customHeight="true" outlineLevel="0" collapsed="false">
      <c r="A143" s="1" t="n">
        <v>142</v>
      </c>
      <c r="B143" s="7" t="str">
        <f aca="false">HYPERLINK("https://mncourtfraud.com/file/27-CR-21-12749.pdf","27-CR-21-12749")</f>
        <v>27-CR-21-12749</v>
      </c>
      <c r="C143" s="1" t="n">
        <v>1</v>
      </c>
      <c r="D143" s="2" t="s">
        <v>12</v>
      </c>
      <c r="E143" s="8" t="n">
        <v>44468</v>
      </c>
      <c r="F143" s="2" t="s">
        <v>24</v>
      </c>
      <c r="G143" s="7" t="str">
        <f aca="false">HYPERLINK("https://mncourtfraud.com/file/MCRO_27-CR-21-12749_Order for Conditional Release_2021-09-29_20251126182110.pdf","MCRO_27-CR-21-12749_Order for Conditional Release_2021-09-29_20251126182110.pdf")</f>
        <v>MCRO_27-CR-21-12749_Order for Conditional Release_2021-09-29_20251126182110.pdf</v>
      </c>
      <c r="H143" s="1" t="s">
        <v>1362</v>
      </c>
      <c r="I143" s="1" t="n">
        <v>20251126182110</v>
      </c>
      <c r="J143" s="1" t="s">
        <v>3112</v>
      </c>
      <c r="K143" s="9" t="s">
        <v>2547</v>
      </c>
      <c r="L143" s="2" t="s">
        <v>2522</v>
      </c>
    </row>
    <row r="144" customFormat="false" ht="18.7" hidden="false" customHeight="true" outlineLevel="0" collapsed="false">
      <c r="A144" s="1" t="n">
        <v>143</v>
      </c>
      <c r="B144" s="7" t="str">
        <f aca="false">HYPERLINK("https://mncourtfraud.com/file/27-CR-21-12749.pdf","27-CR-21-12749")</f>
        <v>27-CR-21-12749</v>
      </c>
      <c r="C144" s="1" t="n">
        <v>1</v>
      </c>
      <c r="D144" s="2" t="s">
        <v>12</v>
      </c>
      <c r="E144" s="8" t="n">
        <v>44543</v>
      </c>
      <c r="F144" s="2" t="s">
        <v>15</v>
      </c>
      <c r="G144" s="7" t="str">
        <f aca="false">HYPERLINK("https://mncourtfraud.com/file/MCRO_27-CR-21-12749_Order-Evaluation for Competency to Proceed (Rule 20.01)_2021-12-13_20251126182133.pdf","MCRO_27-CR-21-12749_Order-Evaluation for Competency to Proceed (Rule 20.01)_2021-12-13_20251126182133.pdf")</f>
        <v>MCRO_27-CR-21-12749_Order-Evaluation for Competency to Proceed (Rule 20.01)_2021-12-13_20251126182133.pdf</v>
      </c>
      <c r="H144" s="1" t="s">
        <v>1362</v>
      </c>
      <c r="I144" s="1" t="n">
        <v>20251126182133</v>
      </c>
      <c r="J144" s="1" t="s">
        <v>3113</v>
      </c>
      <c r="K144" s="9" t="s">
        <v>2551</v>
      </c>
      <c r="L144" s="2" t="s">
        <v>2552</v>
      </c>
    </row>
    <row r="145" customFormat="false" ht="18.7" hidden="false" customHeight="true" outlineLevel="0" collapsed="false">
      <c r="A145" s="1" t="n">
        <v>144</v>
      </c>
      <c r="B145" s="7" t="str">
        <f aca="false">HYPERLINK("https://mncourtfraud.com/file/27-CR-21-12749.pdf","27-CR-21-12749")</f>
        <v>27-CR-21-12749</v>
      </c>
      <c r="C145" s="1" t="n">
        <v>1</v>
      </c>
      <c r="D145" s="2" t="s">
        <v>12</v>
      </c>
      <c r="E145" s="8" t="n">
        <v>44558</v>
      </c>
      <c r="F145" s="2" t="s">
        <v>15</v>
      </c>
      <c r="G145" s="7" t="str">
        <f aca="false">HYPERLINK("https://mncourtfraud.com/file/MCRO_27-CR-21-12749_Order-Evaluation for Competency to Proceed (Rule 20.01)_2021-12-28_20251126182145.pdf","MCRO_27-CR-21-12749_Order-Evaluation for Competency to Proceed (Rule 20.01)_2021-12-28_20251126182145.pdf")</f>
        <v>MCRO_27-CR-21-12749_Order-Evaluation for Competency to Proceed (Rule 20.01)_2021-12-28_20251126182145.pdf</v>
      </c>
      <c r="H145" s="1" t="s">
        <v>1362</v>
      </c>
      <c r="I145" s="1" t="n">
        <v>20251126182145</v>
      </c>
      <c r="J145" s="1" t="s">
        <v>3114</v>
      </c>
      <c r="K145" s="9" t="s">
        <v>2553</v>
      </c>
      <c r="L145" s="2" t="s">
        <v>2554</v>
      </c>
    </row>
    <row r="146" customFormat="false" ht="18.7" hidden="false" customHeight="true" outlineLevel="0" collapsed="false">
      <c r="A146" s="1" t="n">
        <v>145</v>
      </c>
      <c r="B146" s="7" t="str">
        <f aca="false">HYPERLINK("https://mncourtfraud.com/file/27-CR-21-12749.pdf","27-CR-21-12749")</f>
        <v>27-CR-21-12749</v>
      </c>
      <c r="C146" s="1" t="n">
        <v>1</v>
      </c>
      <c r="D146" s="2" t="s">
        <v>12</v>
      </c>
      <c r="E146" s="8" t="n">
        <v>44593</v>
      </c>
      <c r="F146" s="2" t="s">
        <v>19</v>
      </c>
      <c r="G146" s="7" t="str">
        <f aca="false">HYPERLINK("https://mncourtfraud.com/file/MCRO_27-CR-21-12749_Findings and Order_2022-02-01_20251126181958.pdf","MCRO_27-CR-21-12749_Findings and Order_2022-02-01_20251126181958.pdf")</f>
        <v>MCRO_27-CR-21-12749_Findings and Order_2022-02-01_20251126181958.pdf</v>
      </c>
      <c r="H146" s="1" t="s">
        <v>1362</v>
      </c>
      <c r="I146" s="1" t="n">
        <v>20251126181958</v>
      </c>
      <c r="J146" s="1" t="s">
        <v>3115</v>
      </c>
      <c r="K146" s="9" t="s">
        <v>2543</v>
      </c>
      <c r="L146" s="2" t="s">
        <v>2425</v>
      </c>
    </row>
    <row r="147" customFormat="false" ht="18.7" hidden="false" customHeight="true" outlineLevel="0" collapsed="false">
      <c r="A147" s="1" t="n">
        <v>146</v>
      </c>
      <c r="B147" s="7" t="str">
        <f aca="false">HYPERLINK("https://mncourtfraud.com/file/27-CR-21-12749.pdf","27-CR-21-12749")</f>
        <v>27-CR-21-12749</v>
      </c>
      <c r="C147" s="1" t="n">
        <v>1</v>
      </c>
      <c r="D147" s="2" t="s">
        <v>12</v>
      </c>
      <c r="E147" s="8" t="n">
        <v>44692</v>
      </c>
      <c r="F147" s="2" t="s">
        <v>15</v>
      </c>
      <c r="G147" s="7" t="str">
        <f aca="false">HYPERLINK("https://mncourtfraud.com/file/MCRO_27-CR-21-12749_Order-Evaluation for Competency to Proceed (Rule 20.01)_2022-05-11_20251126182155.pdf","MCRO_27-CR-21-12749_Order-Evaluation for Competency to Proceed (Rule 20.01)_2022-05-11_20251126182155.pdf")</f>
        <v>MCRO_27-CR-21-12749_Order-Evaluation for Competency to Proceed (Rule 20.01)_2022-05-11_20251126182155.pdf</v>
      </c>
      <c r="H147" s="1" t="s">
        <v>1362</v>
      </c>
      <c r="I147" s="1" t="n">
        <v>20251126182155</v>
      </c>
      <c r="J147" s="1" t="s">
        <v>3116</v>
      </c>
      <c r="K147" s="9" t="s">
        <v>2555</v>
      </c>
      <c r="L147" s="2" t="s">
        <v>2556</v>
      </c>
    </row>
    <row r="148" customFormat="false" ht="18.7" hidden="false" customHeight="true" outlineLevel="0" collapsed="false">
      <c r="A148" s="1" t="n">
        <v>147</v>
      </c>
      <c r="B148" s="7" t="str">
        <f aca="false">HYPERLINK("https://mncourtfraud.com/file/27-CR-21-12749.pdf","27-CR-21-12749")</f>
        <v>27-CR-21-12749</v>
      </c>
      <c r="C148" s="1" t="n">
        <v>1</v>
      </c>
      <c r="D148" s="2" t="s">
        <v>12</v>
      </c>
      <c r="E148" s="8" t="n">
        <v>44895</v>
      </c>
      <c r="F148" s="2" t="s">
        <v>15</v>
      </c>
      <c r="G148" s="7" t="str">
        <f aca="false">HYPERLINK("https://mncourtfraud.com/file/MCRO_27-CR-21-12749_Order-Evaluation for Competency to Proceed (Rule 20.01)_2022-11-30_20251126182203.pdf","MCRO_27-CR-21-12749_Order-Evaluation for Competency to Proceed (Rule 20.01)_2022-11-30_20251126182203.pdf")</f>
        <v>MCRO_27-CR-21-12749_Order-Evaluation for Competency to Proceed (Rule 20.01)_2022-11-30_20251126182203.pdf</v>
      </c>
      <c r="H148" s="1" t="s">
        <v>1362</v>
      </c>
      <c r="I148" s="1" t="n">
        <v>20251126182203</v>
      </c>
      <c r="J148" s="1" t="s">
        <v>3117</v>
      </c>
      <c r="K148" s="9" t="s">
        <v>2557</v>
      </c>
      <c r="L148" s="2" t="s">
        <v>2558</v>
      </c>
    </row>
    <row r="149" customFormat="false" ht="18.7" hidden="false" customHeight="true" outlineLevel="0" collapsed="false">
      <c r="A149" s="1" t="n">
        <v>148</v>
      </c>
      <c r="B149" s="7" t="str">
        <f aca="false">HYPERLINK("https://mncourtfraud.com/file/27-CR-21-12749.pdf","27-CR-21-12749")</f>
        <v>27-CR-21-12749</v>
      </c>
      <c r="C149" s="1" t="n">
        <v>1</v>
      </c>
      <c r="D149" s="2" t="s">
        <v>12</v>
      </c>
      <c r="E149" s="8" t="n">
        <v>45048</v>
      </c>
      <c r="F149" s="2" t="s">
        <v>80</v>
      </c>
      <c r="G149" s="7" t="str">
        <f aca="false">HYPERLINK("https://mncourtfraud.com/file/MCRO_27-CR-21-12749_Finding of Incompetency and Order_2023-05-02_20251126181946.pdf","MCRO_27-CR-21-12749_Finding of Incompetency and Order_2023-05-02_20251126181946.pdf")</f>
        <v>MCRO_27-CR-21-12749_Finding of Incompetency and Order_2023-05-02_20251126181946.pdf</v>
      </c>
      <c r="H149" s="1" t="s">
        <v>1362</v>
      </c>
      <c r="I149" s="1" t="n">
        <v>20251126181946</v>
      </c>
      <c r="J149" s="1" t="s">
        <v>3118</v>
      </c>
      <c r="K149" s="9" t="s">
        <v>2539</v>
      </c>
      <c r="L149" s="2" t="s">
        <v>2540</v>
      </c>
    </row>
    <row r="150" customFormat="false" ht="18.7" hidden="false" customHeight="true" outlineLevel="0" collapsed="false">
      <c r="A150" s="1" t="n">
        <v>149</v>
      </c>
      <c r="B150" s="7" t="str">
        <f aca="false">HYPERLINK("https://mncourtfraud.com/file/27-CR-21-12749.pdf","27-CR-21-12749")</f>
        <v>27-CR-21-12749</v>
      </c>
      <c r="C150" s="1" t="n">
        <v>1</v>
      </c>
      <c r="D150" s="2" t="s">
        <v>12</v>
      </c>
      <c r="E150" s="8" t="n">
        <v>45093</v>
      </c>
      <c r="F150" s="2" t="s">
        <v>82</v>
      </c>
      <c r="G150" s="7" t="str">
        <f aca="false">HYPERLINK("https://mncourtfraud.com/file/MCRO_27-CR-21-12749_Notice of Case Reassignment_2023-06-16_20251126182023.pdf","MCRO_27-CR-21-12749_Notice of Case Reassignment_2023-06-16_20251126182023.pdf")</f>
        <v>MCRO_27-CR-21-12749_Notice of Case Reassignment_2023-06-16_20251126182023.pdf</v>
      </c>
      <c r="H150" s="1" t="s">
        <v>1362</v>
      </c>
      <c r="I150" s="1" t="n">
        <v>20251126182023</v>
      </c>
      <c r="J150" s="1" t="s">
        <v>3119</v>
      </c>
      <c r="K150" s="9" t="s">
        <v>2544</v>
      </c>
      <c r="L150" s="2" t="s">
        <v>2545</v>
      </c>
    </row>
    <row r="151" customFormat="false" ht="18.7" hidden="false" customHeight="true" outlineLevel="0" collapsed="false">
      <c r="A151" s="1" t="n">
        <v>150</v>
      </c>
      <c r="B151" s="7" t="str">
        <f aca="false">HYPERLINK("https://mncourtfraud.com/file/27-CR-21-12749.pdf","27-CR-21-12749")</f>
        <v>27-CR-21-12749</v>
      </c>
      <c r="C151" s="1" t="n">
        <v>1</v>
      </c>
      <c r="D151" s="2" t="s">
        <v>12</v>
      </c>
      <c r="E151" s="8" t="n">
        <v>45160</v>
      </c>
      <c r="F151" s="2" t="s">
        <v>15</v>
      </c>
      <c r="G151" s="7" t="str">
        <f aca="false">HYPERLINK("https://mncourtfraud.com/file/MCRO_27-CR-21-12749_Order-Evaluation for Competency to Proceed (Rule 20.01)_2023-08-22_20251126182213.pdf","MCRO_27-CR-21-12749_Order-Evaluation for Competency to Proceed (Rule 20.01)_2023-08-22_20251126182213.pdf")</f>
        <v>MCRO_27-CR-21-12749_Order-Evaluation for Competency to Proceed (Rule 20.01)_2023-08-22_20251126182213.pdf</v>
      </c>
      <c r="H151" s="1" t="s">
        <v>1362</v>
      </c>
      <c r="I151" s="1" t="n">
        <v>20251126182213</v>
      </c>
      <c r="J151" s="1" t="s">
        <v>3120</v>
      </c>
      <c r="K151" s="9" t="s">
        <v>2559</v>
      </c>
      <c r="L151" s="2" t="s">
        <v>2471</v>
      </c>
    </row>
    <row r="152" customFormat="false" ht="18.7" hidden="false" customHeight="true" outlineLevel="0" collapsed="false">
      <c r="A152" s="1" t="n">
        <v>151</v>
      </c>
      <c r="B152" s="7" t="str">
        <f aca="false">HYPERLINK("https://mncourtfraud.com/file/27-CR-21-12749.pdf","27-CR-21-12749")</f>
        <v>27-CR-21-12749</v>
      </c>
      <c r="C152" s="1" t="n">
        <v>1</v>
      </c>
      <c r="D152" s="2" t="s">
        <v>12</v>
      </c>
      <c r="E152" s="8" t="n">
        <v>45412</v>
      </c>
      <c r="F152" s="2" t="s">
        <v>24</v>
      </c>
      <c r="G152" s="7" t="str">
        <f aca="false">HYPERLINK("https://mncourtfraud.com/file/MCRO_27-CR-21-12749_Order for Conditional Release_2024-04-30_20251126182051.pdf","MCRO_27-CR-21-12749_Order for Conditional Release_2024-04-30_20251126182051.pdf")</f>
        <v>MCRO_27-CR-21-12749_Order for Conditional Release_2024-04-30_20251126182051.pdf</v>
      </c>
      <c r="H152" s="1" t="s">
        <v>1362</v>
      </c>
      <c r="I152" s="1" t="n">
        <v>20251126182051</v>
      </c>
      <c r="J152" s="1" t="s">
        <v>3121</v>
      </c>
      <c r="K152" s="9" t="s">
        <v>2548</v>
      </c>
      <c r="L152" s="2" t="s">
        <v>2400</v>
      </c>
    </row>
    <row r="153" customFormat="false" ht="18.7" hidden="false" customHeight="true" outlineLevel="0" collapsed="false">
      <c r="A153" s="1" t="n">
        <v>152</v>
      </c>
      <c r="B153" s="7" t="str">
        <f aca="false">HYPERLINK("https://mncourtfraud.com/file/27-CR-21-12749.pdf","27-CR-21-12749")</f>
        <v>27-CR-21-12749</v>
      </c>
      <c r="C153" s="1" t="n">
        <v>1</v>
      </c>
      <c r="D153" s="2" t="s">
        <v>12</v>
      </c>
      <c r="E153" s="8" t="n">
        <v>45412</v>
      </c>
      <c r="F153" s="2" t="s">
        <v>15</v>
      </c>
      <c r="G153" s="7" t="str">
        <f aca="false">HYPERLINK("https://mncourtfraud.com/file/MCRO_27-CR-21-12749_Order-Evaluation for Competency to Proceed (Rule 20.01)_2024-04-30_20251126182222.pdf","MCRO_27-CR-21-12749_Order-Evaluation for Competency to Proceed (Rule 20.01)_2024-04-30_20251126182222.pdf")</f>
        <v>MCRO_27-CR-21-12749_Order-Evaluation for Competency to Proceed (Rule 20.01)_2024-04-30_20251126182222.pdf</v>
      </c>
      <c r="H153" s="1" t="s">
        <v>1362</v>
      </c>
      <c r="I153" s="1" t="n">
        <v>20251126182222</v>
      </c>
      <c r="J153" s="1" t="s">
        <v>3122</v>
      </c>
      <c r="K153" s="9" t="s">
        <v>2560</v>
      </c>
      <c r="L153" s="2" t="s">
        <v>2561</v>
      </c>
    </row>
    <row r="154" customFormat="false" ht="18.7" hidden="false" customHeight="true" outlineLevel="0" collapsed="false">
      <c r="A154" s="1" t="n">
        <v>153</v>
      </c>
      <c r="B154" s="7" t="str">
        <f aca="false">HYPERLINK("https://mncourtfraud.com/file/27-CR-21-12762.pdf","27-CR-21-12762")</f>
        <v>27-CR-21-12762</v>
      </c>
      <c r="C154" s="1" t="n">
        <v>1</v>
      </c>
      <c r="D154" s="2" t="s">
        <v>12</v>
      </c>
      <c r="E154" s="8" t="n">
        <v>44396</v>
      </c>
      <c r="F154" s="2" t="s">
        <v>15</v>
      </c>
      <c r="G154" s="7" t="str">
        <f aca="false">HYPERLINK("https://mncourtfraud.com/file/MCRO_27-CR-21-12762_Order-Evaluation for Competency to Proceed (Rule 20.01)_2021-07-19_20251126182430.pdf","MCRO_27-CR-21-12762_Order-Evaluation for Competency to Proceed (Rule 20.01)_2021-07-19_20251126182430.pdf")</f>
        <v>MCRO_27-CR-21-12762_Order-Evaluation for Competency to Proceed (Rule 20.01)_2021-07-19_20251126182430.pdf</v>
      </c>
      <c r="H154" s="1" t="s">
        <v>1362</v>
      </c>
      <c r="I154" s="1" t="n">
        <v>20251126182430</v>
      </c>
      <c r="J154" s="1" t="s">
        <v>3123</v>
      </c>
      <c r="K154" s="9" t="s">
        <v>2575</v>
      </c>
      <c r="L154" s="2" t="s">
        <v>2576</v>
      </c>
    </row>
    <row r="155" customFormat="false" ht="18.7" hidden="false" customHeight="true" outlineLevel="0" collapsed="false">
      <c r="A155" s="1" t="n">
        <v>154</v>
      </c>
      <c r="B155" s="7" t="str">
        <f aca="false">HYPERLINK("https://mncourtfraud.com/file/27-CR-21-12762.pdf","27-CR-21-12762")</f>
        <v>27-CR-21-12762</v>
      </c>
      <c r="C155" s="1" t="n">
        <v>1</v>
      </c>
      <c r="D155" s="2" t="s">
        <v>12</v>
      </c>
      <c r="E155" s="8" t="n">
        <v>44405</v>
      </c>
      <c r="F155" s="2" t="s">
        <v>145</v>
      </c>
      <c r="G155" s="7" t="str">
        <f aca="false">HYPERLINK("https://mncourtfraud.com/file/MCRO_27-CR-21-12762_Demand or Request for Discovery_2021-07-28_20251126182249.pdf","MCRO_27-CR-21-12762_Demand or Request for Discovery_2021-07-28_20251126182249.pdf")</f>
        <v>MCRO_27-CR-21-12762_Demand or Request for Discovery_2021-07-28_20251126182249.pdf</v>
      </c>
      <c r="H155" s="1" t="s">
        <v>1362</v>
      </c>
      <c r="I155" s="1" t="n">
        <v>20251126182249</v>
      </c>
      <c r="J155" s="1" t="s">
        <v>3124</v>
      </c>
      <c r="K155" s="9" t="s">
        <v>2562</v>
      </c>
      <c r="L155" s="2" t="s">
        <v>2563</v>
      </c>
    </row>
    <row r="156" customFormat="false" ht="18.7" hidden="false" customHeight="true" outlineLevel="0" collapsed="false">
      <c r="A156" s="1" t="n">
        <v>155</v>
      </c>
      <c r="B156" s="7" t="str">
        <f aca="false">HYPERLINK("https://mncourtfraud.com/file/27-CR-21-12762.pdf","27-CR-21-12762")</f>
        <v>27-CR-21-12762</v>
      </c>
      <c r="C156" s="1" t="n">
        <v>1</v>
      </c>
      <c r="D156" s="2" t="s">
        <v>12</v>
      </c>
      <c r="E156" s="8" t="n">
        <v>44439</v>
      </c>
      <c r="F156" s="2" t="s">
        <v>19</v>
      </c>
      <c r="G156" s="7" t="str">
        <f aca="false">HYPERLINK("https://mncourtfraud.com/file/MCRO_27-CR-21-12762_Findings and Order_2021-08-31_20251126182327.pdf","MCRO_27-CR-21-12762_Findings and Order_2021-08-31_20251126182327.pdf")</f>
        <v>MCRO_27-CR-21-12762_Findings and Order_2021-08-31_20251126182327.pdf</v>
      </c>
      <c r="H156" s="1" t="s">
        <v>1362</v>
      </c>
      <c r="I156" s="1" t="n">
        <v>20251126182327</v>
      </c>
      <c r="J156" s="1" t="s">
        <v>3125</v>
      </c>
      <c r="K156" s="9" t="s">
        <v>2566</v>
      </c>
      <c r="L156" s="2" t="s">
        <v>2542</v>
      </c>
    </row>
    <row r="157" customFormat="false" ht="18.7" hidden="false" customHeight="true" outlineLevel="0" collapsed="false">
      <c r="A157" s="1" t="n">
        <v>156</v>
      </c>
      <c r="B157" s="7" t="str">
        <f aca="false">HYPERLINK("https://mncourtfraud.com/file/27-CR-21-12762.pdf","27-CR-21-12762")</f>
        <v>27-CR-21-12762</v>
      </c>
      <c r="C157" s="1" t="n">
        <v>1</v>
      </c>
      <c r="D157" s="2" t="s">
        <v>12</v>
      </c>
      <c r="E157" s="8" t="n">
        <v>44460</v>
      </c>
      <c r="F157" s="2" t="s">
        <v>24</v>
      </c>
      <c r="G157" s="7" t="str">
        <f aca="false">HYPERLINK("https://mncourtfraud.com/file/MCRO_27-CR-21-12762_Order for Conditional Release_2021-09-21_20251126182412.pdf","MCRO_27-CR-21-12762_Order for Conditional Release_2021-09-21_20251126182412.pdf")</f>
        <v>MCRO_27-CR-21-12762_Order for Conditional Release_2021-09-21_20251126182412.pdf</v>
      </c>
      <c r="H157" s="1" t="s">
        <v>1362</v>
      </c>
      <c r="I157" s="1" t="n">
        <v>20251126182412</v>
      </c>
      <c r="J157" s="1" t="s">
        <v>3126</v>
      </c>
      <c r="K157" s="9" t="s">
        <v>2570</v>
      </c>
      <c r="L157" s="2" t="s">
        <v>2321</v>
      </c>
    </row>
    <row r="158" customFormat="false" ht="18.7" hidden="false" customHeight="true" outlineLevel="0" collapsed="false">
      <c r="A158" s="1" t="n">
        <v>157</v>
      </c>
      <c r="B158" s="7" t="str">
        <f aca="false">HYPERLINK("https://mncourtfraud.com/file/27-CR-21-12762.pdf","27-CR-21-12762")</f>
        <v>27-CR-21-12762</v>
      </c>
      <c r="C158" s="1" t="n">
        <v>1</v>
      </c>
      <c r="D158" s="2" t="s">
        <v>12</v>
      </c>
      <c r="E158" s="8" t="n">
        <v>44468</v>
      </c>
      <c r="F158" s="2" t="s">
        <v>24</v>
      </c>
      <c r="G158" s="7" t="str">
        <f aca="false">HYPERLINK("https://mncourtfraud.com/file/MCRO_27-CR-21-12762_Order for Conditional Release_2021-09-29_20251126182418.pdf","MCRO_27-CR-21-12762_Order for Conditional Release_2021-09-29_20251126182418.pdf")</f>
        <v>MCRO_27-CR-21-12762_Order for Conditional Release_2021-09-29_20251126182418.pdf</v>
      </c>
      <c r="H158" s="1" t="s">
        <v>1362</v>
      </c>
      <c r="I158" s="1" t="n">
        <v>20251126182418</v>
      </c>
      <c r="J158" s="1" t="s">
        <v>3127</v>
      </c>
      <c r="K158" s="9" t="s">
        <v>2571</v>
      </c>
      <c r="L158" s="2" t="s">
        <v>2572</v>
      </c>
    </row>
    <row r="159" customFormat="false" ht="18.7" hidden="false" customHeight="true" outlineLevel="0" collapsed="false">
      <c r="A159" s="1" t="n">
        <v>158</v>
      </c>
      <c r="B159" s="7" t="str">
        <f aca="false">HYPERLINK("https://mncourtfraud.com/file/27-CR-21-12762.pdf","27-CR-21-12762")</f>
        <v>27-CR-21-12762</v>
      </c>
      <c r="C159" s="1" t="n">
        <v>1</v>
      </c>
      <c r="D159" s="2" t="s">
        <v>12</v>
      </c>
      <c r="E159" s="8" t="n">
        <v>44543</v>
      </c>
      <c r="F159" s="2" t="s">
        <v>15</v>
      </c>
      <c r="G159" s="7" t="str">
        <f aca="false">HYPERLINK("https://mncourtfraud.com/file/MCRO_27-CR-21-12762_Order-Evaluation for Competency to Proceed (Rule 20.01)_2021-12-13_20251126182440.pdf","MCRO_27-CR-21-12762_Order-Evaluation for Competency to Proceed (Rule 20.01)_2021-12-13_20251126182440.pdf")</f>
        <v>MCRO_27-CR-21-12762_Order-Evaluation for Competency to Proceed (Rule 20.01)_2021-12-13_20251126182440.pdf</v>
      </c>
      <c r="H159" s="1" t="s">
        <v>1362</v>
      </c>
      <c r="I159" s="1" t="n">
        <v>20251126182440</v>
      </c>
      <c r="J159" s="1" t="s">
        <v>3128</v>
      </c>
      <c r="K159" s="9" t="s">
        <v>2577</v>
      </c>
      <c r="L159" s="2" t="s">
        <v>2379</v>
      </c>
    </row>
    <row r="160" customFormat="false" ht="18.7" hidden="false" customHeight="true" outlineLevel="0" collapsed="false">
      <c r="A160" s="1" t="n">
        <v>159</v>
      </c>
      <c r="B160" s="7" t="str">
        <f aca="false">HYPERLINK("https://mncourtfraud.com/file/27-CR-21-12762.pdf","27-CR-21-12762")</f>
        <v>27-CR-21-12762</v>
      </c>
      <c r="C160" s="1" t="n">
        <v>1</v>
      </c>
      <c r="D160" s="2" t="s">
        <v>12</v>
      </c>
      <c r="E160" s="8" t="n">
        <v>44558</v>
      </c>
      <c r="F160" s="2" t="s">
        <v>15</v>
      </c>
      <c r="G160" s="7" t="str">
        <f aca="false">HYPERLINK("https://mncourtfraud.com/file/MCRO_27-CR-21-12762_Order-Evaluation for Competency to Proceed (Rule 20.01)_2021-12-28_20251126182449.pdf","MCRO_27-CR-21-12762_Order-Evaluation for Competency to Proceed (Rule 20.01)_2021-12-28_20251126182449.pdf")</f>
        <v>MCRO_27-CR-21-12762_Order-Evaluation for Competency to Proceed (Rule 20.01)_2021-12-28_20251126182449.pdf</v>
      </c>
      <c r="H160" s="1" t="s">
        <v>1362</v>
      </c>
      <c r="I160" s="1" t="n">
        <v>20251126182449</v>
      </c>
      <c r="J160" s="1" t="s">
        <v>3129</v>
      </c>
      <c r="K160" s="9" t="s">
        <v>2578</v>
      </c>
      <c r="L160" s="2" t="s">
        <v>2579</v>
      </c>
    </row>
    <row r="161" customFormat="false" ht="18.7" hidden="false" customHeight="true" outlineLevel="0" collapsed="false">
      <c r="A161" s="1" t="n">
        <v>160</v>
      </c>
      <c r="B161" s="7" t="str">
        <f aca="false">HYPERLINK("https://mncourtfraud.com/file/27-CR-21-12762.pdf","27-CR-21-12762")</f>
        <v>27-CR-21-12762</v>
      </c>
      <c r="C161" s="1" t="n">
        <v>1</v>
      </c>
      <c r="D161" s="2" t="s">
        <v>12</v>
      </c>
      <c r="E161" s="8" t="n">
        <v>44593</v>
      </c>
      <c r="F161" s="2" t="s">
        <v>19</v>
      </c>
      <c r="G161" s="7" t="str">
        <f aca="false">HYPERLINK("https://mncourtfraud.com/file/MCRO_27-CR-21-12762_Findings and Order_2022-02-01_20251126182314.pdf","MCRO_27-CR-21-12762_Findings and Order_2022-02-01_20251126182314.pdf")</f>
        <v>MCRO_27-CR-21-12762_Findings and Order_2022-02-01_20251126182314.pdf</v>
      </c>
      <c r="H161" s="1" t="s">
        <v>1362</v>
      </c>
      <c r="I161" s="1" t="n">
        <v>20251126182314</v>
      </c>
      <c r="J161" s="1" t="s">
        <v>3130</v>
      </c>
      <c r="K161" s="9" t="s">
        <v>2567</v>
      </c>
      <c r="L161" s="2" t="s">
        <v>2568</v>
      </c>
    </row>
    <row r="162" customFormat="false" ht="18.7" hidden="false" customHeight="true" outlineLevel="0" collapsed="false">
      <c r="A162" s="1" t="n">
        <v>161</v>
      </c>
      <c r="B162" s="7" t="str">
        <f aca="false">HYPERLINK("https://mncourtfraud.com/file/27-CR-21-12762.pdf","27-CR-21-12762")</f>
        <v>27-CR-21-12762</v>
      </c>
      <c r="C162" s="1" t="n">
        <v>1</v>
      </c>
      <c r="D162" s="2" t="s">
        <v>12</v>
      </c>
      <c r="E162" s="8" t="n">
        <v>44692</v>
      </c>
      <c r="F162" s="2" t="s">
        <v>15</v>
      </c>
      <c r="G162" s="7" t="str">
        <f aca="false">HYPERLINK("https://mncourtfraud.com/file/MCRO_27-CR-21-12762_Order-Evaluation for Competency to Proceed (Rule 20.01)_2022-05-11_20251126182457.pdf","MCRO_27-CR-21-12762_Order-Evaluation for Competency to Proceed (Rule 20.01)_2022-05-11_20251126182457.pdf")</f>
        <v>MCRO_27-CR-21-12762_Order-Evaluation for Competency to Proceed (Rule 20.01)_2022-05-11_20251126182457.pdf</v>
      </c>
      <c r="H162" s="1" t="s">
        <v>1362</v>
      </c>
      <c r="I162" s="1" t="n">
        <v>20251126182457</v>
      </c>
      <c r="J162" s="1" t="s">
        <v>3131</v>
      </c>
      <c r="K162" s="9" t="s">
        <v>2580</v>
      </c>
      <c r="L162" s="2" t="s">
        <v>2581</v>
      </c>
    </row>
    <row r="163" customFormat="false" ht="18.7" hidden="false" customHeight="true" outlineLevel="0" collapsed="false">
      <c r="A163" s="1" t="n">
        <v>162</v>
      </c>
      <c r="B163" s="7" t="str">
        <f aca="false">HYPERLINK("https://mncourtfraud.com/file/27-CR-21-12762.pdf","27-CR-21-12762")</f>
        <v>27-CR-21-12762</v>
      </c>
      <c r="C163" s="1" t="n">
        <v>1</v>
      </c>
      <c r="D163" s="2" t="s">
        <v>12</v>
      </c>
      <c r="E163" s="8" t="n">
        <v>44895</v>
      </c>
      <c r="F163" s="2" t="s">
        <v>15</v>
      </c>
      <c r="G163" s="7" t="str">
        <f aca="false">HYPERLINK("https://mncourtfraud.com/file/MCRO_27-CR-21-12762_Order-Evaluation for Competency to Proceed (Rule 20.01)_2022-11-30_20251126182506.pdf","MCRO_27-CR-21-12762_Order-Evaluation for Competency to Proceed (Rule 20.01)_2022-11-30_20251126182506.pdf")</f>
        <v>MCRO_27-CR-21-12762_Order-Evaluation for Competency to Proceed (Rule 20.01)_2022-11-30_20251126182506.pdf</v>
      </c>
      <c r="H163" s="1" t="s">
        <v>1362</v>
      </c>
      <c r="I163" s="1" t="n">
        <v>20251126182506</v>
      </c>
      <c r="J163" s="1" t="s">
        <v>3132</v>
      </c>
      <c r="K163" s="9" t="s">
        <v>2582</v>
      </c>
      <c r="L163" s="2" t="s">
        <v>2583</v>
      </c>
    </row>
    <row r="164" customFormat="false" ht="18.7" hidden="false" customHeight="true" outlineLevel="0" collapsed="false">
      <c r="A164" s="1" t="n">
        <v>163</v>
      </c>
      <c r="B164" s="7" t="str">
        <f aca="false">HYPERLINK("https://mncourtfraud.com/file/27-CR-21-12762.pdf","27-CR-21-12762")</f>
        <v>27-CR-21-12762</v>
      </c>
      <c r="C164" s="1" t="n">
        <v>1</v>
      </c>
      <c r="D164" s="2" t="s">
        <v>12</v>
      </c>
      <c r="E164" s="8" t="n">
        <v>45048</v>
      </c>
      <c r="F164" s="2" t="s">
        <v>80</v>
      </c>
      <c r="G164" s="7" t="str">
        <f aca="false">HYPERLINK("https://mncourtfraud.com/file/MCRO_27-CR-21-12762_Finding of Incompetency and Order_2023-05-02_20251126182300.pdf","MCRO_27-CR-21-12762_Finding of Incompetency and Order_2023-05-02_20251126182300.pdf")</f>
        <v>MCRO_27-CR-21-12762_Finding of Incompetency and Order_2023-05-02_20251126182300.pdf</v>
      </c>
      <c r="H164" s="1" t="s">
        <v>1362</v>
      </c>
      <c r="I164" s="1" t="n">
        <v>20251126182300</v>
      </c>
      <c r="J164" s="1" t="s">
        <v>3133</v>
      </c>
      <c r="K164" s="9" t="s">
        <v>2564</v>
      </c>
      <c r="L164" s="2" t="s">
        <v>2565</v>
      </c>
    </row>
    <row r="165" customFormat="false" ht="18.7" hidden="false" customHeight="true" outlineLevel="0" collapsed="false">
      <c r="A165" s="1" t="n">
        <v>164</v>
      </c>
      <c r="B165" s="7" t="str">
        <f aca="false">HYPERLINK("https://mncourtfraud.com/file/27-CR-21-12762.pdf","27-CR-21-12762")</f>
        <v>27-CR-21-12762</v>
      </c>
      <c r="C165" s="1" t="n">
        <v>1</v>
      </c>
      <c r="D165" s="2" t="s">
        <v>12</v>
      </c>
      <c r="E165" s="8" t="n">
        <v>45093</v>
      </c>
      <c r="F165" s="2" t="s">
        <v>82</v>
      </c>
      <c r="G165" s="7" t="str">
        <f aca="false">HYPERLINK("https://mncourtfraud.com/file/MCRO_27-CR-21-12762_Notice of Case Reassignment_2023-06-16_20251126182340.pdf","MCRO_27-CR-21-12762_Notice of Case Reassignment_2023-06-16_20251126182340.pdf")</f>
        <v>MCRO_27-CR-21-12762_Notice of Case Reassignment_2023-06-16_20251126182340.pdf</v>
      </c>
      <c r="H165" s="1" t="s">
        <v>1362</v>
      </c>
      <c r="I165" s="1" t="n">
        <v>20251126182340</v>
      </c>
      <c r="J165" s="1" t="s">
        <v>3134</v>
      </c>
      <c r="K165" s="9" t="s">
        <v>2569</v>
      </c>
      <c r="L165" s="2" t="s">
        <v>2427</v>
      </c>
    </row>
    <row r="166" customFormat="false" ht="18.7" hidden="false" customHeight="true" outlineLevel="0" collapsed="false">
      <c r="A166" s="1" t="n">
        <v>165</v>
      </c>
      <c r="B166" s="7" t="str">
        <f aca="false">HYPERLINK("https://mncourtfraud.com/file/27-CR-21-12762.pdf","27-CR-21-12762")</f>
        <v>27-CR-21-12762</v>
      </c>
      <c r="C166" s="1" t="n">
        <v>1</v>
      </c>
      <c r="D166" s="2" t="s">
        <v>12</v>
      </c>
      <c r="E166" s="8" t="n">
        <v>45160</v>
      </c>
      <c r="F166" s="2" t="s">
        <v>15</v>
      </c>
      <c r="G166" s="7" t="str">
        <f aca="false">HYPERLINK("https://mncourtfraud.com/file/MCRO_27-CR-21-12762_Order-Evaluation for Competency to Proceed (Rule 20.01)_2023-08-22_20251126182515.pdf","MCRO_27-CR-21-12762_Order-Evaluation for Competency to Proceed (Rule 20.01)_2023-08-22_20251126182515.pdf")</f>
        <v>MCRO_27-CR-21-12762_Order-Evaluation for Competency to Proceed (Rule 20.01)_2023-08-22_20251126182515.pdf</v>
      </c>
      <c r="H166" s="1" t="s">
        <v>1362</v>
      </c>
      <c r="I166" s="1" t="n">
        <v>20251126182515</v>
      </c>
      <c r="J166" s="1" t="s">
        <v>3135</v>
      </c>
      <c r="K166" s="9" t="s">
        <v>2584</v>
      </c>
      <c r="L166" s="2" t="s">
        <v>2585</v>
      </c>
    </row>
    <row r="167" customFormat="false" ht="18.7" hidden="false" customHeight="true" outlineLevel="0" collapsed="false">
      <c r="A167" s="1" t="n">
        <v>166</v>
      </c>
      <c r="B167" s="7" t="str">
        <f aca="false">HYPERLINK("https://mncourtfraud.com/file/27-CR-21-12762.pdf","27-CR-21-12762")</f>
        <v>27-CR-21-12762</v>
      </c>
      <c r="C167" s="1" t="n">
        <v>1</v>
      </c>
      <c r="D167" s="2" t="s">
        <v>12</v>
      </c>
      <c r="E167" s="8" t="n">
        <v>45412</v>
      </c>
      <c r="F167" s="2" t="s">
        <v>24</v>
      </c>
      <c r="G167" s="7" t="str">
        <f aca="false">HYPERLINK("https://mncourtfraud.com/file/MCRO_27-CR-21-12762_Order for Conditional Release_2024-04-30_20251126182405.pdf","MCRO_27-CR-21-12762_Order for Conditional Release_2024-04-30_20251126182405.pdf")</f>
        <v>MCRO_27-CR-21-12762_Order for Conditional Release_2024-04-30_20251126182405.pdf</v>
      </c>
      <c r="H167" s="1" t="s">
        <v>1362</v>
      </c>
      <c r="I167" s="1" t="n">
        <v>20251126182405</v>
      </c>
      <c r="J167" s="1" t="s">
        <v>3136</v>
      </c>
      <c r="K167" s="9" t="s">
        <v>2573</v>
      </c>
      <c r="L167" s="2" t="s">
        <v>2574</v>
      </c>
    </row>
    <row r="168" customFormat="false" ht="18.7" hidden="false" customHeight="true" outlineLevel="0" collapsed="false">
      <c r="A168" s="1" t="n">
        <v>167</v>
      </c>
      <c r="B168" s="7" t="str">
        <f aca="false">HYPERLINK("https://mncourtfraud.com/file/27-CR-21-12762.pdf","27-CR-21-12762")</f>
        <v>27-CR-21-12762</v>
      </c>
      <c r="C168" s="1" t="n">
        <v>1</v>
      </c>
      <c r="D168" s="2" t="s">
        <v>12</v>
      </c>
      <c r="E168" s="8" t="n">
        <v>45412</v>
      </c>
      <c r="F168" s="2" t="s">
        <v>15</v>
      </c>
      <c r="G168" s="7" t="str">
        <f aca="false">HYPERLINK("https://mncourtfraud.com/file/MCRO_27-CR-21-12762_Order-Evaluation for Competency to Proceed (Rule 20.01)_2024-04-30_20251126182523.pdf","MCRO_27-CR-21-12762_Order-Evaluation for Competency to Proceed (Rule 20.01)_2024-04-30_20251126182523.pdf")</f>
        <v>MCRO_27-CR-21-12762_Order-Evaluation for Competency to Proceed (Rule 20.01)_2024-04-30_20251126182523.pdf</v>
      </c>
      <c r="H168" s="1" t="s">
        <v>1362</v>
      </c>
      <c r="I168" s="1" t="n">
        <v>20251126182523</v>
      </c>
      <c r="J168" s="1" t="s">
        <v>3137</v>
      </c>
      <c r="K168" s="9" t="s">
        <v>2586</v>
      </c>
      <c r="L168" s="2" t="s">
        <v>2587</v>
      </c>
    </row>
    <row r="169" customFormat="false" ht="18.7" hidden="false" customHeight="true" outlineLevel="0" collapsed="false">
      <c r="A169" s="1" t="n">
        <v>168</v>
      </c>
      <c r="B169" s="7" t="str">
        <f aca="false">HYPERLINK("https://mncourtfraud.com/file/27-CR-21-12947.pdf","27-CR-21-12947")</f>
        <v>27-CR-21-12947</v>
      </c>
      <c r="C169" s="1" t="n">
        <v>1</v>
      </c>
      <c r="D169" s="2" t="s">
        <v>12</v>
      </c>
      <c r="E169" s="8" t="n">
        <v>44396</v>
      </c>
      <c r="F169" s="2" t="s">
        <v>15</v>
      </c>
      <c r="G169" s="7" t="str">
        <f aca="false">HYPERLINK("https://mncourtfraud.com/file/MCRO_27-CR-21-12947_Order-Evaluation for Competency to Proceed (Rule 20.01)_2021-07-19_20251126182723.pdf","MCRO_27-CR-21-12947_Order-Evaluation for Competency to Proceed (Rule 20.01)_2021-07-19_20251126182723.pdf")</f>
        <v>MCRO_27-CR-21-12947_Order-Evaluation for Competency to Proceed (Rule 20.01)_2021-07-19_20251126182723.pdf</v>
      </c>
      <c r="H169" s="1" t="s">
        <v>1362</v>
      </c>
      <c r="I169" s="1" t="n">
        <v>20251126182723</v>
      </c>
      <c r="J169" s="1" t="s">
        <v>3138</v>
      </c>
      <c r="K169" s="9" t="s">
        <v>2600</v>
      </c>
      <c r="L169" s="2" t="s">
        <v>2601</v>
      </c>
    </row>
    <row r="170" customFormat="false" ht="18.7" hidden="false" customHeight="true" outlineLevel="0" collapsed="false">
      <c r="A170" s="1" t="n">
        <v>169</v>
      </c>
      <c r="B170" s="7" t="str">
        <f aca="false">HYPERLINK("https://mncourtfraud.com/file/27-CR-21-12947.pdf","27-CR-21-12947")</f>
        <v>27-CR-21-12947</v>
      </c>
      <c r="C170" s="1" t="n">
        <v>1</v>
      </c>
      <c r="D170" s="2" t="s">
        <v>12</v>
      </c>
      <c r="E170" s="8" t="n">
        <v>44405</v>
      </c>
      <c r="F170" s="2" t="s">
        <v>145</v>
      </c>
      <c r="G170" s="7" t="str">
        <f aca="false">HYPERLINK("https://mncourtfraud.com/file/MCRO_27-CR-21-12947_Demand or Request for Discovery_2021-07-28_20251126182551.pdf","MCRO_27-CR-21-12947_Demand or Request for Discovery_2021-07-28_20251126182551.pdf")</f>
        <v>MCRO_27-CR-21-12947_Demand or Request for Discovery_2021-07-28_20251126182551.pdf</v>
      </c>
      <c r="H170" s="1" t="s">
        <v>1362</v>
      </c>
      <c r="I170" s="1" t="n">
        <v>20251126182551</v>
      </c>
      <c r="J170" s="1" t="s">
        <v>3139</v>
      </c>
      <c r="K170" s="9" t="s">
        <v>2588</v>
      </c>
      <c r="L170" s="2" t="s">
        <v>2589</v>
      </c>
    </row>
    <row r="171" customFormat="false" ht="18.7" hidden="false" customHeight="true" outlineLevel="0" collapsed="false">
      <c r="A171" s="1" t="n">
        <v>170</v>
      </c>
      <c r="B171" s="7" t="str">
        <f aca="false">HYPERLINK("https://mncourtfraud.com/file/27-CR-21-12947.pdf","27-CR-21-12947")</f>
        <v>27-CR-21-12947</v>
      </c>
      <c r="C171" s="1" t="n">
        <v>1</v>
      </c>
      <c r="D171" s="2" t="s">
        <v>12</v>
      </c>
      <c r="E171" s="8" t="n">
        <v>44439</v>
      </c>
      <c r="F171" s="2" t="s">
        <v>19</v>
      </c>
      <c r="G171" s="7" t="str">
        <f aca="false">HYPERLINK("https://mncourtfraud.com/file/MCRO_27-CR-21-12947_Findings and Order_2021-08-31_20251126182625.pdf","MCRO_27-CR-21-12947_Findings and Order_2021-08-31_20251126182625.pdf")</f>
        <v>MCRO_27-CR-21-12947_Findings and Order_2021-08-31_20251126182625.pdf</v>
      </c>
      <c r="H171" s="1" t="s">
        <v>1362</v>
      </c>
      <c r="I171" s="1" t="n">
        <v>20251126182625</v>
      </c>
      <c r="J171" s="1" t="s">
        <v>3140</v>
      </c>
      <c r="K171" s="9" t="s">
        <v>2591</v>
      </c>
      <c r="L171" s="2" t="s">
        <v>2592</v>
      </c>
    </row>
    <row r="172" customFormat="false" ht="18.7" hidden="false" customHeight="true" outlineLevel="0" collapsed="false">
      <c r="A172" s="1" t="n">
        <v>171</v>
      </c>
      <c r="B172" s="7" t="str">
        <f aca="false">HYPERLINK("https://mncourtfraud.com/file/27-CR-21-12947.pdf","27-CR-21-12947")</f>
        <v>27-CR-21-12947</v>
      </c>
      <c r="C172" s="1" t="n">
        <v>1</v>
      </c>
      <c r="D172" s="2" t="s">
        <v>12</v>
      </c>
      <c r="E172" s="8" t="n">
        <v>44460</v>
      </c>
      <c r="F172" s="2" t="s">
        <v>24</v>
      </c>
      <c r="G172" s="7" t="str">
        <f aca="false">HYPERLINK("https://mncourtfraud.com/file/MCRO_27-CR-21-12947_Order for Conditional Release_2021-09-21_20251126182704.pdf","MCRO_27-CR-21-12947_Order for Conditional Release_2021-09-21_20251126182704.pdf")</f>
        <v>MCRO_27-CR-21-12947_Order for Conditional Release_2021-09-21_20251126182704.pdf</v>
      </c>
      <c r="H172" s="1" t="s">
        <v>1362</v>
      </c>
      <c r="I172" s="1" t="n">
        <v>20251126182704</v>
      </c>
      <c r="J172" s="1" t="s">
        <v>3141</v>
      </c>
      <c r="K172" s="9" t="s">
        <v>2597</v>
      </c>
      <c r="L172" s="2" t="s">
        <v>2293</v>
      </c>
    </row>
    <row r="173" customFormat="false" ht="18.7" hidden="false" customHeight="true" outlineLevel="0" collapsed="false">
      <c r="A173" s="1" t="n">
        <v>172</v>
      </c>
      <c r="B173" s="7" t="str">
        <f aca="false">HYPERLINK("https://mncourtfraud.com/file/27-CR-21-12947.pdf","27-CR-21-12947")</f>
        <v>27-CR-21-12947</v>
      </c>
      <c r="C173" s="1" t="n">
        <v>1</v>
      </c>
      <c r="D173" s="2" t="s">
        <v>12</v>
      </c>
      <c r="E173" s="8" t="n">
        <v>44468</v>
      </c>
      <c r="F173" s="2" t="s">
        <v>24</v>
      </c>
      <c r="G173" s="7" t="str">
        <f aca="false">HYPERLINK("https://mncourtfraud.com/file/MCRO_27-CR-21-12947_Order for Conditional Release_2021-09-29_20251126182710.pdf","MCRO_27-CR-21-12947_Order for Conditional Release_2021-09-29_20251126182710.pdf")</f>
        <v>MCRO_27-CR-21-12947_Order for Conditional Release_2021-09-29_20251126182710.pdf</v>
      </c>
      <c r="H173" s="1" t="s">
        <v>1362</v>
      </c>
      <c r="I173" s="1" t="n">
        <v>20251126182710</v>
      </c>
      <c r="J173" s="1" t="s">
        <v>3142</v>
      </c>
      <c r="K173" s="9" t="s">
        <v>2598</v>
      </c>
      <c r="L173" s="2" t="s">
        <v>2456</v>
      </c>
    </row>
    <row r="174" customFormat="false" ht="18.7" hidden="false" customHeight="true" outlineLevel="0" collapsed="false">
      <c r="A174" s="1" t="n">
        <v>173</v>
      </c>
      <c r="B174" s="7" t="str">
        <f aca="false">HYPERLINK("https://mncourtfraud.com/file/27-CR-21-12947.pdf","27-CR-21-12947")</f>
        <v>27-CR-21-12947</v>
      </c>
      <c r="C174" s="1" t="n">
        <v>1</v>
      </c>
      <c r="D174" s="2" t="s">
        <v>12</v>
      </c>
      <c r="E174" s="8" t="n">
        <v>44543</v>
      </c>
      <c r="F174" s="2" t="s">
        <v>15</v>
      </c>
      <c r="G174" s="7" t="str">
        <f aca="false">HYPERLINK("https://mncourtfraud.com/file/MCRO_27-CR-21-12947_Order-Evaluation for Competency to Proceed (Rule 20.01)_2021-12-13_20251126182732.pdf","MCRO_27-CR-21-12947_Order-Evaluation for Competency to Proceed (Rule 20.01)_2021-12-13_20251126182732.pdf")</f>
        <v>MCRO_27-CR-21-12947_Order-Evaluation for Competency to Proceed (Rule 20.01)_2021-12-13_20251126182732.pdf</v>
      </c>
      <c r="H174" s="1" t="s">
        <v>1362</v>
      </c>
      <c r="I174" s="1" t="n">
        <v>20251126182732</v>
      </c>
      <c r="J174" s="1" t="s">
        <v>3143</v>
      </c>
      <c r="K174" s="9" t="s">
        <v>2602</v>
      </c>
      <c r="L174" s="2" t="s">
        <v>2379</v>
      </c>
    </row>
    <row r="175" customFormat="false" ht="18.7" hidden="false" customHeight="true" outlineLevel="0" collapsed="false">
      <c r="A175" s="1" t="n">
        <v>174</v>
      </c>
      <c r="B175" s="7" t="str">
        <f aca="false">HYPERLINK("https://mncourtfraud.com/file/27-CR-21-12947.pdf","27-CR-21-12947")</f>
        <v>27-CR-21-12947</v>
      </c>
      <c r="C175" s="1" t="n">
        <v>1</v>
      </c>
      <c r="D175" s="2" t="s">
        <v>12</v>
      </c>
      <c r="E175" s="8" t="n">
        <v>44558</v>
      </c>
      <c r="F175" s="2" t="s">
        <v>15</v>
      </c>
      <c r="G175" s="7" t="str">
        <f aca="false">HYPERLINK("https://mncourtfraud.com/file/MCRO_27-CR-21-12947_Order-Evaluation for Competency to Proceed (Rule 20.01)_2021-12-28_20251126182740.pdf","MCRO_27-CR-21-12947_Order-Evaluation for Competency to Proceed (Rule 20.01)_2021-12-28_20251126182740.pdf")</f>
        <v>MCRO_27-CR-21-12947_Order-Evaluation for Competency to Proceed (Rule 20.01)_2021-12-28_20251126182740.pdf</v>
      </c>
      <c r="H175" s="1" t="s">
        <v>1362</v>
      </c>
      <c r="I175" s="1" t="n">
        <v>20251126182740</v>
      </c>
      <c r="J175" s="1" t="s">
        <v>3144</v>
      </c>
      <c r="K175" s="9" t="s">
        <v>2603</v>
      </c>
      <c r="L175" s="2" t="s">
        <v>2604</v>
      </c>
    </row>
    <row r="176" customFormat="false" ht="18.7" hidden="false" customHeight="true" outlineLevel="0" collapsed="false">
      <c r="A176" s="1" t="n">
        <v>175</v>
      </c>
      <c r="B176" s="7" t="str">
        <f aca="false">HYPERLINK("https://mncourtfraud.com/file/27-CR-21-12947.pdf","27-CR-21-12947")</f>
        <v>27-CR-21-12947</v>
      </c>
      <c r="C176" s="1" t="n">
        <v>1</v>
      </c>
      <c r="D176" s="2" t="s">
        <v>12</v>
      </c>
      <c r="E176" s="8" t="n">
        <v>44593</v>
      </c>
      <c r="F176" s="2" t="s">
        <v>19</v>
      </c>
      <c r="G176" s="7" t="str">
        <f aca="false">HYPERLINK("https://mncourtfraud.com/file/MCRO_27-CR-21-12947_Findings and Order_2022-02-01_20251126182615.pdf","MCRO_27-CR-21-12947_Findings and Order_2022-02-01_20251126182615.pdf")</f>
        <v>MCRO_27-CR-21-12947_Findings and Order_2022-02-01_20251126182615.pdf</v>
      </c>
      <c r="H176" s="1" t="s">
        <v>1362</v>
      </c>
      <c r="I176" s="1" t="n">
        <v>20251126182615</v>
      </c>
      <c r="J176" s="1" t="s">
        <v>3145</v>
      </c>
      <c r="K176" s="9" t="s">
        <v>2593</v>
      </c>
      <c r="L176" s="2" t="s">
        <v>2594</v>
      </c>
    </row>
    <row r="177" customFormat="false" ht="18.7" hidden="false" customHeight="true" outlineLevel="0" collapsed="false">
      <c r="A177" s="1" t="n">
        <v>176</v>
      </c>
      <c r="B177" s="7" t="str">
        <f aca="false">HYPERLINK("https://mncourtfraud.com/file/27-CR-21-12947.pdf","27-CR-21-12947")</f>
        <v>27-CR-21-12947</v>
      </c>
      <c r="C177" s="1" t="n">
        <v>1</v>
      </c>
      <c r="D177" s="2" t="s">
        <v>12</v>
      </c>
      <c r="E177" s="8" t="n">
        <v>44692</v>
      </c>
      <c r="F177" s="2" t="s">
        <v>15</v>
      </c>
      <c r="G177" s="7" t="str">
        <f aca="false">HYPERLINK("https://mncourtfraud.com/file/MCRO_27-CR-21-12947_Order-Evaluation for Competency to Proceed (Rule 20.01)_2022-05-11_20251126182749.pdf","MCRO_27-CR-21-12947_Order-Evaluation for Competency to Proceed (Rule 20.01)_2022-05-11_20251126182749.pdf")</f>
        <v>MCRO_27-CR-21-12947_Order-Evaluation for Competency to Proceed (Rule 20.01)_2022-05-11_20251126182749.pdf</v>
      </c>
      <c r="H177" s="1" t="s">
        <v>1362</v>
      </c>
      <c r="I177" s="1" t="n">
        <v>20251126182749</v>
      </c>
      <c r="J177" s="1" t="s">
        <v>3146</v>
      </c>
      <c r="K177" s="9" t="s">
        <v>2605</v>
      </c>
      <c r="L177" s="2" t="s">
        <v>2606</v>
      </c>
    </row>
    <row r="178" customFormat="false" ht="18.7" hidden="false" customHeight="true" outlineLevel="0" collapsed="false">
      <c r="A178" s="1" t="n">
        <v>177</v>
      </c>
      <c r="B178" s="7" t="str">
        <f aca="false">HYPERLINK("https://mncourtfraud.com/file/27-CR-21-12947.pdf","27-CR-21-12947")</f>
        <v>27-CR-21-12947</v>
      </c>
      <c r="C178" s="1" t="n">
        <v>1</v>
      </c>
      <c r="D178" s="2" t="s">
        <v>12</v>
      </c>
      <c r="E178" s="8" t="n">
        <v>44895</v>
      </c>
      <c r="F178" s="2" t="s">
        <v>15</v>
      </c>
      <c r="G178" s="7" t="str">
        <f aca="false">HYPERLINK("https://mncourtfraud.com/file/MCRO_27-CR-21-12947_Order-Evaluation for Competency to Proceed (Rule 20.01)_2022-11-30_20251126182757.pdf","MCRO_27-CR-21-12947_Order-Evaluation for Competency to Proceed (Rule 20.01)_2022-11-30_20251126182757.pdf")</f>
        <v>MCRO_27-CR-21-12947_Order-Evaluation for Competency to Proceed (Rule 20.01)_2022-11-30_20251126182757.pdf</v>
      </c>
      <c r="H178" s="1" t="s">
        <v>1362</v>
      </c>
      <c r="I178" s="1" t="n">
        <v>20251126182757</v>
      </c>
      <c r="J178" s="1" t="s">
        <v>3147</v>
      </c>
      <c r="K178" s="9" t="s">
        <v>2607</v>
      </c>
      <c r="L178" s="2" t="s">
        <v>2558</v>
      </c>
    </row>
    <row r="179" customFormat="false" ht="18.7" hidden="false" customHeight="true" outlineLevel="0" collapsed="false">
      <c r="A179" s="1" t="n">
        <v>178</v>
      </c>
      <c r="B179" s="7" t="str">
        <f aca="false">HYPERLINK("https://mncourtfraud.com/file/27-CR-21-12947.pdf","27-CR-21-12947")</f>
        <v>27-CR-21-12947</v>
      </c>
      <c r="C179" s="1" t="n">
        <v>1</v>
      </c>
      <c r="D179" s="2" t="s">
        <v>12</v>
      </c>
      <c r="E179" s="8" t="n">
        <v>45048</v>
      </c>
      <c r="F179" s="2" t="s">
        <v>80</v>
      </c>
      <c r="G179" s="7" t="str">
        <f aca="false">HYPERLINK("https://mncourtfraud.com/file/MCRO_27-CR-21-12947_Finding of Incompetency and Order_2023-05-02_20251126182603.pdf","MCRO_27-CR-21-12947_Finding of Incompetency and Order_2023-05-02_20251126182603.pdf")</f>
        <v>MCRO_27-CR-21-12947_Finding of Incompetency and Order_2023-05-02_20251126182603.pdf</v>
      </c>
      <c r="H179" s="1" t="s">
        <v>1362</v>
      </c>
      <c r="I179" s="1" t="n">
        <v>20251126182603</v>
      </c>
      <c r="J179" s="1" t="s">
        <v>3148</v>
      </c>
      <c r="K179" s="9" t="s">
        <v>2590</v>
      </c>
      <c r="L179" s="2" t="s">
        <v>2540</v>
      </c>
    </row>
    <row r="180" customFormat="false" ht="18.7" hidden="false" customHeight="true" outlineLevel="0" collapsed="false">
      <c r="A180" s="1" t="n">
        <v>179</v>
      </c>
      <c r="B180" s="7" t="str">
        <f aca="false">HYPERLINK("https://mncourtfraud.com/file/27-CR-21-12947.pdf","27-CR-21-12947")</f>
        <v>27-CR-21-12947</v>
      </c>
      <c r="C180" s="1" t="n">
        <v>1</v>
      </c>
      <c r="D180" s="2" t="s">
        <v>12</v>
      </c>
      <c r="E180" s="8" t="n">
        <v>45093</v>
      </c>
      <c r="F180" s="2" t="s">
        <v>82</v>
      </c>
      <c r="G180" s="7" t="str">
        <f aca="false">HYPERLINK("https://mncourtfraud.com/file/MCRO_27-CR-21-12947_Notice of Case Reassignment_2023-06-16_20251126182639.pdf","MCRO_27-CR-21-12947_Notice of Case Reassignment_2023-06-16_20251126182639.pdf")</f>
        <v>MCRO_27-CR-21-12947_Notice of Case Reassignment_2023-06-16_20251126182639.pdf</v>
      </c>
      <c r="H180" s="1" t="s">
        <v>1362</v>
      </c>
      <c r="I180" s="1" t="n">
        <v>20251126182639</v>
      </c>
      <c r="J180" s="1" t="s">
        <v>3149</v>
      </c>
      <c r="K180" s="9" t="s">
        <v>2595</v>
      </c>
      <c r="L180" s="2" t="s">
        <v>2596</v>
      </c>
    </row>
    <row r="181" customFormat="false" ht="18.7" hidden="false" customHeight="true" outlineLevel="0" collapsed="false">
      <c r="A181" s="1" t="n">
        <v>180</v>
      </c>
      <c r="B181" s="7" t="str">
        <f aca="false">HYPERLINK("https://mncourtfraud.com/file/27-CR-21-12947.pdf","27-CR-21-12947")</f>
        <v>27-CR-21-12947</v>
      </c>
      <c r="C181" s="1" t="n">
        <v>1</v>
      </c>
      <c r="D181" s="2" t="s">
        <v>12</v>
      </c>
      <c r="E181" s="8" t="n">
        <v>45160</v>
      </c>
      <c r="F181" s="2" t="s">
        <v>15</v>
      </c>
      <c r="G181" s="7" t="str">
        <f aca="false">HYPERLINK("https://mncourtfraud.com/file/MCRO_27-CR-21-12947_Order-Evaluation for Competency to Proceed (Rule 20.01)_2023-08-22_20251126182805.pdf","MCRO_27-CR-21-12947_Order-Evaluation for Competency to Proceed (Rule 20.01)_2023-08-22_20251126182805.pdf")</f>
        <v>MCRO_27-CR-21-12947_Order-Evaluation for Competency to Proceed (Rule 20.01)_2023-08-22_20251126182805.pdf</v>
      </c>
      <c r="H181" s="1" t="s">
        <v>1362</v>
      </c>
      <c r="I181" s="1" t="n">
        <v>20251126182805</v>
      </c>
      <c r="J181" s="1" t="s">
        <v>3150</v>
      </c>
      <c r="K181" s="9" t="s">
        <v>2608</v>
      </c>
      <c r="L181" s="2" t="s">
        <v>2609</v>
      </c>
    </row>
    <row r="182" customFormat="false" ht="18.7" hidden="false" customHeight="true" outlineLevel="0" collapsed="false">
      <c r="A182" s="1" t="n">
        <v>181</v>
      </c>
      <c r="B182" s="7" t="str">
        <f aca="false">HYPERLINK("https://mncourtfraud.com/file/27-CR-21-12947.pdf","27-CR-21-12947")</f>
        <v>27-CR-21-12947</v>
      </c>
      <c r="C182" s="1" t="n">
        <v>1</v>
      </c>
      <c r="D182" s="2" t="s">
        <v>12</v>
      </c>
      <c r="E182" s="8" t="n">
        <v>45412</v>
      </c>
      <c r="F182" s="2" t="s">
        <v>24</v>
      </c>
      <c r="G182" s="7" t="str">
        <f aca="false">HYPERLINK("https://mncourtfraud.com/file/MCRO_27-CR-21-12947_Order for Conditional Release_2024-04-30_20251126182656.pdf","MCRO_27-CR-21-12947_Order for Conditional Release_2024-04-30_20251126182656.pdf")</f>
        <v>MCRO_27-CR-21-12947_Order for Conditional Release_2024-04-30_20251126182656.pdf</v>
      </c>
      <c r="H182" s="1" t="s">
        <v>1362</v>
      </c>
      <c r="I182" s="1" t="n">
        <v>20251126182656</v>
      </c>
      <c r="J182" s="1" t="s">
        <v>3151</v>
      </c>
      <c r="K182" s="9" t="s">
        <v>2599</v>
      </c>
      <c r="L182" s="2" t="s">
        <v>2524</v>
      </c>
    </row>
    <row r="183" customFormat="false" ht="18.7" hidden="false" customHeight="true" outlineLevel="0" collapsed="false">
      <c r="A183" s="1" t="n">
        <v>182</v>
      </c>
      <c r="B183" s="7" t="str">
        <f aca="false">HYPERLINK("https://mncourtfraud.com/file/27-CR-21-12947.pdf","27-CR-21-12947")</f>
        <v>27-CR-21-12947</v>
      </c>
      <c r="C183" s="1" t="n">
        <v>1</v>
      </c>
      <c r="D183" s="2" t="s">
        <v>12</v>
      </c>
      <c r="E183" s="8" t="n">
        <v>45412</v>
      </c>
      <c r="F183" s="2" t="s">
        <v>15</v>
      </c>
      <c r="G183" s="7" t="str">
        <f aca="false">HYPERLINK("https://mncourtfraud.com/file/MCRO_27-CR-21-12947_Order-Evaluation for Competency to Proceed (Rule 20.01)_2024-04-30_20251126182816.pdf","MCRO_27-CR-21-12947_Order-Evaluation for Competency to Proceed (Rule 20.01)_2024-04-30_20251126182816.pdf")</f>
        <v>MCRO_27-CR-21-12947_Order-Evaluation for Competency to Proceed (Rule 20.01)_2024-04-30_20251126182816.pdf</v>
      </c>
      <c r="H183" s="1" t="s">
        <v>1362</v>
      </c>
      <c r="I183" s="1" t="n">
        <v>20251126182816</v>
      </c>
      <c r="J183" s="1" t="s">
        <v>3152</v>
      </c>
      <c r="K183" s="9" t="s">
        <v>2610</v>
      </c>
      <c r="L183" s="2" t="s">
        <v>2415</v>
      </c>
    </row>
    <row r="184" customFormat="false" ht="18.7" hidden="false" customHeight="true" outlineLevel="0" collapsed="false">
      <c r="A184" s="1" t="n">
        <v>183</v>
      </c>
      <c r="B184" s="7" t="str">
        <f aca="false">HYPERLINK("https://mncourtfraud.com/file/27-CR-21-13144.pdf","27-CR-21-13144")</f>
        <v>27-CR-21-13144</v>
      </c>
      <c r="C184" s="1" t="n">
        <v>1</v>
      </c>
      <c r="D184" s="2" t="s">
        <v>12</v>
      </c>
      <c r="E184" s="8" t="n">
        <v>44396</v>
      </c>
      <c r="F184" s="2" t="s">
        <v>15</v>
      </c>
      <c r="G184" s="7" t="str">
        <f aca="false">HYPERLINK("https://mncourtfraud.com/file/MCRO_27-CR-21-13144_Order-Evaluation for Competency to Proceed (Rule 20.01)_2021-07-19_20251126183017.pdf","MCRO_27-CR-21-13144_Order-Evaluation for Competency to Proceed (Rule 20.01)_2021-07-19_20251126183017.pdf")</f>
        <v>MCRO_27-CR-21-13144_Order-Evaluation for Competency to Proceed (Rule 20.01)_2021-07-19_20251126183017.pdf</v>
      </c>
      <c r="H184" s="1" t="s">
        <v>1362</v>
      </c>
      <c r="I184" s="1" t="n">
        <v>20251126183017</v>
      </c>
      <c r="J184" s="1" t="s">
        <v>3153</v>
      </c>
      <c r="K184" s="9" t="s">
        <v>2625</v>
      </c>
      <c r="L184" s="2" t="s">
        <v>2626</v>
      </c>
    </row>
    <row r="185" customFormat="false" ht="18.7" hidden="false" customHeight="true" outlineLevel="0" collapsed="false">
      <c r="A185" s="1" t="n">
        <v>184</v>
      </c>
      <c r="B185" s="7" t="str">
        <f aca="false">HYPERLINK("https://mncourtfraud.com/file/27-CR-21-13144.pdf","27-CR-21-13144")</f>
        <v>27-CR-21-13144</v>
      </c>
      <c r="C185" s="1" t="n">
        <v>1</v>
      </c>
      <c r="D185" s="2" t="s">
        <v>12</v>
      </c>
      <c r="E185" s="8" t="n">
        <v>44405</v>
      </c>
      <c r="F185" s="2" t="s">
        <v>145</v>
      </c>
      <c r="G185" s="7" t="str">
        <f aca="false">HYPERLINK("https://mncourtfraud.com/file/MCRO_27-CR-21-13144_Demand or Request for Discovery_2021-07-28_20251126182845.pdf","MCRO_27-CR-21-13144_Demand or Request for Discovery_2021-07-28_20251126182845.pdf")</f>
        <v>MCRO_27-CR-21-13144_Demand or Request for Discovery_2021-07-28_20251126182845.pdf</v>
      </c>
      <c r="H185" s="1" t="s">
        <v>1362</v>
      </c>
      <c r="I185" s="1" t="n">
        <v>20251126182845</v>
      </c>
      <c r="J185" s="1" t="s">
        <v>3154</v>
      </c>
      <c r="K185" s="9" t="s">
        <v>2611</v>
      </c>
      <c r="L185" s="2" t="s">
        <v>2612</v>
      </c>
    </row>
    <row r="186" customFormat="false" ht="18.7" hidden="false" customHeight="true" outlineLevel="0" collapsed="false">
      <c r="A186" s="1" t="n">
        <v>185</v>
      </c>
      <c r="B186" s="7" t="str">
        <f aca="false">HYPERLINK("https://mncourtfraud.com/file/27-CR-21-13144.pdf","27-CR-21-13144")</f>
        <v>27-CR-21-13144</v>
      </c>
      <c r="C186" s="1" t="n">
        <v>1</v>
      </c>
      <c r="D186" s="2" t="s">
        <v>12</v>
      </c>
      <c r="E186" s="8" t="n">
        <v>44439</v>
      </c>
      <c r="F186" s="2" t="s">
        <v>19</v>
      </c>
      <c r="G186" s="7" t="str">
        <f aca="false">HYPERLINK("https://mncourtfraud.com/file/MCRO_27-CR-21-13144_Findings and Order_2021-08-31_20251126182917.pdf","MCRO_27-CR-21-13144_Findings and Order_2021-08-31_20251126182917.pdf")</f>
        <v>MCRO_27-CR-21-13144_Findings and Order_2021-08-31_20251126182917.pdf</v>
      </c>
      <c r="H186" s="1" t="s">
        <v>1362</v>
      </c>
      <c r="I186" s="1" t="n">
        <v>20251126182917</v>
      </c>
      <c r="J186" s="1" t="s">
        <v>3155</v>
      </c>
      <c r="K186" s="9" t="s">
        <v>2615</v>
      </c>
      <c r="L186" s="2" t="s">
        <v>2616</v>
      </c>
    </row>
    <row r="187" customFormat="false" ht="18.7" hidden="false" customHeight="true" outlineLevel="0" collapsed="false">
      <c r="A187" s="1" t="n">
        <v>186</v>
      </c>
      <c r="B187" s="7" t="str">
        <f aca="false">HYPERLINK("https://mncourtfraud.com/file/27-CR-21-13144.pdf","27-CR-21-13144")</f>
        <v>27-CR-21-13144</v>
      </c>
      <c r="C187" s="1" t="n">
        <v>1</v>
      </c>
      <c r="D187" s="2" t="s">
        <v>12</v>
      </c>
      <c r="E187" s="8" t="n">
        <v>44460</v>
      </c>
      <c r="F187" s="2" t="s">
        <v>24</v>
      </c>
      <c r="G187" s="7" t="str">
        <f aca="false">HYPERLINK("https://mncourtfraud.com/file/MCRO_27-CR-21-13144_Order for Conditional Release_2021-09-21_20251126182955.pdf","MCRO_27-CR-21-13144_Order for Conditional Release_2021-09-21_20251126182955.pdf")</f>
        <v>MCRO_27-CR-21-13144_Order for Conditional Release_2021-09-21_20251126182955.pdf</v>
      </c>
      <c r="H187" s="1" t="s">
        <v>1362</v>
      </c>
      <c r="I187" s="1" t="n">
        <v>20251126182955</v>
      </c>
      <c r="J187" s="1" t="s">
        <v>3156</v>
      </c>
      <c r="K187" s="9" t="s">
        <v>2621</v>
      </c>
      <c r="L187" s="2" t="s">
        <v>2293</v>
      </c>
    </row>
    <row r="188" customFormat="false" ht="18.7" hidden="false" customHeight="true" outlineLevel="0" collapsed="false">
      <c r="A188" s="1" t="n">
        <v>187</v>
      </c>
      <c r="B188" s="7" t="str">
        <f aca="false">HYPERLINK("https://mncourtfraud.com/file/27-CR-21-13144.pdf","27-CR-21-13144")</f>
        <v>27-CR-21-13144</v>
      </c>
      <c r="C188" s="1" t="n">
        <v>1</v>
      </c>
      <c r="D188" s="2" t="s">
        <v>12</v>
      </c>
      <c r="E188" s="8" t="n">
        <v>44468</v>
      </c>
      <c r="F188" s="2" t="s">
        <v>24</v>
      </c>
      <c r="G188" s="7" t="str">
        <f aca="false">HYPERLINK("https://mncourtfraud.com/file/MCRO_27-CR-21-13144_Order for Conditional Release_2021-09-29_20251126183006.pdf","MCRO_27-CR-21-13144_Order for Conditional Release_2021-09-29_20251126183006.pdf")</f>
        <v>MCRO_27-CR-21-13144_Order for Conditional Release_2021-09-29_20251126183006.pdf</v>
      </c>
      <c r="H188" s="1" t="s">
        <v>1362</v>
      </c>
      <c r="I188" s="1" t="n">
        <v>20251126183006</v>
      </c>
      <c r="J188" s="1" t="s">
        <v>3157</v>
      </c>
      <c r="K188" s="9" t="s">
        <v>2622</v>
      </c>
      <c r="L188" s="2" t="s">
        <v>2522</v>
      </c>
    </row>
    <row r="189" customFormat="false" ht="18.7" hidden="false" customHeight="true" outlineLevel="0" collapsed="false">
      <c r="A189" s="1" t="n">
        <v>188</v>
      </c>
      <c r="B189" s="7" t="str">
        <f aca="false">HYPERLINK("https://mncourtfraud.com/file/27-CR-21-13144.pdf","27-CR-21-13144")</f>
        <v>27-CR-21-13144</v>
      </c>
      <c r="C189" s="1" t="n">
        <v>1</v>
      </c>
      <c r="D189" s="2" t="s">
        <v>12</v>
      </c>
      <c r="E189" s="8" t="n">
        <v>44543</v>
      </c>
      <c r="F189" s="2" t="s">
        <v>15</v>
      </c>
      <c r="G189" s="7" t="str">
        <f aca="false">HYPERLINK("https://mncourtfraud.com/file/MCRO_27-CR-21-13144_Order-Evaluation for Competency to Proceed (Rule 20.01)_2021-12-13_20251126183025.pdf","MCRO_27-CR-21-13144_Order-Evaluation for Competency to Proceed (Rule 20.01)_2021-12-13_20251126183025.pdf")</f>
        <v>MCRO_27-CR-21-13144_Order-Evaluation for Competency to Proceed (Rule 20.01)_2021-12-13_20251126183025.pdf</v>
      </c>
      <c r="H189" s="1" t="s">
        <v>1362</v>
      </c>
      <c r="I189" s="1" t="n">
        <v>20251126183025</v>
      </c>
      <c r="J189" s="1" t="s">
        <v>3158</v>
      </c>
      <c r="K189" s="9" t="s">
        <v>2627</v>
      </c>
      <c r="L189" s="2" t="s">
        <v>2628</v>
      </c>
    </row>
    <row r="190" customFormat="false" ht="18.7" hidden="false" customHeight="true" outlineLevel="0" collapsed="false">
      <c r="A190" s="1" t="n">
        <v>189</v>
      </c>
      <c r="B190" s="7" t="str">
        <f aca="false">HYPERLINK("https://mncourtfraud.com/file/27-CR-21-13144.pdf","27-CR-21-13144")</f>
        <v>27-CR-21-13144</v>
      </c>
      <c r="C190" s="1" t="n">
        <v>1</v>
      </c>
      <c r="D190" s="2" t="s">
        <v>12</v>
      </c>
      <c r="E190" s="8" t="n">
        <v>44558</v>
      </c>
      <c r="F190" s="2" t="s">
        <v>15</v>
      </c>
      <c r="G190" s="7" t="str">
        <f aca="false">HYPERLINK("https://mncourtfraud.com/file/MCRO_27-CR-21-13144_Order-Evaluation for Competency to Proceed (Rule 20.01)_2021-12-28_20251126183033.pdf","MCRO_27-CR-21-13144_Order-Evaluation for Competency to Proceed (Rule 20.01)_2021-12-28_20251126183033.pdf")</f>
        <v>MCRO_27-CR-21-13144_Order-Evaluation for Competency to Proceed (Rule 20.01)_2021-12-28_20251126183033.pdf</v>
      </c>
      <c r="H190" s="1" t="s">
        <v>1362</v>
      </c>
      <c r="I190" s="1" t="n">
        <v>20251126183033</v>
      </c>
      <c r="J190" s="1" t="s">
        <v>3159</v>
      </c>
      <c r="K190" s="9" t="s">
        <v>2629</v>
      </c>
      <c r="L190" s="2" t="s">
        <v>2630</v>
      </c>
    </row>
    <row r="191" customFormat="false" ht="18.7" hidden="false" customHeight="true" outlineLevel="0" collapsed="false">
      <c r="A191" s="1" t="n">
        <v>190</v>
      </c>
      <c r="B191" s="7" t="str">
        <f aca="false">HYPERLINK("https://mncourtfraud.com/file/27-CR-21-13144.pdf","27-CR-21-13144")</f>
        <v>27-CR-21-13144</v>
      </c>
      <c r="C191" s="1" t="n">
        <v>1</v>
      </c>
      <c r="D191" s="2" t="s">
        <v>12</v>
      </c>
      <c r="E191" s="8" t="n">
        <v>44593</v>
      </c>
      <c r="F191" s="2" t="s">
        <v>19</v>
      </c>
      <c r="G191" s="7" t="str">
        <f aca="false">HYPERLINK("https://mncourtfraud.com/file/MCRO_27-CR-21-13144_Findings and Order_2022-02-01_20251126182907.pdf","MCRO_27-CR-21-13144_Findings and Order_2022-02-01_20251126182907.pdf")</f>
        <v>MCRO_27-CR-21-13144_Findings and Order_2022-02-01_20251126182907.pdf</v>
      </c>
      <c r="H191" s="1" t="s">
        <v>1362</v>
      </c>
      <c r="I191" s="1" t="n">
        <v>20251126182907</v>
      </c>
      <c r="J191" s="1" t="s">
        <v>3160</v>
      </c>
      <c r="K191" s="9" t="s">
        <v>2617</v>
      </c>
      <c r="L191" s="2" t="s">
        <v>2618</v>
      </c>
    </row>
    <row r="192" customFormat="false" ht="18.7" hidden="false" customHeight="true" outlineLevel="0" collapsed="false">
      <c r="A192" s="1" t="n">
        <v>191</v>
      </c>
      <c r="B192" s="7" t="str">
        <f aca="false">HYPERLINK("https://mncourtfraud.com/file/27-CR-21-13144.pdf","27-CR-21-13144")</f>
        <v>27-CR-21-13144</v>
      </c>
      <c r="C192" s="1" t="n">
        <v>1</v>
      </c>
      <c r="D192" s="2" t="s">
        <v>12</v>
      </c>
      <c r="E192" s="8" t="n">
        <v>44692</v>
      </c>
      <c r="F192" s="2" t="s">
        <v>15</v>
      </c>
      <c r="G192" s="7" t="str">
        <f aca="false">HYPERLINK("https://mncourtfraud.com/file/MCRO_27-CR-21-13144_Order-Evaluation for Competency to Proceed (Rule 20.01)_2022-05-11_20251126183041.pdf","MCRO_27-CR-21-13144_Order-Evaluation for Competency to Proceed (Rule 20.01)_2022-05-11_20251126183041.pdf")</f>
        <v>MCRO_27-CR-21-13144_Order-Evaluation for Competency to Proceed (Rule 20.01)_2022-05-11_20251126183041.pdf</v>
      </c>
      <c r="H192" s="1" t="s">
        <v>1362</v>
      </c>
      <c r="I192" s="1" t="n">
        <v>20251126183041</v>
      </c>
      <c r="J192" s="1" t="s">
        <v>3161</v>
      </c>
      <c r="K192" s="9" t="s">
        <v>2631</v>
      </c>
      <c r="L192" s="2" t="s">
        <v>2360</v>
      </c>
    </row>
    <row r="193" customFormat="false" ht="18.7" hidden="false" customHeight="true" outlineLevel="0" collapsed="false">
      <c r="A193" s="1" t="n">
        <v>192</v>
      </c>
      <c r="B193" s="7" t="str">
        <f aca="false">HYPERLINK("https://mncourtfraud.com/file/27-CR-21-13144.pdf","27-CR-21-13144")</f>
        <v>27-CR-21-13144</v>
      </c>
      <c r="C193" s="1" t="n">
        <v>1</v>
      </c>
      <c r="D193" s="2" t="s">
        <v>12</v>
      </c>
      <c r="E193" s="8" t="n">
        <v>44895</v>
      </c>
      <c r="F193" s="2" t="s">
        <v>15</v>
      </c>
      <c r="G193" s="7" t="str">
        <f aca="false">HYPERLINK("https://mncourtfraud.com/file/MCRO_27-CR-21-13144_Order-Evaluation for Competency to Proceed (Rule 20.01)_2022-11-30_20251126183049.pdf","MCRO_27-CR-21-13144_Order-Evaluation for Competency to Proceed (Rule 20.01)_2022-11-30_20251126183049.pdf")</f>
        <v>MCRO_27-CR-21-13144_Order-Evaluation for Competency to Proceed (Rule 20.01)_2022-11-30_20251126183049.pdf</v>
      </c>
      <c r="H193" s="1" t="s">
        <v>1362</v>
      </c>
      <c r="I193" s="1" t="n">
        <v>20251126183049</v>
      </c>
      <c r="J193" s="1" t="s">
        <v>3162</v>
      </c>
      <c r="K193" s="9" t="s">
        <v>2632</v>
      </c>
      <c r="L193" s="2" t="s">
        <v>2336</v>
      </c>
    </row>
    <row r="194" customFormat="false" ht="18.7" hidden="false" customHeight="true" outlineLevel="0" collapsed="false">
      <c r="A194" s="1" t="n">
        <v>193</v>
      </c>
      <c r="B194" s="7" t="str">
        <f aca="false">HYPERLINK("https://mncourtfraud.com/file/27-CR-21-13144.pdf","27-CR-21-13144")</f>
        <v>27-CR-21-13144</v>
      </c>
      <c r="C194" s="1" t="n">
        <v>1</v>
      </c>
      <c r="D194" s="2" t="s">
        <v>12</v>
      </c>
      <c r="E194" s="8" t="n">
        <v>44999</v>
      </c>
      <c r="F194" s="2" t="s">
        <v>17</v>
      </c>
      <c r="G194" s="7" t="str">
        <f aca="false">HYPERLINK("https://mncourtfraud.com/file/MCRO_27-CR-21-13144_Returned Mail_2023-03-14_20251126183118.pdf","MCRO_27-CR-21-13144_Returned Mail_2023-03-14_20251126183118.pdf")</f>
        <v>MCRO_27-CR-21-13144_Returned Mail_2023-03-14_20251126183118.pdf</v>
      </c>
      <c r="H194" s="1" t="s">
        <v>1362</v>
      </c>
      <c r="I194" s="1" t="n">
        <v>20251126183118</v>
      </c>
      <c r="J194" s="1" t="s">
        <v>3163</v>
      </c>
      <c r="K194" s="9" t="s">
        <v>2637</v>
      </c>
      <c r="L194" s="2" t="s">
        <v>2638</v>
      </c>
    </row>
    <row r="195" customFormat="false" ht="18.7" hidden="false" customHeight="true" outlineLevel="0" collapsed="false">
      <c r="A195" s="1" t="n">
        <v>194</v>
      </c>
      <c r="B195" s="7" t="str">
        <f aca="false">HYPERLINK("https://mncourtfraud.com/file/27-CR-21-13144.pdf","27-CR-21-13144")</f>
        <v>27-CR-21-13144</v>
      </c>
      <c r="C195" s="1" t="n">
        <v>1</v>
      </c>
      <c r="D195" s="2" t="s">
        <v>12</v>
      </c>
      <c r="E195" s="8" t="n">
        <v>45048</v>
      </c>
      <c r="F195" s="2" t="s">
        <v>80</v>
      </c>
      <c r="G195" s="7" t="str">
        <f aca="false">HYPERLINK("https://mncourtfraud.com/file/MCRO_27-CR-21-13144_Finding of Incompetency and Order_2023-05-02_20251126182855.pdf","MCRO_27-CR-21-13144_Finding of Incompetency and Order_2023-05-02_20251126182855.pdf")</f>
        <v>MCRO_27-CR-21-13144_Finding of Incompetency and Order_2023-05-02_20251126182855.pdf</v>
      </c>
      <c r="H195" s="1" t="s">
        <v>1362</v>
      </c>
      <c r="I195" s="1" t="n">
        <v>20251126182855</v>
      </c>
      <c r="J195" s="1" t="s">
        <v>3164</v>
      </c>
      <c r="K195" s="9" t="s">
        <v>2613</v>
      </c>
      <c r="L195" s="2" t="s">
        <v>2614</v>
      </c>
    </row>
    <row r="196" customFormat="false" ht="18.7" hidden="false" customHeight="true" outlineLevel="0" collapsed="false">
      <c r="A196" s="1" t="n">
        <v>195</v>
      </c>
      <c r="B196" s="7" t="str">
        <f aca="false">HYPERLINK("https://mncourtfraud.com/file/27-CR-21-13144.pdf","27-CR-21-13144")</f>
        <v>27-CR-21-13144</v>
      </c>
      <c r="C196" s="1" t="n">
        <v>1</v>
      </c>
      <c r="D196" s="2" t="s">
        <v>12</v>
      </c>
      <c r="E196" s="8" t="n">
        <v>45093</v>
      </c>
      <c r="F196" s="2" t="s">
        <v>82</v>
      </c>
      <c r="G196" s="7" t="str">
        <f aca="false">HYPERLINK("https://mncourtfraud.com/file/MCRO_27-CR-21-13144_Notice of Case Reassignment_2023-06-16_20251126182929.pdf","MCRO_27-CR-21-13144_Notice of Case Reassignment_2023-06-16_20251126182929.pdf")</f>
        <v>MCRO_27-CR-21-13144_Notice of Case Reassignment_2023-06-16_20251126182929.pdf</v>
      </c>
      <c r="H196" s="1" t="s">
        <v>1362</v>
      </c>
      <c r="I196" s="1" t="n">
        <v>20251126182929</v>
      </c>
      <c r="J196" s="1" t="s">
        <v>3165</v>
      </c>
      <c r="K196" s="9" t="s">
        <v>2619</v>
      </c>
      <c r="L196" s="2" t="s">
        <v>2620</v>
      </c>
    </row>
    <row r="197" customFormat="false" ht="18.7" hidden="false" customHeight="true" outlineLevel="0" collapsed="false">
      <c r="A197" s="1" t="n">
        <v>196</v>
      </c>
      <c r="B197" s="7" t="str">
        <f aca="false">HYPERLINK("https://mncourtfraud.com/file/27-CR-21-13144.pdf","27-CR-21-13144")</f>
        <v>27-CR-21-13144</v>
      </c>
      <c r="C197" s="1" t="n">
        <v>1</v>
      </c>
      <c r="D197" s="2" t="s">
        <v>12</v>
      </c>
      <c r="E197" s="8" t="n">
        <v>45160</v>
      </c>
      <c r="F197" s="2" t="s">
        <v>15</v>
      </c>
      <c r="G197" s="7" t="str">
        <f aca="false">HYPERLINK("https://mncourtfraud.com/file/MCRO_27-CR-21-13144_Order-Evaluation for Competency to Proceed (Rule 20.01)_2023-08-22_20251126183057.pdf","MCRO_27-CR-21-13144_Order-Evaluation for Competency to Proceed (Rule 20.01)_2023-08-22_20251126183057.pdf")</f>
        <v>MCRO_27-CR-21-13144_Order-Evaluation for Competency to Proceed (Rule 20.01)_2023-08-22_20251126183057.pdf</v>
      </c>
      <c r="H197" s="1" t="s">
        <v>1362</v>
      </c>
      <c r="I197" s="1" t="n">
        <v>20251126183057</v>
      </c>
      <c r="J197" s="1" t="s">
        <v>3166</v>
      </c>
      <c r="K197" s="9" t="s">
        <v>2633</v>
      </c>
      <c r="L197" s="2" t="s">
        <v>2634</v>
      </c>
    </row>
    <row r="198" customFormat="false" ht="18.7" hidden="false" customHeight="true" outlineLevel="0" collapsed="false">
      <c r="A198" s="1" t="n">
        <v>197</v>
      </c>
      <c r="B198" s="7" t="str">
        <f aca="false">HYPERLINK("https://mncourtfraud.com/file/27-CR-21-13144.pdf","27-CR-21-13144")</f>
        <v>27-CR-21-13144</v>
      </c>
      <c r="C198" s="1" t="n">
        <v>1</v>
      </c>
      <c r="D198" s="2" t="s">
        <v>12</v>
      </c>
      <c r="E198" s="8" t="n">
        <v>45412</v>
      </c>
      <c r="F198" s="2" t="s">
        <v>24</v>
      </c>
      <c r="G198" s="7" t="str">
        <f aca="false">HYPERLINK("https://mncourtfraud.com/file/MCRO_27-CR-21-13144_Order for Conditional Release_2024-04-30_20251126182947.pdf","MCRO_27-CR-21-13144_Order for Conditional Release_2024-04-30_20251126182947.pdf")</f>
        <v>MCRO_27-CR-21-13144_Order for Conditional Release_2024-04-30_20251126182947.pdf</v>
      </c>
      <c r="H198" s="1" t="s">
        <v>1362</v>
      </c>
      <c r="I198" s="1" t="n">
        <v>20251126182947</v>
      </c>
      <c r="J198" s="1" t="s">
        <v>3167</v>
      </c>
      <c r="K198" s="9" t="s">
        <v>2623</v>
      </c>
      <c r="L198" s="2" t="s">
        <v>2624</v>
      </c>
    </row>
    <row r="199" customFormat="false" ht="18.7" hidden="false" customHeight="true" outlineLevel="0" collapsed="false">
      <c r="A199" s="1" t="n">
        <v>198</v>
      </c>
      <c r="B199" s="7" t="str">
        <f aca="false">HYPERLINK("https://mncourtfraud.com/file/27-CR-21-13144.pdf","27-CR-21-13144")</f>
        <v>27-CR-21-13144</v>
      </c>
      <c r="C199" s="1" t="n">
        <v>1</v>
      </c>
      <c r="D199" s="2" t="s">
        <v>12</v>
      </c>
      <c r="E199" s="8" t="n">
        <v>45412</v>
      </c>
      <c r="F199" s="2" t="s">
        <v>15</v>
      </c>
      <c r="G199" s="7" t="str">
        <f aca="false">HYPERLINK("https://mncourtfraud.com/file/MCRO_27-CR-21-13144_Order-Evaluation for Competency to Proceed (Rule 20.01)_2024-04-30_20251126183105.pdf","MCRO_27-CR-21-13144_Order-Evaluation for Competency to Proceed (Rule 20.01)_2024-04-30_20251126183105.pdf")</f>
        <v>MCRO_27-CR-21-13144_Order-Evaluation for Competency to Proceed (Rule 20.01)_2024-04-30_20251126183105.pdf</v>
      </c>
      <c r="H199" s="1" t="s">
        <v>1362</v>
      </c>
      <c r="I199" s="1" t="n">
        <v>20251126183105</v>
      </c>
      <c r="J199" s="1" t="s">
        <v>3168</v>
      </c>
      <c r="K199" s="9" t="s">
        <v>2635</v>
      </c>
      <c r="L199" s="2" t="s">
        <v>2636</v>
      </c>
    </row>
    <row r="200" customFormat="false" ht="18.7" hidden="false" customHeight="true" outlineLevel="0" collapsed="false">
      <c r="A200" s="1" t="n">
        <v>199</v>
      </c>
      <c r="B200" s="7" t="str">
        <f aca="false">HYPERLINK("https://mncourtfraud.com/file/27-CR-21-13146.pdf","27-CR-21-13146")</f>
        <v>27-CR-21-13146</v>
      </c>
      <c r="C200" s="1" t="n">
        <v>1</v>
      </c>
      <c r="D200" s="2" t="s">
        <v>12</v>
      </c>
      <c r="E200" s="8" t="n">
        <v>44396</v>
      </c>
      <c r="F200" s="2" t="s">
        <v>15</v>
      </c>
      <c r="G200" s="7" t="str">
        <f aca="false">HYPERLINK("https://mncourtfraud.com/file/MCRO_27-CR-21-13146_Order-Evaluation for Competency to Proceed (Rule 20.01)_2021-07-19_20251126183316.pdf","MCRO_27-CR-21-13146_Order-Evaluation for Competency to Proceed (Rule 20.01)_2021-07-19_20251126183316.pdf")</f>
        <v>MCRO_27-CR-21-13146_Order-Evaluation for Competency to Proceed (Rule 20.01)_2021-07-19_20251126183316.pdf</v>
      </c>
      <c r="H200" s="1" t="s">
        <v>1362</v>
      </c>
      <c r="I200" s="1" t="n">
        <v>20251126183316</v>
      </c>
      <c r="J200" s="1" t="s">
        <v>3169</v>
      </c>
      <c r="K200" s="9" t="s">
        <v>2651</v>
      </c>
      <c r="L200" s="2" t="s">
        <v>2652</v>
      </c>
    </row>
    <row r="201" customFormat="false" ht="18.7" hidden="false" customHeight="true" outlineLevel="0" collapsed="false">
      <c r="A201" s="1" t="n">
        <v>200</v>
      </c>
      <c r="B201" s="7" t="str">
        <f aca="false">HYPERLINK("https://mncourtfraud.com/file/27-CR-21-13146.pdf","27-CR-21-13146")</f>
        <v>27-CR-21-13146</v>
      </c>
      <c r="C201" s="1" t="n">
        <v>1</v>
      </c>
      <c r="D201" s="2" t="s">
        <v>12</v>
      </c>
      <c r="E201" s="8" t="n">
        <v>44405</v>
      </c>
      <c r="F201" s="2" t="s">
        <v>145</v>
      </c>
      <c r="G201" s="7" t="str">
        <f aca="false">HYPERLINK("https://mncourtfraud.com/file/MCRO_27-CR-21-13146_Demand or Request for Discovery_2021-07-28_20251126183146.pdf","MCRO_27-CR-21-13146_Demand or Request for Discovery_2021-07-28_20251126183146.pdf")</f>
        <v>MCRO_27-CR-21-13146_Demand or Request for Discovery_2021-07-28_20251126183146.pdf</v>
      </c>
      <c r="H201" s="1" t="s">
        <v>1362</v>
      </c>
      <c r="I201" s="1" t="n">
        <v>20251126183146</v>
      </c>
      <c r="J201" s="1" t="s">
        <v>3170</v>
      </c>
      <c r="K201" s="9" t="s">
        <v>2639</v>
      </c>
      <c r="L201" s="2" t="s">
        <v>2640</v>
      </c>
    </row>
    <row r="202" customFormat="false" ht="18.7" hidden="false" customHeight="true" outlineLevel="0" collapsed="false">
      <c r="A202" s="1" t="n">
        <v>201</v>
      </c>
      <c r="B202" s="7" t="str">
        <f aca="false">HYPERLINK("https://mncourtfraud.com/file/27-CR-21-13146.pdf","27-CR-21-13146")</f>
        <v>27-CR-21-13146</v>
      </c>
      <c r="C202" s="1" t="n">
        <v>1</v>
      </c>
      <c r="D202" s="2" t="s">
        <v>12</v>
      </c>
      <c r="E202" s="8" t="n">
        <v>44439</v>
      </c>
      <c r="F202" s="2" t="s">
        <v>19</v>
      </c>
      <c r="G202" s="7" t="str">
        <f aca="false">HYPERLINK("https://mncourtfraud.com/file/MCRO_27-CR-21-13146_Findings and Order_2021-08-31_20251126183219.pdf","MCRO_27-CR-21-13146_Findings and Order_2021-08-31_20251126183219.pdf")</f>
        <v>MCRO_27-CR-21-13146_Findings and Order_2021-08-31_20251126183219.pdf</v>
      </c>
      <c r="H202" s="1" t="s">
        <v>1362</v>
      </c>
      <c r="I202" s="1" t="n">
        <v>20251126183219</v>
      </c>
      <c r="J202" s="1" t="s">
        <v>3171</v>
      </c>
      <c r="K202" s="9" t="s">
        <v>2643</v>
      </c>
      <c r="L202" s="2" t="s">
        <v>2616</v>
      </c>
    </row>
    <row r="203" customFormat="false" ht="18.7" hidden="false" customHeight="true" outlineLevel="0" collapsed="false">
      <c r="A203" s="1" t="n">
        <v>202</v>
      </c>
      <c r="B203" s="7" t="str">
        <f aca="false">HYPERLINK("https://mncourtfraud.com/file/27-CR-21-13146.pdf","27-CR-21-13146")</f>
        <v>27-CR-21-13146</v>
      </c>
      <c r="C203" s="1" t="n">
        <v>1</v>
      </c>
      <c r="D203" s="2" t="s">
        <v>12</v>
      </c>
      <c r="E203" s="8" t="n">
        <v>44460</v>
      </c>
      <c r="F203" s="2" t="s">
        <v>24</v>
      </c>
      <c r="G203" s="7" t="str">
        <f aca="false">HYPERLINK("https://mncourtfraud.com/file/MCRO_27-CR-21-13146_Order for Conditional Release_2021-09-21_20251126183258.pdf","MCRO_27-CR-21-13146_Order for Conditional Release_2021-09-21_20251126183258.pdf")</f>
        <v>MCRO_27-CR-21-13146_Order for Conditional Release_2021-09-21_20251126183258.pdf</v>
      </c>
      <c r="H203" s="1" t="s">
        <v>1362</v>
      </c>
      <c r="I203" s="1" t="n">
        <v>20251126183258</v>
      </c>
      <c r="J203" s="1" t="s">
        <v>3172</v>
      </c>
      <c r="K203" s="9" t="s">
        <v>2646</v>
      </c>
      <c r="L203" s="2" t="s">
        <v>2321</v>
      </c>
    </row>
    <row r="204" customFormat="false" ht="18.7" hidden="false" customHeight="true" outlineLevel="0" collapsed="false">
      <c r="A204" s="1" t="n">
        <v>203</v>
      </c>
      <c r="B204" s="7" t="str">
        <f aca="false">HYPERLINK("https://mncourtfraud.com/file/27-CR-21-13146.pdf","27-CR-21-13146")</f>
        <v>27-CR-21-13146</v>
      </c>
      <c r="C204" s="1" t="n">
        <v>1</v>
      </c>
      <c r="D204" s="2" t="s">
        <v>12</v>
      </c>
      <c r="E204" s="8" t="n">
        <v>44468</v>
      </c>
      <c r="F204" s="2" t="s">
        <v>24</v>
      </c>
      <c r="G204" s="7" t="str">
        <f aca="false">HYPERLINK("https://mncourtfraud.com/file/MCRO_27-CR-21-13146_Order for Conditional Release_2021-09-29_20251126183304.pdf","MCRO_27-CR-21-13146_Order for Conditional Release_2021-09-29_20251126183304.pdf")</f>
        <v>MCRO_27-CR-21-13146_Order for Conditional Release_2021-09-29_20251126183304.pdf</v>
      </c>
      <c r="H204" s="1" t="s">
        <v>1362</v>
      </c>
      <c r="I204" s="1" t="n">
        <v>20251126183304</v>
      </c>
      <c r="J204" s="1" t="s">
        <v>3173</v>
      </c>
      <c r="K204" s="9" t="s">
        <v>2647</v>
      </c>
      <c r="L204" s="2" t="s">
        <v>2648</v>
      </c>
    </row>
    <row r="205" customFormat="false" ht="18.7" hidden="false" customHeight="true" outlineLevel="0" collapsed="false">
      <c r="A205" s="1" t="n">
        <v>204</v>
      </c>
      <c r="B205" s="7" t="str">
        <f aca="false">HYPERLINK("https://mncourtfraud.com/file/27-CR-21-13146.pdf","27-CR-21-13146")</f>
        <v>27-CR-21-13146</v>
      </c>
      <c r="C205" s="1" t="n">
        <v>1</v>
      </c>
      <c r="D205" s="2" t="s">
        <v>12</v>
      </c>
      <c r="E205" s="8" t="n">
        <v>44543</v>
      </c>
      <c r="F205" s="2" t="s">
        <v>15</v>
      </c>
      <c r="G205" s="7" t="str">
        <f aca="false">HYPERLINK("https://mncourtfraud.com/file/MCRO_27-CR-21-13146_Order-Evaluation for Competency to Proceed (Rule 20.01)_2021-12-13_20251126183322.pdf","MCRO_27-CR-21-13146_Order-Evaluation for Competency to Proceed (Rule 20.01)_2021-12-13_20251126183322.pdf")</f>
        <v>MCRO_27-CR-21-13146_Order-Evaluation for Competency to Proceed (Rule 20.01)_2021-12-13_20251126183322.pdf</v>
      </c>
      <c r="H205" s="1" t="s">
        <v>1362</v>
      </c>
      <c r="I205" s="1" t="n">
        <v>20251126183322</v>
      </c>
      <c r="J205" s="1" t="s">
        <v>3174</v>
      </c>
      <c r="K205" s="9" t="s">
        <v>2653</v>
      </c>
      <c r="L205" s="2" t="s">
        <v>2654</v>
      </c>
    </row>
    <row r="206" customFormat="false" ht="18.7" hidden="false" customHeight="true" outlineLevel="0" collapsed="false">
      <c r="A206" s="1" t="n">
        <v>205</v>
      </c>
      <c r="B206" s="7" t="str">
        <f aca="false">HYPERLINK("https://mncourtfraud.com/file/27-CR-21-13146.pdf","27-CR-21-13146")</f>
        <v>27-CR-21-13146</v>
      </c>
      <c r="C206" s="1" t="n">
        <v>1</v>
      </c>
      <c r="D206" s="2" t="s">
        <v>12</v>
      </c>
      <c r="E206" s="8" t="n">
        <v>44558</v>
      </c>
      <c r="F206" s="2" t="s">
        <v>15</v>
      </c>
      <c r="G206" s="7" t="str">
        <f aca="false">HYPERLINK("https://mncourtfraud.com/file/MCRO_27-CR-21-13146_Order-Evaluation for Competency to Proceed (Rule 20.01)_2021-12-28_20251126183331.pdf","MCRO_27-CR-21-13146_Order-Evaluation for Competency to Proceed (Rule 20.01)_2021-12-28_20251126183331.pdf")</f>
        <v>MCRO_27-CR-21-13146_Order-Evaluation for Competency to Proceed (Rule 20.01)_2021-12-28_20251126183331.pdf</v>
      </c>
      <c r="H206" s="1" t="s">
        <v>1362</v>
      </c>
      <c r="I206" s="1" t="n">
        <v>20251126183331</v>
      </c>
      <c r="J206" s="1" t="s">
        <v>3175</v>
      </c>
      <c r="K206" s="9" t="s">
        <v>2655</v>
      </c>
      <c r="L206" s="2" t="s">
        <v>2656</v>
      </c>
    </row>
    <row r="207" customFormat="false" ht="18.7" hidden="false" customHeight="true" outlineLevel="0" collapsed="false">
      <c r="A207" s="1" t="n">
        <v>206</v>
      </c>
      <c r="B207" s="7" t="str">
        <f aca="false">HYPERLINK("https://mncourtfraud.com/file/27-CR-21-13146.pdf","27-CR-21-13146")</f>
        <v>27-CR-21-13146</v>
      </c>
      <c r="C207" s="1" t="n">
        <v>1</v>
      </c>
      <c r="D207" s="2" t="s">
        <v>12</v>
      </c>
      <c r="E207" s="8" t="n">
        <v>44593</v>
      </c>
      <c r="F207" s="2" t="s">
        <v>19</v>
      </c>
      <c r="G207" s="7" t="str">
        <f aca="false">HYPERLINK("https://mncourtfraud.com/file/MCRO_27-CR-21-13146_Findings and Order_2022-02-01_20251126183209.pdf","MCRO_27-CR-21-13146_Findings and Order_2022-02-01_20251126183209.pdf")</f>
        <v>MCRO_27-CR-21-13146_Findings and Order_2022-02-01_20251126183209.pdf</v>
      </c>
      <c r="H207" s="1" t="s">
        <v>1362</v>
      </c>
      <c r="I207" s="1" t="n">
        <v>20251126183209</v>
      </c>
      <c r="J207" s="1" t="s">
        <v>3176</v>
      </c>
      <c r="K207" s="9" t="s">
        <v>2644</v>
      </c>
      <c r="L207" s="2" t="s">
        <v>2618</v>
      </c>
    </row>
    <row r="208" customFormat="false" ht="18.7" hidden="false" customHeight="true" outlineLevel="0" collapsed="false">
      <c r="A208" s="1" t="n">
        <v>207</v>
      </c>
      <c r="B208" s="7" t="str">
        <f aca="false">HYPERLINK("https://mncourtfraud.com/file/27-CR-21-13146.pdf","27-CR-21-13146")</f>
        <v>27-CR-21-13146</v>
      </c>
      <c r="C208" s="1" t="n">
        <v>1</v>
      </c>
      <c r="D208" s="2" t="s">
        <v>12</v>
      </c>
      <c r="E208" s="8" t="n">
        <v>44692</v>
      </c>
      <c r="F208" s="2" t="s">
        <v>15</v>
      </c>
      <c r="G208" s="7" t="str">
        <f aca="false">HYPERLINK("https://mncourtfraud.com/file/MCRO_27-CR-21-13146_Order-Evaluation for Competency to Proceed (Rule 20.01)_2022-05-11_20251126183340.pdf","MCRO_27-CR-21-13146_Order-Evaluation for Competency to Proceed (Rule 20.01)_2022-05-11_20251126183340.pdf")</f>
        <v>MCRO_27-CR-21-13146_Order-Evaluation for Competency to Proceed (Rule 20.01)_2022-05-11_20251126183340.pdf</v>
      </c>
      <c r="H208" s="1" t="s">
        <v>1362</v>
      </c>
      <c r="I208" s="1" t="n">
        <v>20251126183340</v>
      </c>
      <c r="J208" s="1" t="s">
        <v>3177</v>
      </c>
      <c r="K208" s="9" t="s">
        <v>2657</v>
      </c>
      <c r="L208" s="2" t="s">
        <v>2511</v>
      </c>
    </row>
    <row r="209" customFormat="false" ht="18.7" hidden="false" customHeight="true" outlineLevel="0" collapsed="false">
      <c r="A209" s="1" t="n">
        <v>208</v>
      </c>
      <c r="B209" s="7" t="str">
        <f aca="false">HYPERLINK("https://mncourtfraud.com/file/27-CR-21-13146.pdf","27-CR-21-13146")</f>
        <v>27-CR-21-13146</v>
      </c>
      <c r="C209" s="1" t="n">
        <v>1</v>
      </c>
      <c r="D209" s="2" t="s">
        <v>12</v>
      </c>
      <c r="E209" s="8" t="n">
        <v>44895</v>
      </c>
      <c r="F209" s="2" t="s">
        <v>15</v>
      </c>
      <c r="G209" s="7" t="str">
        <f aca="false">HYPERLINK("https://mncourtfraud.com/file/MCRO_27-CR-21-13146_Order-Evaluation for Competency to Proceed (Rule 20.01)_2022-11-30_20251126183348.pdf","MCRO_27-CR-21-13146_Order-Evaluation for Competency to Proceed (Rule 20.01)_2022-11-30_20251126183348.pdf")</f>
        <v>MCRO_27-CR-21-13146_Order-Evaluation for Competency to Proceed (Rule 20.01)_2022-11-30_20251126183348.pdf</v>
      </c>
      <c r="H209" s="1" t="s">
        <v>1362</v>
      </c>
      <c r="I209" s="1" t="n">
        <v>20251126183348</v>
      </c>
      <c r="J209" s="1" t="s">
        <v>3178</v>
      </c>
      <c r="K209" s="9" t="s">
        <v>2658</v>
      </c>
      <c r="L209" s="2" t="s">
        <v>2659</v>
      </c>
    </row>
    <row r="210" customFormat="false" ht="18.7" hidden="false" customHeight="true" outlineLevel="0" collapsed="false">
      <c r="A210" s="1" t="n">
        <v>209</v>
      </c>
      <c r="B210" s="7" t="str">
        <f aca="false">HYPERLINK("https://mncourtfraud.com/file/27-CR-21-13146.pdf","27-CR-21-13146")</f>
        <v>27-CR-21-13146</v>
      </c>
      <c r="C210" s="1" t="n">
        <v>1</v>
      </c>
      <c r="D210" s="2" t="s">
        <v>12</v>
      </c>
      <c r="E210" s="8" t="n">
        <v>44999</v>
      </c>
      <c r="F210" s="2" t="s">
        <v>17</v>
      </c>
      <c r="G210" s="7" t="str">
        <f aca="false">HYPERLINK("https://mncourtfraud.com/file/MCRO_27-CR-21-13146_Returned Mail_2023-03-14_20251126183418.pdf","MCRO_27-CR-21-13146_Returned Mail_2023-03-14_20251126183418.pdf")</f>
        <v>MCRO_27-CR-21-13146_Returned Mail_2023-03-14_20251126183418.pdf</v>
      </c>
      <c r="H210" s="1" t="s">
        <v>1362</v>
      </c>
      <c r="I210" s="1" t="n">
        <v>20251126183418</v>
      </c>
      <c r="J210" s="1" t="s">
        <v>3179</v>
      </c>
      <c r="K210" s="9" t="s">
        <v>2663</v>
      </c>
      <c r="L210" s="2" t="s">
        <v>2664</v>
      </c>
    </row>
    <row r="211" customFormat="false" ht="18.7" hidden="false" customHeight="true" outlineLevel="0" collapsed="false">
      <c r="A211" s="1" t="n">
        <v>210</v>
      </c>
      <c r="B211" s="7" t="str">
        <f aca="false">HYPERLINK("https://mncourtfraud.com/file/27-CR-21-13146.pdf","27-CR-21-13146")</f>
        <v>27-CR-21-13146</v>
      </c>
      <c r="C211" s="1" t="n">
        <v>1</v>
      </c>
      <c r="D211" s="2" t="s">
        <v>12</v>
      </c>
      <c r="E211" s="8" t="n">
        <v>45048</v>
      </c>
      <c r="F211" s="2" t="s">
        <v>80</v>
      </c>
      <c r="G211" s="7" t="str">
        <f aca="false">HYPERLINK("https://mncourtfraud.com/file/MCRO_27-CR-21-13146_Finding of Incompetency and Order_2023-05-02_20251126183156.pdf","MCRO_27-CR-21-13146_Finding of Incompetency and Order_2023-05-02_20251126183156.pdf")</f>
        <v>MCRO_27-CR-21-13146_Finding of Incompetency and Order_2023-05-02_20251126183156.pdf</v>
      </c>
      <c r="H211" s="1" t="s">
        <v>1362</v>
      </c>
      <c r="I211" s="1" t="n">
        <v>20251126183156</v>
      </c>
      <c r="J211" s="1" t="s">
        <v>3180</v>
      </c>
      <c r="K211" s="9" t="s">
        <v>2641</v>
      </c>
      <c r="L211" s="2" t="s">
        <v>2642</v>
      </c>
    </row>
    <row r="212" customFormat="false" ht="18.7" hidden="false" customHeight="true" outlineLevel="0" collapsed="false">
      <c r="A212" s="1" t="n">
        <v>211</v>
      </c>
      <c r="B212" s="7" t="str">
        <f aca="false">HYPERLINK("https://mncourtfraud.com/file/27-CR-21-13146.pdf","27-CR-21-13146")</f>
        <v>27-CR-21-13146</v>
      </c>
      <c r="C212" s="1" t="n">
        <v>1</v>
      </c>
      <c r="D212" s="2" t="s">
        <v>12</v>
      </c>
      <c r="E212" s="8" t="n">
        <v>45093</v>
      </c>
      <c r="F212" s="2" t="s">
        <v>82</v>
      </c>
      <c r="G212" s="7" t="str">
        <f aca="false">HYPERLINK("https://mncourtfraud.com/file/MCRO_27-CR-21-13146_Notice of Case Reassignment_2023-06-16_20251126183231.pdf","MCRO_27-CR-21-13146_Notice of Case Reassignment_2023-06-16_20251126183231.pdf")</f>
        <v>MCRO_27-CR-21-13146_Notice of Case Reassignment_2023-06-16_20251126183231.pdf</v>
      </c>
      <c r="H212" s="1" t="s">
        <v>1362</v>
      </c>
      <c r="I212" s="1" t="n">
        <v>20251126183231</v>
      </c>
      <c r="J212" s="1" t="s">
        <v>3181</v>
      </c>
      <c r="K212" s="9" t="s">
        <v>2645</v>
      </c>
      <c r="L212" s="2" t="s">
        <v>2427</v>
      </c>
    </row>
    <row r="213" customFormat="false" ht="18.7" hidden="false" customHeight="true" outlineLevel="0" collapsed="false">
      <c r="A213" s="1" t="n">
        <v>212</v>
      </c>
      <c r="B213" s="7" t="str">
        <f aca="false">HYPERLINK("https://mncourtfraud.com/file/27-CR-21-13146.pdf","27-CR-21-13146")</f>
        <v>27-CR-21-13146</v>
      </c>
      <c r="C213" s="1" t="n">
        <v>1</v>
      </c>
      <c r="D213" s="2" t="s">
        <v>12</v>
      </c>
      <c r="E213" s="8" t="n">
        <v>45160</v>
      </c>
      <c r="F213" s="2" t="s">
        <v>15</v>
      </c>
      <c r="G213" s="7" t="str">
        <f aca="false">HYPERLINK("https://mncourtfraud.com/file/MCRO_27-CR-21-13146_Order-Evaluation for Competency to Proceed (Rule 20.01)_2023-08-22_20251126183356.pdf","MCRO_27-CR-21-13146_Order-Evaluation for Competency to Proceed (Rule 20.01)_2023-08-22_20251126183356.pdf")</f>
        <v>MCRO_27-CR-21-13146_Order-Evaluation for Competency to Proceed (Rule 20.01)_2023-08-22_20251126183356.pdf</v>
      </c>
      <c r="H213" s="1" t="s">
        <v>1362</v>
      </c>
      <c r="I213" s="1" t="n">
        <v>20251126183356</v>
      </c>
      <c r="J213" s="1" t="s">
        <v>3182</v>
      </c>
      <c r="K213" s="9" t="s">
        <v>2660</v>
      </c>
      <c r="L213" s="2" t="s">
        <v>2535</v>
      </c>
    </row>
    <row r="214" customFormat="false" ht="18.7" hidden="false" customHeight="true" outlineLevel="0" collapsed="false">
      <c r="A214" s="1" t="n">
        <v>213</v>
      </c>
      <c r="B214" s="7" t="str">
        <f aca="false">HYPERLINK("https://mncourtfraud.com/file/27-CR-21-13146.pdf","27-CR-21-13146")</f>
        <v>27-CR-21-13146</v>
      </c>
      <c r="C214" s="1" t="n">
        <v>1</v>
      </c>
      <c r="D214" s="2" t="s">
        <v>12</v>
      </c>
      <c r="E214" s="8" t="n">
        <v>45412</v>
      </c>
      <c r="F214" s="2" t="s">
        <v>24</v>
      </c>
      <c r="G214" s="7" t="str">
        <f aca="false">HYPERLINK("https://mncourtfraud.com/file/MCRO_27-CR-21-13146_Order for Conditional Release_2024-04-30_20251126183251.pdf","MCRO_27-CR-21-13146_Order for Conditional Release_2024-04-30_20251126183251.pdf")</f>
        <v>MCRO_27-CR-21-13146_Order for Conditional Release_2024-04-30_20251126183251.pdf</v>
      </c>
      <c r="H214" s="1" t="s">
        <v>1362</v>
      </c>
      <c r="I214" s="1" t="n">
        <v>20251126183251</v>
      </c>
      <c r="J214" s="1" t="s">
        <v>3183</v>
      </c>
      <c r="K214" s="9" t="s">
        <v>2649</v>
      </c>
      <c r="L214" s="2" t="s">
        <v>2650</v>
      </c>
    </row>
    <row r="215" customFormat="false" ht="18.7" hidden="false" customHeight="true" outlineLevel="0" collapsed="false">
      <c r="A215" s="1" t="n">
        <v>214</v>
      </c>
      <c r="B215" s="7" t="str">
        <f aca="false">HYPERLINK("https://mncourtfraud.com/file/27-CR-21-13146.pdf","27-CR-21-13146")</f>
        <v>27-CR-21-13146</v>
      </c>
      <c r="C215" s="1" t="n">
        <v>1</v>
      </c>
      <c r="D215" s="2" t="s">
        <v>12</v>
      </c>
      <c r="E215" s="8" t="n">
        <v>45412</v>
      </c>
      <c r="F215" s="2" t="s">
        <v>15</v>
      </c>
      <c r="G215" s="7" t="str">
        <f aca="false">HYPERLINK("https://mncourtfraud.com/file/MCRO_27-CR-21-13146_Order-Evaluation for Competency to Proceed (Rule 20.01)_2024-04-30_20251126183404.pdf","MCRO_27-CR-21-13146_Order-Evaluation for Competency to Proceed (Rule 20.01)_2024-04-30_20251126183404.pdf")</f>
        <v>MCRO_27-CR-21-13146_Order-Evaluation for Competency to Proceed (Rule 20.01)_2024-04-30_20251126183404.pdf</v>
      </c>
      <c r="H215" s="1" t="s">
        <v>1362</v>
      </c>
      <c r="I215" s="1" t="n">
        <v>20251126183404</v>
      </c>
      <c r="J215" s="1" t="s">
        <v>3184</v>
      </c>
      <c r="K215" s="9" t="s">
        <v>2661</v>
      </c>
      <c r="L215" s="2" t="s">
        <v>2662</v>
      </c>
    </row>
    <row r="216" customFormat="false" ht="18.7" hidden="false" customHeight="true" outlineLevel="0" collapsed="false">
      <c r="A216" s="1" t="n">
        <v>215</v>
      </c>
      <c r="B216" s="7" t="str">
        <f aca="false">HYPERLINK("https://mncourtfraud.com/file/27-CR-21-13147.pdf","27-CR-21-13147")</f>
        <v>27-CR-21-13147</v>
      </c>
      <c r="C216" s="1" t="n">
        <v>1</v>
      </c>
      <c r="D216" s="2" t="s">
        <v>12</v>
      </c>
      <c r="E216" s="8" t="n">
        <v>44396</v>
      </c>
      <c r="F216" s="2" t="s">
        <v>15</v>
      </c>
      <c r="G216" s="7" t="str">
        <f aca="false">HYPERLINK("https://mncourtfraud.com/file/MCRO_27-CR-21-13147_Order-Evaluation for Competency to Proceed (Rule 20.01)_2021-07-19_20251126183607.pdf","MCRO_27-CR-21-13147_Order-Evaluation for Competency to Proceed (Rule 20.01)_2021-07-19_20251126183607.pdf")</f>
        <v>MCRO_27-CR-21-13147_Order-Evaluation for Competency to Proceed (Rule 20.01)_2021-07-19_20251126183607.pdf</v>
      </c>
      <c r="H216" s="1" t="s">
        <v>1362</v>
      </c>
      <c r="I216" s="1" t="n">
        <v>20251126183607</v>
      </c>
      <c r="J216" s="1" t="s">
        <v>3185</v>
      </c>
      <c r="K216" s="9" t="s">
        <v>2675</v>
      </c>
      <c r="L216" s="2" t="s">
        <v>2676</v>
      </c>
    </row>
    <row r="217" customFormat="false" ht="18.7" hidden="false" customHeight="true" outlineLevel="0" collapsed="false">
      <c r="A217" s="1" t="n">
        <v>216</v>
      </c>
      <c r="B217" s="7" t="str">
        <f aca="false">HYPERLINK("https://mncourtfraud.com/file/27-CR-21-13147.pdf","27-CR-21-13147")</f>
        <v>27-CR-21-13147</v>
      </c>
      <c r="C217" s="1" t="n">
        <v>1</v>
      </c>
      <c r="D217" s="2" t="s">
        <v>12</v>
      </c>
      <c r="E217" s="8" t="n">
        <v>44405</v>
      </c>
      <c r="F217" s="2" t="s">
        <v>145</v>
      </c>
      <c r="G217" s="7" t="str">
        <f aca="false">HYPERLINK("https://mncourtfraud.com/file/MCRO_27-CR-21-13147_Demand or Request for Discovery_2021-07-28_20251126183447.pdf","MCRO_27-CR-21-13147_Demand or Request for Discovery_2021-07-28_20251126183447.pdf")</f>
        <v>MCRO_27-CR-21-13147_Demand or Request for Discovery_2021-07-28_20251126183447.pdf</v>
      </c>
      <c r="H217" s="1" t="s">
        <v>1362</v>
      </c>
      <c r="I217" s="1" t="n">
        <v>20251126183447</v>
      </c>
      <c r="J217" s="1" t="s">
        <v>3186</v>
      </c>
      <c r="K217" s="9" t="s">
        <v>2665</v>
      </c>
      <c r="L217" s="2" t="s">
        <v>2666</v>
      </c>
    </row>
    <row r="218" customFormat="false" ht="18.7" hidden="false" customHeight="true" outlineLevel="0" collapsed="false">
      <c r="A218" s="1" t="n">
        <v>217</v>
      </c>
      <c r="B218" s="7" t="str">
        <f aca="false">HYPERLINK("https://mncourtfraud.com/file/27-CR-21-13147.pdf","27-CR-21-13147")</f>
        <v>27-CR-21-13147</v>
      </c>
      <c r="C218" s="1" t="n">
        <v>1</v>
      </c>
      <c r="D218" s="2" t="s">
        <v>12</v>
      </c>
      <c r="E218" s="8" t="n">
        <v>44439</v>
      </c>
      <c r="F218" s="2" t="s">
        <v>19</v>
      </c>
      <c r="G218" s="7" t="str">
        <f aca="false">HYPERLINK("https://mncourtfraud.com/file/MCRO_27-CR-21-13147_Findings and Order_2021-08-31_20251126183518.pdf","MCRO_27-CR-21-13147_Findings and Order_2021-08-31_20251126183518.pdf")</f>
        <v>MCRO_27-CR-21-13147_Findings and Order_2021-08-31_20251126183518.pdf</v>
      </c>
      <c r="H218" s="1" t="s">
        <v>1362</v>
      </c>
      <c r="I218" s="1" t="n">
        <v>20251126183518</v>
      </c>
      <c r="J218" s="1" t="s">
        <v>3187</v>
      </c>
      <c r="K218" s="9" t="s">
        <v>2668</v>
      </c>
      <c r="L218" s="2" t="s">
        <v>2287</v>
      </c>
    </row>
    <row r="219" customFormat="false" ht="18.7" hidden="false" customHeight="true" outlineLevel="0" collapsed="false">
      <c r="A219" s="1" t="n">
        <v>218</v>
      </c>
      <c r="B219" s="7" t="str">
        <f aca="false">HYPERLINK("https://mncourtfraud.com/file/27-CR-21-13147.pdf","27-CR-21-13147")</f>
        <v>27-CR-21-13147</v>
      </c>
      <c r="C219" s="1" t="n">
        <v>1</v>
      </c>
      <c r="D219" s="2" t="s">
        <v>12</v>
      </c>
      <c r="E219" s="8" t="n">
        <v>44460</v>
      </c>
      <c r="F219" s="2" t="s">
        <v>24</v>
      </c>
      <c r="G219" s="7" t="str">
        <f aca="false">HYPERLINK("https://mncourtfraud.com/file/MCRO_27-CR-21-13147_Order for Conditional Release_2021-09-21_20251126183551.pdf","MCRO_27-CR-21-13147_Order for Conditional Release_2021-09-21_20251126183551.pdf")</f>
        <v>MCRO_27-CR-21-13147_Order for Conditional Release_2021-09-21_20251126183551.pdf</v>
      </c>
      <c r="H219" s="1" t="s">
        <v>1362</v>
      </c>
      <c r="I219" s="1" t="n">
        <v>20251126183551</v>
      </c>
      <c r="J219" s="1" t="s">
        <v>3188</v>
      </c>
      <c r="K219" s="9" t="s">
        <v>2671</v>
      </c>
      <c r="L219" s="2" t="s">
        <v>2293</v>
      </c>
    </row>
    <row r="220" customFormat="false" ht="18.7" hidden="false" customHeight="true" outlineLevel="0" collapsed="false">
      <c r="A220" s="1" t="n">
        <v>219</v>
      </c>
      <c r="B220" s="7" t="str">
        <f aca="false">HYPERLINK("https://mncourtfraud.com/file/27-CR-21-13147.pdf","27-CR-21-13147")</f>
        <v>27-CR-21-13147</v>
      </c>
      <c r="C220" s="1" t="n">
        <v>1</v>
      </c>
      <c r="D220" s="2" t="s">
        <v>12</v>
      </c>
      <c r="E220" s="8" t="n">
        <v>44468</v>
      </c>
      <c r="F220" s="2" t="s">
        <v>24</v>
      </c>
      <c r="G220" s="7" t="str">
        <f aca="false">HYPERLINK("https://mncourtfraud.com/file/MCRO_27-CR-21-13147_Order for Conditional Release_2021-09-29_20251126183556.pdf","MCRO_27-CR-21-13147_Order for Conditional Release_2021-09-29_20251126183556.pdf")</f>
        <v>MCRO_27-CR-21-13147_Order for Conditional Release_2021-09-29_20251126183556.pdf</v>
      </c>
      <c r="H220" s="1" t="s">
        <v>1362</v>
      </c>
      <c r="I220" s="1" t="n">
        <v>20251126183556</v>
      </c>
      <c r="J220" s="1" t="s">
        <v>3189</v>
      </c>
      <c r="K220" s="9" t="s">
        <v>2672</v>
      </c>
      <c r="L220" s="2" t="s">
        <v>2398</v>
      </c>
    </row>
    <row r="221" customFormat="false" ht="18.7" hidden="false" customHeight="true" outlineLevel="0" collapsed="false">
      <c r="A221" s="1" t="n">
        <v>220</v>
      </c>
      <c r="B221" s="7" t="str">
        <f aca="false">HYPERLINK("https://mncourtfraud.com/file/27-CR-21-13147.pdf","27-CR-21-13147")</f>
        <v>27-CR-21-13147</v>
      </c>
      <c r="C221" s="1" t="n">
        <v>1</v>
      </c>
      <c r="D221" s="2" t="s">
        <v>12</v>
      </c>
      <c r="E221" s="8" t="n">
        <v>44543</v>
      </c>
      <c r="F221" s="2" t="s">
        <v>15</v>
      </c>
      <c r="G221" s="7" t="str">
        <f aca="false">HYPERLINK("https://mncourtfraud.com/file/MCRO_27-CR-21-13147_Order-Evaluation for Competency to Proceed (Rule 20.01)_2021-12-13_20251126183615.pdf","MCRO_27-CR-21-13147_Order-Evaluation for Competency to Proceed (Rule 20.01)_2021-12-13_20251126183615.pdf")</f>
        <v>MCRO_27-CR-21-13147_Order-Evaluation for Competency to Proceed (Rule 20.01)_2021-12-13_20251126183615.pdf</v>
      </c>
      <c r="H221" s="1" t="s">
        <v>1362</v>
      </c>
      <c r="I221" s="1" t="n">
        <v>20251126183615</v>
      </c>
      <c r="J221" s="1" t="s">
        <v>3190</v>
      </c>
      <c r="K221" s="9" t="s">
        <v>2677</v>
      </c>
      <c r="L221" s="2" t="s">
        <v>2678</v>
      </c>
    </row>
    <row r="222" customFormat="false" ht="18.7" hidden="false" customHeight="true" outlineLevel="0" collapsed="false">
      <c r="A222" s="1" t="n">
        <v>221</v>
      </c>
      <c r="B222" s="7" t="str">
        <f aca="false">HYPERLINK("https://mncourtfraud.com/file/27-CR-21-13147.pdf","27-CR-21-13147")</f>
        <v>27-CR-21-13147</v>
      </c>
      <c r="C222" s="1" t="n">
        <v>1</v>
      </c>
      <c r="D222" s="2" t="s">
        <v>12</v>
      </c>
      <c r="E222" s="8" t="n">
        <v>44558</v>
      </c>
      <c r="F222" s="2" t="s">
        <v>15</v>
      </c>
      <c r="G222" s="7" t="str">
        <f aca="false">HYPERLINK("https://mncourtfraud.com/file/MCRO_27-CR-21-13147_Order-Evaluation for Competency to Proceed (Rule 20.01)_2021-12-28_20251126183624.pdf","MCRO_27-CR-21-13147_Order-Evaluation for Competency to Proceed (Rule 20.01)_2021-12-28_20251126183624.pdf")</f>
        <v>MCRO_27-CR-21-13147_Order-Evaluation for Competency to Proceed (Rule 20.01)_2021-12-28_20251126183624.pdf</v>
      </c>
      <c r="H222" s="1" t="s">
        <v>1362</v>
      </c>
      <c r="I222" s="1" t="n">
        <v>20251126183624</v>
      </c>
      <c r="J222" s="1" t="s">
        <v>3191</v>
      </c>
      <c r="K222" s="9" t="s">
        <v>2679</v>
      </c>
      <c r="L222" s="2" t="s">
        <v>2680</v>
      </c>
    </row>
    <row r="223" customFormat="false" ht="18.7" hidden="false" customHeight="true" outlineLevel="0" collapsed="false">
      <c r="A223" s="1" t="n">
        <v>222</v>
      </c>
      <c r="B223" s="7" t="str">
        <f aca="false">HYPERLINK("https://mncourtfraud.com/file/27-CR-21-13147.pdf","27-CR-21-13147")</f>
        <v>27-CR-21-13147</v>
      </c>
      <c r="C223" s="1" t="n">
        <v>1</v>
      </c>
      <c r="D223" s="2" t="s">
        <v>12</v>
      </c>
      <c r="E223" s="8" t="n">
        <v>44593</v>
      </c>
      <c r="F223" s="2" t="s">
        <v>19</v>
      </c>
      <c r="G223" s="7" t="str">
        <f aca="false">HYPERLINK("https://mncourtfraud.com/file/MCRO_27-CR-21-13147_Findings and Order_2022-02-01_20251126183510.pdf","MCRO_27-CR-21-13147_Findings and Order_2022-02-01_20251126183510.pdf")</f>
        <v>MCRO_27-CR-21-13147_Findings and Order_2022-02-01_20251126183510.pdf</v>
      </c>
      <c r="H223" s="1" t="s">
        <v>1362</v>
      </c>
      <c r="I223" s="1" t="n">
        <v>20251126183510</v>
      </c>
      <c r="J223" s="1" t="s">
        <v>3192</v>
      </c>
      <c r="K223" s="9" t="s">
        <v>2669</v>
      </c>
      <c r="L223" s="2" t="s">
        <v>2594</v>
      </c>
    </row>
    <row r="224" customFormat="false" ht="18.7" hidden="false" customHeight="true" outlineLevel="0" collapsed="false">
      <c r="A224" s="1" t="n">
        <v>223</v>
      </c>
      <c r="B224" s="7" t="str">
        <f aca="false">HYPERLINK("https://mncourtfraud.com/file/27-CR-21-13147.pdf","27-CR-21-13147")</f>
        <v>27-CR-21-13147</v>
      </c>
      <c r="C224" s="1" t="n">
        <v>1</v>
      </c>
      <c r="D224" s="2" t="s">
        <v>12</v>
      </c>
      <c r="E224" s="8" t="n">
        <v>44692</v>
      </c>
      <c r="F224" s="2" t="s">
        <v>15</v>
      </c>
      <c r="G224" s="7" t="str">
        <f aca="false">HYPERLINK("https://mncourtfraud.com/file/MCRO_27-CR-21-13147_Order-Evaluation for Competency to Proceed (Rule 20.01)_2022-05-11_20251126183632.pdf","MCRO_27-CR-21-13147_Order-Evaluation for Competency to Proceed (Rule 20.01)_2022-05-11_20251126183632.pdf")</f>
        <v>MCRO_27-CR-21-13147_Order-Evaluation for Competency to Proceed (Rule 20.01)_2022-05-11_20251126183632.pdf</v>
      </c>
      <c r="H224" s="1" t="s">
        <v>1362</v>
      </c>
      <c r="I224" s="1" t="n">
        <v>20251126183632</v>
      </c>
      <c r="J224" s="1" t="s">
        <v>3193</v>
      </c>
      <c r="K224" s="9" t="s">
        <v>2681</v>
      </c>
      <c r="L224" s="2" t="s">
        <v>2511</v>
      </c>
    </row>
    <row r="225" customFormat="false" ht="18.7" hidden="false" customHeight="true" outlineLevel="0" collapsed="false">
      <c r="A225" s="1" t="n">
        <v>224</v>
      </c>
      <c r="B225" s="7" t="str">
        <f aca="false">HYPERLINK("https://mncourtfraud.com/file/27-CR-21-13147.pdf","27-CR-21-13147")</f>
        <v>27-CR-21-13147</v>
      </c>
      <c r="C225" s="1" t="n">
        <v>1</v>
      </c>
      <c r="D225" s="2" t="s">
        <v>12</v>
      </c>
      <c r="E225" s="8" t="n">
        <v>44895</v>
      </c>
      <c r="F225" s="2" t="s">
        <v>15</v>
      </c>
      <c r="G225" s="7" t="str">
        <f aca="false">HYPERLINK("https://mncourtfraud.com/file/MCRO_27-CR-21-13147_Order-Evaluation for Competency to Proceed (Rule 20.01)_2022-11-30_20251126183640.pdf","MCRO_27-CR-21-13147_Order-Evaluation for Competency to Proceed (Rule 20.01)_2022-11-30_20251126183640.pdf")</f>
        <v>MCRO_27-CR-21-13147_Order-Evaluation for Competency to Proceed (Rule 20.01)_2022-11-30_20251126183640.pdf</v>
      </c>
      <c r="H225" s="1" t="s">
        <v>1362</v>
      </c>
      <c r="I225" s="1" t="n">
        <v>20251126183640</v>
      </c>
      <c r="J225" s="1" t="s">
        <v>3194</v>
      </c>
      <c r="K225" s="9" t="s">
        <v>2682</v>
      </c>
      <c r="L225" s="2" t="s">
        <v>2659</v>
      </c>
    </row>
    <row r="226" customFormat="false" ht="18.7" hidden="false" customHeight="true" outlineLevel="0" collapsed="false">
      <c r="A226" s="1" t="n">
        <v>225</v>
      </c>
      <c r="B226" s="7" t="str">
        <f aca="false">HYPERLINK("https://mncourtfraud.com/file/27-CR-21-13147.pdf","27-CR-21-13147")</f>
        <v>27-CR-21-13147</v>
      </c>
      <c r="C226" s="1" t="n">
        <v>1</v>
      </c>
      <c r="D226" s="2" t="s">
        <v>12</v>
      </c>
      <c r="E226" s="8" t="n">
        <v>44999</v>
      </c>
      <c r="F226" s="2" t="s">
        <v>17</v>
      </c>
      <c r="G226" s="7" t="str">
        <f aca="false">HYPERLINK("https://mncourtfraud.com/file/MCRO_27-CR-21-13147_Returned Mail_2023-03-14_20251126183709.pdf","MCRO_27-CR-21-13147_Returned Mail_2023-03-14_20251126183709.pdf")</f>
        <v>MCRO_27-CR-21-13147_Returned Mail_2023-03-14_20251126183709.pdf</v>
      </c>
      <c r="H226" s="1" t="s">
        <v>1362</v>
      </c>
      <c r="I226" s="1" t="n">
        <v>20251126183709</v>
      </c>
      <c r="J226" s="1" t="s">
        <v>3195</v>
      </c>
      <c r="K226" s="9" t="s">
        <v>2685</v>
      </c>
      <c r="L226" s="2" t="s">
        <v>2686</v>
      </c>
    </row>
    <row r="227" customFormat="false" ht="18.7" hidden="false" customHeight="true" outlineLevel="0" collapsed="false">
      <c r="A227" s="1" t="n">
        <v>226</v>
      </c>
      <c r="B227" s="7" t="str">
        <f aca="false">HYPERLINK("https://mncourtfraud.com/file/27-CR-21-13147.pdf","27-CR-21-13147")</f>
        <v>27-CR-21-13147</v>
      </c>
      <c r="C227" s="1" t="n">
        <v>1</v>
      </c>
      <c r="D227" s="2" t="s">
        <v>12</v>
      </c>
      <c r="E227" s="8" t="n">
        <v>45048</v>
      </c>
      <c r="F227" s="2" t="s">
        <v>80</v>
      </c>
      <c r="G227" s="7" t="str">
        <f aca="false">HYPERLINK("https://mncourtfraud.com/file/MCRO_27-CR-21-13147_Finding of Incompetency and Order_2023-05-02_20251126183457.pdf","MCRO_27-CR-21-13147_Finding of Incompetency and Order_2023-05-02_20251126183457.pdf")</f>
        <v>MCRO_27-CR-21-13147_Finding of Incompetency and Order_2023-05-02_20251126183457.pdf</v>
      </c>
      <c r="H227" s="1" t="s">
        <v>1362</v>
      </c>
      <c r="I227" s="1" t="n">
        <v>20251126183457</v>
      </c>
      <c r="J227" s="1" t="s">
        <v>3196</v>
      </c>
      <c r="K227" s="9" t="s">
        <v>2667</v>
      </c>
      <c r="L227" s="2" t="s">
        <v>2565</v>
      </c>
    </row>
    <row r="228" customFormat="false" ht="18.7" hidden="false" customHeight="true" outlineLevel="0" collapsed="false">
      <c r="A228" s="1" t="n">
        <v>227</v>
      </c>
      <c r="B228" s="7" t="str">
        <f aca="false">HYPERLINK("https://mncourtfraud.com/file/27-CR-21-13147.pdf","27-CR-21-13147")</f>
        <v>27-CR-21-13147</v>
      </c>
      <c r="C228" s="1" t="n">
        <v>1</v>
      </c>
      <c r="D228" s="2" t="s">
        <v>12</v>
      </c>
      <c r="E228" s="8" t="n">
        <v>45093</v>
      </c>
      <c r="F228" s="2" t="s">
        <v>82</v>
      </c>
      <c r="G228" s="7" t="str">
        <f aca="false">HYPERLINK("https://mncourtfraud.com/file/MCRO_27-CR-21-13147_Notice of Case Reassignment_2023-06-16_20251126183529.pdf","MCRO_27-CR-21-13147_Notice of Case Reassignment_2023-06-16_20251126183529.pdf")</f>
        <v>MCRO_27-CR-21-13147_Notice of Case Reassignment_2023-06-16_20251126183529.pdf</v>
      </c>
      <c r="H228" s="1" t="s">
        <v>1362</v>
      </c>
      <c r="I228" s="1" t="n">
        <v>20251126183529</v>
      </c>
      <c r="J228" s="1" t="s">
        <v>3197</v>
      </c>
      <c r="K228" s="9" t="s">
        <v>2670</v>
      </c>
      <c r="L228" s="2" t="s">
        <v>2453</v>
      </c>
    </row>
    <row r="229" customFormat="false" ht="18.7" hidden="false" customHeight="true" outlineLevel="0" collapsed="false">
      <c r="A229" s="1" t="n">
        <v>228</v>
      </c>
      <c r="B229" s="7" t="str">
        <f aca="false">HYPERLINK("https://mncourtfraud.com/file/27-CR-21-13147.pdf","27-CR-21-13147")</f>
        <v>27-CR-21-13147</v>
      </c>
      <c r="C229" s="1" t="n">
        <v>1</v>
      </c>
      <c r="D229" s="2" t="s">
        <v>12</v>
      </c>
      <c r="E229" s="8" t="n">
        <v>45160</v>
      </c>
      <c r="F229" s="2" t="s">
        <v>15</v>
      </c>
      <c r="G229" s="7" t="str">
        <f aca="false">HYPERLINK("https://mncourtfraud.com/file/MCRO_27-CR-21-13147_Order-Evaluation for Competency to Proceed (Rule 20.01)_2023-08-22_20251126183648.pdf","MCRO_27-CR-21-13147_Order-Evaluation for Competency to Proceed (Rule 20.01)_2023-08-22_20251126183648.pdf")</f>
        <v>MCRO_27-CR-21-13147_Order-Evaluation for Competency to Proceed (Rule 20.01)_2023-08-22_20251126183648.pdf</v>
      </c>
      <c r="H229" s="1" t="s">
        <v>1362</v>
      </c>
      <c r="I229" s="1" t="n">
        <v>20251126183648</v>
      </c>
      <c r="J229" s="1" t="s">
        <v>3198</v>
      </c>
      <c r="K229" s="9" t="s">
        <v>2683</v>
      </c>
      <c r="L229" s="2" t="s">
        <v>2471</v>
      </c>
    </row>
    <row r="230" customFormat="false" ht="18.7" hidden="false" customHeight="true" outlineLevel="0" collapsed="false">
      <c r="A230" s="1" t="n">
        <v>229</v>
      </c>
      <c r="B230" s="7" t="str">
        <f aca="false">HYPERLINK("https://mncourtfraud.com/file/27-CR-21-13147.pdf","27-CR-21-13147")</f>
        <v>27-CR-21-13147</v>
      </c>
      <c r="C230" s="1" t="n">
        <v>1</v>
      </c>
      <c r="D230" s="2" t="s">
        <v>12</v>
      </c>
      <c r="E230" s="8" t="n">
        <v>45412</v>
      </c>
      <c r="F230" s="2" t="s">
        <v>24</v>
      </c>
      <c r="G230" s="7" t="str">
        <f aca="false">HYPERLINK("https://mncourtfraud.com/file/MCRO_27-CR-21-13147_Order for Conditional Release_2024-04-30_20251126183543.pdf","MCRO_27-CR-21-13147_Order for Conditional Release_2024-04-30_20251126183543.pdf")</f>
        <v>MCRO_27-CR-21-13147_Order for Conditional Release_2024-04-30_20251126183543.pdf</v>
      </c>
      <c r="H230" s="1" t="s">
        <v>1362</v>
      </c>
      <c r="I230" s="1" t="n">
        <v>20251126183543</v>
      </c>
      <c r="J230" s="1" t="s">
        <v>3199</v>
      </c>
      <c r="K230" s="9" t="s">
        <v>2673</v>
      </c>
      <c r="L230" s="2" t="s">
        <v>2674</v>
      </c>
    </row>
    <row r="231" customFormat="false" ht="18.7" hidden="false" customHeight="true" outlineLevel="0" collapsed="false">
      <c r="A231" s="1" t="n">
        <v>230</v>
      </c>
      <c r="B231" s="7" t="str">
        <f aca="false">HYPERLINK("https://mncourtfraud.com/file/27-CR-21-13147.pdf","27-CR-21-13147")</f>
        <v>27-CR-21-13147</v>
      </c>
      <c r="C231" s="1" t="n">
        <v>1</v>
      </c>
      <c r="D231" s="2" t="s">
        <v>12</v>
      </c>
      <c r="E231" s="8" t="n">
        <v>45412</v>
      </c>
      <c r="F231" s="2" t="s">
        <v>15</v>
      </c>
      <c r="G231" s="7" t="str">
        <f aca="false">HYPERLINK("https://mncourtfraud.com/file/MCRO_27-CR-21-13147_Order-Evaluation for Competency to Proceed (Rule 20.01)_2024-04-30_20251126183656.pdf","MCRO_27-CR-21-13147_Order-Evaluation for Competency to Proceed (Rule 20.01)_2024-04-30_20251126183656.pdf")</f>
        <v>MCRO_27-CR-21-13147_Order-Evaluation for Competency to Proceed (Rule 20.01)_2024-04-30_20251126183656.pdf</v>
      </c>
      <c r="H231" s="1" t="s">
        <v>1362</v>
      </c>
      <c r="I231" s="1" t="n">
        <v>20251126183656</v>
      </c>
      <c r="J231" s="1" t="s">
        <v>3200</v>
      </c>
      <c r="K231" s="9" t="s">
        <v>2684</v>
      </c>
      <c r="L231" s="2" t="s">
        <v>2662</v>
      </c>
    </row>
    <row r="232" customFormat="false" ht="18.7" hidden="false" customHeight="true" outlineLevel="0" collapsed="false">
      <c r="A232" s="1" t="n">
        <v>231</v>
      </c>
      <c r="B232" s="7" t="str">
        <f aca="false">HYPERLINK("https://mncourtfraud.com/file/27-CR-21-13150.pdf","27-CR-21-13150")</f>
        <v>27-CR-21-13150</v>
      </c>
      <c r="C232" s="1" t="n">
        <v>1</v>
      </c>
      <c r="D232" s="2" t="s">
        <v>12</v>
      </c>
      <c r="E232" s="8" t="n">
        <v>44396</v>
      </c>
      <c r="F232" s="2" t="s">
        <v>15</v>
      </c>
      <c r="G232" s="7" t="str">
        <f aca="false">HYPERLINK("https://mncourtfraud.com/file/MCRO_27-CR-21-13150_Order-Evaluation for Competency to Proceed (Rule 20.01)_2021-07-19_20251126183857.pdf","MCRO_27-CR-21-13150_Order-Evaluation for Competency to Proceed (Rule 20.01)_2021-07-19_20251126183857.pdf")</f>
        <v>MCRO_27-CR-21-13150_Order-Evaluation for Competency to Proceed (Rule 20.01)_2021-07-19_20251126183857.pdf</v>
      </c>
      <c r="H232" s="1" t="s">
        <v>1362</v>
      </c>
      <c r="I232" s="1" t="n">
        <v>20251126183857</v>
      </c>
      <c r="J232" s="1" t="s">
        <v>3201</v>
      </c>
      <c r="K232" s="9" t="s">
        <v>2698</v>
      </c>
      <c r="L232" s="2" t="s">
        <v>2699</v>
      </c>
    </row>
    <row r="233" customFormat="false" ht="18.7" hidden="false" customHeight="true" outlineLevel="0" collapsed="false">
      <c r="A233" s="1" t="n">
        <v>232</v>
      </c>
      <c r="B233" s="7" t="str">
        <f aca="false">HYPERLINK("https://mncourtfraud.com/file/27-CR-21-13150.pdf","27-CR-21-13150")</f>
        <v>27-CR-21-13150</v>
      </c>
      <c r="C233" s="1" t="n">
        <v>1</v>
      </c>
      <c r="D233" s="2" t="s">
        <v>12</v>
      </c>
      <c r="E233" s="8" t="n">
        <v>44405</v>
      </c>
      <c r="F233" s="2" t="s">
        <v>145</v>
      </c>
      <c r="G233" s="7" t="str">
        <f aca="false">HYPERLINK("https://mncourtfraud.com/file/MCRO_27-CR-21-13150_Demand or Request for Discovery_2021-07-28_20251126183738.pdf","MCRO_27-CR-21-13150_Demand or Request for Discovery_2021-07-28_20251126183738.pdf")</f>
        <v>MCRO_27-CR-21-13150_Demand or Request for Discovery_2021-07-28_20251126183738.pdf</v>
      </c>
      <c r="H233" s="1" t="s">
        <v>1362</v>
      </c>
      <c r="I233" s="1" t="n">
        <v>20251126183738</v>
      </c>
      <c r="J233" s="1" t="s">
        <v>3202</v>
      </c>
      <c r="K233" s="9" t="s">
        <v>2687</v>
      </c>
      <c r="L233" s="2" t="s">
        <v>2688</v>
      </c>
    </row>
    <row r="234" customFormat="false" ht="18.7" hidden="false" customHeight="true" outlineLevel="0" collapsed="false">
      <c r="A234" s="1" t="n">
        <v>233</v>
      </c>
      <c r="B234" s="7" t="str">
        <f aca="false">HYPERLINK("https://mncourtfraud.com/file/27-CR-21-13150.pdf","27-CR-21-13150")</f>
        <v>27-CR-21-13150</v>
      </c>
      <c r="C234" s="1" t="n">
        <v>1</v>
      </c>
      <c r="D234" s="2" t="s">
        <v>12</v>
      </c>
      <c r="E234" s="8" t="n">
        <v>44439</v>
      </c>
      <c r="F234" s="2" t="s">
        <v>19</v>
      </c>
      <c r="G234" s="7" t="str">
        <f aca="false">HYPERLINK("https://mncourtfraud.com/file/MCRO_27-CR-21-13150_Findings and Order_2021-08-31_20251126183809.pdf","MCRO_27-CR-21-13150_Findings and Order_2021-08-31_20251126183809.pdf")</f>
        <v>MCRO_27-CR-21-13150_Findings and Order_2021-08-31_20251126183809.pdf</v>
      </c>
      <c r="H234" s="1" t="s">
        <v>1362</v>
      </c>
      <c r="I234" s="1" t="n">
        <v>20251126183809</v>
      </c>
      <c r="J234" s="1" t="s">
        <v>3203</v>
      </c>
      <c r="K234" s="9" t="s">
        <v>2691</v>
      </c>
      <c r="L234" s="2" t="s">
        <v>2450</v>
      </c>
    </row>
    <row r="235" customFormat="false" ht="18.7" hidden="false" customHeight="true" outlineLevel="0" collapsed="false">
      <c r="A235" s="1" t="n">
        <v>234</v>
      </c>
      <c r="B235" s="7" t="str">
        <f aca="false">HYPERLINK("https://mncourtfraud.com/file/27-CR-21-13150.pdf","27-CR-21-13150")</f>
        <v>27-CR-21-13150</v>
      </c>
      <c r="C235" s="1" t="n">
        <v>1</v>
      </c>
      <c r="D235" s="2" t="s">
        <v>12</v>
      </c>
      <c r="E235" s="8" t="n">
        <v>44460</v>
      </c>
      <c r="F235" s="2" t="s">
        <v>24</v>
      </c>
      <c r="G235" s="7" t="str">
        <f aca="false">HYPERLINK("https://mncourtfraud.com/file/MCRO_27-CR-21-13150_Order for Conditional Release_2021-09-21_20251126183841.pdf","MCRO_27-CR-21-13150_Order for Conditional Release_2021-09-21_20251126183841.pdf")</f>
        <v>MCRO_27-CR-21-13150_Order for Conditional Release_2021-09-21_20251126183841.pdf</v>
      </c>
      <c r="H235" s="1" t="s">
        <v>1362</v>
      </c>
      <c r="I235" s="1" t="n">
        <v>20251126183841</v>
      </c>
      <c r="J235" s="1" t="s">
        <v>3204</v>
      </c>
      <c r="K235" s="9" t="s">
        <v>2695</v>
      </c>
      <c r="L235" s="2" t="s">
        <v>2321</v>
      </c>
    </row>
    <row r="236" customFormat="false" ht="18.7" hidden="false" customHeight="true" outlineLevel="0" collapsed="false">
      <c r="A236" s="1" t="n">
        <v>235</v>
      </c>
      <c r="B236" s="7" t="str">
        <f aca="false">HYPERLINK("https://mncourtfraud.com/file/27-CR-21-13150.pdf","27-CR-21-13150")</f>
        <v>27-CR-21-13150</v>
      </c>
      <c r="C236" s="1" t="n">
        <v>1</v>
      </c>
      <c r="D236" s="2" t="s">
        <v>12</v>
      </c>
      <c r="E236" s="8" t="n">
        <v>44468</v>
      </c>
      <c r="F236" s="2" t="s">
        <v>24</v>
      </c>
      <c r="G236" s="7" t="str">
        <f aca="false">HYPERLINK("https://mncourtfraud.com/file/MCRO_27-CR-21-13150_Order for Conditional Release_2021-09-29_20251126183846.pdf","MCRO_27-CR-21-13150_Order for Conditional Release_2021-09-29_20251126183846.pdf")</f>
        <v>MCRO_27-CR-21-13150_Order for Conditional Release_2021-09-29_20251126183846.pdf</v>
      </c>
      <c r="H236" s="1" t="s">
        <v>1362</v>
      </c>
      <c r="I236" s="1" t="n">
        <v>20251126183846</v>
      </c>
      <c r="J236" s="1" t="s">
        <v>3205</v>
      </c>
      <c r="K236" s="9" t="s">
        <v>2696</v>
      </c>
      <c r="L236" s="2" t="s">
        <v>2295</v>
      </c>
    </row>
    <row r="237" customFormat="false" ht="18.7" hidden="false" customHeight="true" outlineLevel="0" collapsed="false">
      <c r="A237" s="1" t="n">
        <v>236</v>
      </c>
      <c r="B237" s="7" t="str">
        <f aca="false">HYPERLINK("https://mncourtfraud.com/file/27-CR-21-13150.pdf","27-CR-21-13150")</f>
        <v>27-CR-21-13150</v>
      </c>
      <c r="C237" s="1" t="n">
        <v>1</v>
      </c>
      <c r="D237" s="2" t="s">
        <v>12</v>
      </c>
      <c r="E237" s="8" t="n">
        <v>44543</v>
      </c>
      <c r="F237" s="2" t="s">
        <v>15</v>
      </c>
      <c r="G237" s="7" t="str">
        <f aca="false">HYPERLINK("https://mncourtfraud.com/file/MCRO_27-CR-21-13150_Order-Evaluation for Competency to Proceed (Rule 20.01)_2021-12-13_20251126183906.pdf","MCRO_27-CR-21-13150_Order-Evaluation for Competency to Proceed (Rule 20.01)_2021-12-13_20251126183906.pdf")</f>
        <v>MCRO_27-CR-21-13150_Order-Evaluation for Competency to Proceed (Rule 20.01)_2021-12-13_20251126183906.pdf</v>
      </c>
      <c r="H237" s="1" t="s">
        <v>1362</v>
      </c>
      <c r="I237" s="1" t="n">
        <v>20251126183906</v>
      </c>
      <c r="J237" s="1" t="s">
        <v>3206</v>
      </c>
      <c r="K237" s="9" t="s">
        <v>2700</v>
      </c>
      <c r="L237" s="2" t="s">
        <v>2552</v>
      </c>
    </row>
    <row r="238" customFormat="false" ht="18.7" hidden="false" customHeight="true" outlineLevel="0" collapsed="false">
      <c r="A238" s="1" t="n">
        <v>237</v>
      </c>
      <c r="B238" s="7" t="str">
        <f aca="false">HYPERLINK("https://mncourtfraud.com/file/27-CR-21-13150.pdf","27-CR-21-13150")</f>
        <v>27-CR-21-13150</v>
      </c>
      <c r="C238" s="1" t="n">
        <v>1</v>
      </c>
      <c r="D238" s="2" t="s">
        <v>12</v>
      </c>
      <c r="E238" s="8" t="n">
        <v>44558</v>
      </c>
      <c r="F238" s="2" t="s">
        <v>15</v>
      </c>
      <c r="G238" s="7" t="str">
        <f aca="false">HYPERLINK("https://mncourtfraud.com/file/MCRO_27-CR-21-13150_Order-Evaluation for Competency to Proceed (Rule 20.01)_2021-12-28_20251126183913.pdf","MCRO_27-CR-21-13150_Order-Evaluation for Competency to Proceed (Rule 20.01)_2021-12-28_20251126183913.pdf")</f>
        <v>MCRO_27-CR-21-13150_Order-Evaluation for Competency to Proceed (Rule 20.01)_2021-12-28_20251126183913.pdf</v>
      </c>
      <c r="H238" s="1" t="s">
        <v>1362</v>
      </c>
      <c r="I238" s="1" t="n">
        <v>20251126183913</v>
      </c>
      <c r="J238" s="1" t="s">
        <v>3207</v>
      </c>
      <c r="K238" s="9" t="s">
        <v>2701</v>
      </c>
      <c r="L238" s="2" t="s">
        <v>2702</v>
      </c>
    </row>
    <row r="239" customFormat="false" ht="18.7" hidden="false" customHeight="true" outlineLevel="0" collapsed="false">
      <c r="A239" s="1" t="n">
        <v>238</v>
      </c>
      <c r="B239" s="7" t="str">
        <f aca="false">HYPERLINK("https://mncourtfraud.com/file/27-CR-21-13150.pdf","27-CR-21-13150")</f>
        <v>27-CR-21-13150</v>
      </c>
      <c r="C239" s="1" t="n">
        <v>1</v>
      </c>
      <c r="D239" s="2" t="s">
        <v>12</v>
      </c>
      <c r="E239" s="8" t="n">
        <v>44593</v>
      </c>
      <c r="F239" s="2" t="s">
        <v>19</v>
      </c>
      <c r="G239" s="7" t="str">
        <f aca="false">HYPERLINK("https://mncourtfraud.com/file/MCRO_27-CR-21-13150_Findings and Order_2022-02-01_20251126183801.pdf","MCRO_27-CR-21-13150_Findings and Order_2022-02-01_20251126183801.pdf")</f>
        <v>MCRO_27-CR-21-13150_Findings and Order_2022-02-01_20251126183801.pdf</v>
      </c>
      <c r="H239" s="1" t="s">
        <v>1362</v>
      </c>
      <c r="I239" s="1" t="n">
        <v>20251126183801</v>
      </c>
      <c r="J239" s="1" t="s">
        <v>3208</v>
      </c>
      <c r="K239" s="9" t="s">
        <v>2692</v>
      </c>
      <c r="L239" s="2" t="s">
        <v>2291</v>
      </c>
    </row>
    <row r="240" customFormat="false" ht="18.7" hidden="false" customHeight="true" outlineLevel="0" collapsed="false">
      <c r="A240" s="1" t="n">
        <v>239</v>
      </c>
      <c r="B240" s="7" t="str">
        <f aca="false">HYPERLINK("https://mncourtfraud.com/file/27-CR-21-13150.pdf","27-CR-21-13150")</f>
        <v>27-CR-21-13150</v>
      </c>
      <c r="C240" s="1" t="n">
        <v>1</v>
      </c>
      <c r="D240" s="2" t="s">
        <v>12</v>
      </c>
      <c r="E240" s="8" t="n">
        <v>44692</v>
      </c>
      <c r="F240" s="2" t="s">
        <v>15</v>
      </c>
      <c r="G240" s="7" t="str">
        <f aca="false">HYPERLINK("https://mncourtfraud.com/file/MCRO_27-CR-21-13150_Order-Evaluation for Competency to Proceed (Rule 20.01)_2022-05-11_20251126183920.pdf","MCRO_27-CR-21-13150_Order-Evaluation for Competency to Proceed (Rule 20.01)_2022-05-11_20251126183920.pdf")</f>
        <v>MCRO_27-CR-21-13150_Order-Evaluation for Competency to Proceed (Rule 20.01)_2022-05-11_20251126183920.pdf</v>
      </c>
      <c r="H240" s="1" t="s">
        <v>1362</v>
      </c>
      <c r="I240" s="1" t="n">
        <v>20251126183920</v>
      </c>
      <c r="J240" s="1" t="s">
        <v>3209</v>
      </c>
      <c r="K240" s="9" t="s">
        <v>2703</v>
      </c>
      <c r="L240" s="2" t="s">
        <v>2511</v>
      </c>
    </row>
    <row r="241" customFormat="false" ht="18.7" hidden="false" customHeight="true" outlineLevel="0" collapsed="false">
      <c r="A241" s="1" t="n">
        <v>240</v>
      </c>
      <c r="B241" s="7" t="str">
        <f aca="false">HYPERLINK("https://mncourtfraud.com/file/27-CR-21-13150.pdf","27-CR-21-13150")</f>
        <v>27-CR-21-13150</v>
      </c>
      <c r="C241" s="1" t="n">
        <v>1</v>
      </c>
      <c r="D241" s="2" t="s">
        <v>12</v>
      </c>
      <c r="E241" s="8" t="n">
        <v>44895</v>
      </c>
      <c r="F241" s="2" t="s">
        <v>15</v>
      </c>
      <c r="G241" s="7" t="str">
        <f aca="false">HYPERLINK("https://mncourtfraud.com/file/MCRO_27-CR-21-13150_Order-Evaluation for Competency to Proceed (Rule 20.01)_2022-11-30_20251126183927.pdf","MCRO_27-CR-21-13150_Order-Evaluation for Competency to Proceed (Rule 20.01)_2022-11-30_20251126183927.pdf")</f>
        <v>MCRO_27-CR-21-13150_Order-Evaluation for Competency to Proceed (Rule 20.01)_2022-11-30_20251126183927.pdf</v>
      </c>
      <c r="H241" s="1" t="s">
        <v>1362</v>
      </c>
      <c r="I241" s="1" t="n">
        <v>20251126183927</v>
      </c>
      <c r="J241" s="1" t="s">
        <v>3210</v>
      </c>
      <c r="K241" s="9" t="s">
        <v>2704</v>
      </c>
      <c r="L241" s="2" t="s">
        <v>2705</v>
      </c>
    </row>
    <row r="242" customFormat="false" ht="18.7" hidden="false" customHeight="true" outlineLevel="0" collapsed="false">
      <c r="A242" s="1" t="n">
        <v>241</v>
      </c>
      <c r="B242" s="7" t="str">
        <f aca="false">HYPERLINK("https://mncourtfraud.com/file/27-CR-21-13150.pdf","27-CR-21-13150")</f>
        <v>27-CR-21-13150</v>
      </c>
      <c r="C242" s="1" t="n">
        <v>1</v>
      </c>
      <c r="D242" s="2" t="s">
        <v>12</v>
      </c>
      <c r="E242" s="8" t="n">
        <v>45048</v>
      </c>
      <c r="F242" s="2" t="s">
        <v>80</v>
      </c>
      <c r="G242" s="7" t="str">
        <f aca="false">HYPERLINK("https://mncourtfraud.com/file/MCRO_27-CR-21-13150_Finding of Incompetency and Order_2023-05-02_20251126183749.pdf","MCRO_27-CR-21-13150_Finding of Incompetency and Order_2023-05-02_20251126183749.pdf")</f>
        <v>MCRO_27-CR-21-13150_Finding of Incompetency and Order_2023-05-02_20251126183749.pdf</v>
      </c>
      <c r="H242" s="1" t="s">
        <v>1362</v>
      </c>
      <c r="I242" s="1" t="n">
        <v>20251126183749</v>
      </c>
      <c r="J242" s="1" t="s">
        <v>3211</v>
      </c>
      <c r="K242" s="9" t="s">
        <v>2689</v>
      </c>
      <c r="L242" s="2" t="s">
        <v>2690</v>
      </c>
    </row>
    <row r="243" customFormat="false" ht="18.7" hidden="false" customHeight="true" outlineLevel="0" collapsed="false">
      <c r="A243" s="1" t="n">
        <v>242</v>
      </c>
      <c r="B243" s="7" t="str">
        <f aca="false">HYPERLINK("https://mncourtfraud.com/file/27-CR-21-13150.pdf","27-CR-21-13150")</f>
        <v>27-CR-21-13150</v>
      </c>
      <c r="C243" s="1" t="n">
        <v>1</v>
      </c>
      <c r="D243" s="2" t="s">
        <v>12</v>
      </c>
      <c r="E243" s="8" t="n">
        <v>45093</v>
      </c>
      <c r="F243" s="2" t="s">
        <v>82</v>
      </c>
      <c r="G243" s="7" t="str">
        <f aca="false">HYPERLINK("https://mncourtfraud.com/file/MCRO_27-CR-21-13150_Notice of Case Reassignment_2023-06-16_20251126183821.pdf","MCRO_27-CR-21-13150_Notice of Case Reassignment_2023-06-16_20251126183821.pdf")</f>
        <v>MCRO_27-CR-21-13150_Notice of Case Reassignment_2023-06-16_20251126183821.pdf</v>
      </c>
      <c r="H243" s="1" t="s">
        <v>1362</v>
      </c>
      <c r="I243" s="1" t="n">
        <v>20251126183821</v>
      </c>
      <c r="J243" s="1" t="s">
        <v>3212</v>
      </c>
      <c r="K243" s="9" t="s">
        <v>2693</v>
      </c>
      <c r="L243" s="2" t="s">
        <v>2694</v>
      </c>
    </row>
    <row r="244" customFormat="false" ht="18.7" hidden="false" customHeight="true" outlineLevel="0" collapsed="false">
      <c r="A244" s="1" t="n">
        <v>243</v>
      </c>
      <c r="B244" s="7" t="str">
        <f aca="false">HYPERLINK("https://mncourtfraud.com/file/27-CR-21-13150.pdf","27-CR-21-13150")</f>
        <v>27-CR-21-13150</v>
      </c>
      <c r="C244" s="1" t="n">
        <v>1</v>
      </c>
      <c r="D244" s="2" t="s">
        <v>12</v>
      </c>
      <c r="E244" s="8" t="n">
        <v>45160</v>
      </c>
      <c r="F244" s="2" t="s">
        <v>15</v>
      </c>
      <c r="G244" s="7" t="str">
        <f aca="false">HYPERLINK("https://mncourtfraud.com/file/MCRO_27-CR-21-13150_Order-Evaluation for Competency to Proceed (Rule 20.01)_2023-08-22_20251126183934.pdf","MCRO_27-CR-21-13150_Order-Evaluation for Competency to Proceed (Rule 20.01)_2023-08-22_20251126183934.pdf")</f>
        <v>MCRO_27-CR-21-13150_Order-Evaluation for Competency to Proceed (Rule 20.01)_2023-08-22_20251126183934.pdf</v>
      </c>
      <c r="H244" s="1" t="s">
        <v>1362</v>
      </c>
      <c r="I244" s="1" t="n">
        <v>20251126183934</v>
      </c>
      <c r="J244" s="1" t="s">
        <v>3213</v>
      </c>
      <c r="K244" s="9" t="s">
        <v>2706</v>
      </c>
      <c r="L244" s="2" t="s">
        <v>2707</v>
      </c>
    </row>
    <row r="245" customFormat="false" ht="18.7" hidden="false" customHeight="true" outlineLevel="0" collapsed="false">
      <c r="A245" s="1" t="n">
        <v>244</v>
      </c>
      <c r="B245" s="7" t="str">
        <f aca="false">HYPERLINK("https://mncourtfraud.com/file/27-CR-21-13150.pdf","27-CR-21-13150")</f>
        <v>27-CR-21-13150</v>
      </c>
      <c r="C245" s="1" t="n">
        <v>1</v>
      </c>
      <c r="D245" s="2" t="s">
        <v>12</v>
      </c>
      <c r="E245" s="8" t="n">
        <v>45412</v>
      </c>
      <c r="F245" s="2" t="s">
        <v>24</v>
      </c>
      <c r="G245" s="7" t="str">
        <f aca="false">HYPERLINK("https://mncourtfraud.com/file/MCRO_27-CR-21-13150_Order for Conditional Release_2024-04-30_20251126183833.pdf","MCRO_27-CR-21-13150_Order for Conditional Release_2024-04-30_20251126183833.pdf")</f>
        <v>MCRO_27-CR-21-13150_Order for Conditional Release_2024-04-30_20251126183833.pdf</v>
      </c>
      <c r="H245" s="1" t="s">
        <v>1362</v>
      </c>
      <c r="I245" s="1" t="n">
        <v>20251126183833</v>
      </c>
      <c r="J245" s="1" t="s">
        <v>3214</v>
      </c>
      <c r="K245" s="9" t="s">
        <v>2697</v>
      </c>
      <c r="L245" s="2" t="s">
        <v>2400</v>
      </c>
    </row>
    <row r="246" customFormat="false" ht="18.7" hidden="false" customHeight="true" outlineLevel="0" collapsed="false">
      <c r="A246" s="1" t="n">
        <v>245</v>
      </c>
      <c r="B246" s="7" t="str">
        <f aca="false">HYPERLINK("https://mncourtfraud.com/file/27-CR-21-13150.pdf","27-CR-21-13150")</f>
        <v>27-CR-21-13150</v>
      </c>
      <c r="C246" s="1" t="n">
        <v>1</v>
      </c>
      <c r="D246" s="2" t="s">
        <v>12</v>
      </c>
      <c r="E246" s="8" t="n">
        <v>45412</v>
      </c>
      <c r="F246" s="2" t="s">
        <v>15</v>
      </c>
      <c r="G246" s="7" t="str">
        <f aca="false">HYPERLINK("https://mncourtfraud.com/file/MCRO_27-CR-21-13150_Order-Evaluation for Competency to Proceed (Rule 20.01)_2024-04-30_20251126183942.pdf","MCRO_27-CR-21-13150_Order-Evaluation for Competency to Proceed (Rule 20.01)_2024-04-30_20251126183942.pdf")</f>
        <v>MCRO_27-CR-21-13150_Order-Evaluation for Competency to Proceed (Rule 20.01)_2024-04-30_20251126183942.pdf</v>
      </c>
      <c r="H246" s="1" t="s">
        <v>1362</v>
      </c>
      <c r="I246" s="1" t="n">
        <v>20251126183942</v>
      </c>
      <c r="J246" s="1" t="s">
        <v>3215</v>
      </c>
      <c r="K246" s="9" t="s">
        <v>2708</v>
      </c>
      <c r="L246" s="2" t="s">
        <v>2709</v>
      </c>
    </row>
    <row r="247" customFormat="false" ht="18.7" hidden="false" customHeight="true" outlineLevel="0" collapsed="false">
      <c r="A247" s="1" t="n">
        <v>246</v>
      </c>
      <c r="B247" s="7" t="str">
        <f aca="false">HYPERLINK("https://mncourtfraud.com/file/27-CR-21-13526.pdf","27-CR-21-13526")</f>
        <v>27-CR-21-13526</v>
      </c>
      <c r="C247" s="1" t="n">
        <v>5</v>
      </c>
      <c r="D247" s="2" t="s">
        <v>267</v>
      </c>
      <c r="E247" s="8" t="n">
        <v>44733</v>
      </c>
      <c r="F247" s="2" t="s">
        <v>17</v>
      </c>
      <c r="G247" s="7" t="str">
        <f aca="false">HYPERLINK("https://mncourtfraud.com/file/MCRO_27-CR-21-13526_Returned Mail_2022-06-21_20251126164634.pdf","MCRO_27-CR-21-13526_Returned Mail_2022-06-21_20251126164634.pdf")</f>
        <v>MCRO_27-CR-21-13526_Returned Mail_2022-06-21_20251126164634.pdf</v>
      </c>
      <c r="H247" s="1" t="s">
        <v>1362</v>
      </c>
      <c r="I247" s="1" t="n">
        <v>20251126164634</v>
      </c>
      <c r="J247" s="1" t="s">
        <v>3216</v>
      </c>
      <c r="K247" s="9" t="s">
        <v>2716</v>
      </c>
      <c r="L247" s="2" t="s">
        <v>2717</v>
      </c>
    </row>
    <row r="248" customFormat="false" ht="18.7" hidden="false" customHeight="true" outlineLevel="0" collapsed="false">
      <c r="A248" s="1" t="n">
        <v>247</v>
      </c>
      <c r="B248" s="7" t="str">
        <f aca="false">HYPERLINK("https://mncourtfraud.com/file/27-CR-21-13526.pdf","27-CR-21-13526")</f>
        <v>27-CR-21-13526</v>
      </c>
      <c r="C248" s="1" t="n">
        <v>5</v>
      </c>
      <c r="D248" s="2" t="s">
        <v>267</v>
      </c>
      <c r="E248" s="8" t="n">
        <v>44837</v>
      </c>
      <c r="F248" s="2" t="s">
        <v>17</v>
      </c>
      <c r="G248" s="7" t="str">
        <f aca="false">HYPERLINK("https://mncourtfraud.com/file/MCRO_27-CR-21-13526_Returned Mail_2022-10-03_20251126164501.pdf","MCRO_27-CR-21-13526_Returned Mail_2022-10-03_20251126164501.pdf")</f>
        <v>MCRO_27-CR-21-13526_Returned Mail_2022-10-03_20251126164501.pdf</v>
      </c>
      <c r="H248" s="1" t="s">
        <v>1362</v>
      </c>
      <c r="I248" s="1" t="n">
        <v>20251126164501</v>
      </c>
      <c r="J248" s="1" t="s">
        <v>3217</v>
      </c>
      <c r="K248" s="9" t="s">
        <v>2718</v>
      </c>
      <c r="L248" s="2" t="s">
        <v>2719</v>
      </c>
    </row>
    <row r="249" customFormat="false" ht="18.7" hidden="false" customHeight="true" outlineLevel="0" collapsed="false">
      <c r="A249" s="1" t="n">
        <v>248</v>
      </c>
      <c r="B249" s="7" t="str">
        <f aca="false">HYPERLINK("https://mncourtfraud.com/file/27-CR-21-13526.pdf","27-CR-21-13526")</f>
        <v>27-CR-21-13526</v>
      </c>
      <c r="C249" s="1" t="n">
        <v>5</v>
      </c>
      <c r="D249" s="2" t="s">
        <v>267</v>
      </c>
      <c r="E249" s="8" t="n">
        <v>44873</v>
      </c>
      <c r="F249" s="2" t="s">
        <v>15</v>
      </c>
      <c r="G249" s="7" t="str">
        <f aca="false">HYPERLINK("https://mncourtfraud.com/file/MCRO_27-CR-21-13526_Order-Evaluation for Competency to Proceed (Rule 20.01)_2022-11-08_20251126164716.pdf","MCRO_27-CR-21-13526_Order-Evaluation for Competency to Proceed (Rule 20.01)_2022-11-08_20251126164716.pdf")</f>
        <v>MCRO_27-CR-21-13526_Order-Evaluation for Competency to Proceed (Rule 20.01)_2022-11-08_20251126164716.pdf</v>
      </c>
      <c r="H249" s="1" t="s">
        <v>1362</v>
      </c>
      <c r="I249" s="1" t="n">
        <v>20251126164716</v>
      </c>
      <c r="J249" s="1" t="s">
        <v>3218</v>
      </c>
      <c r="K249" s="9" t="s">
        <v>2710</v>
      </c>
      <c r="L249" s="2" t="s">
        <v>2711</v>
      </c>
    </row>
    <row r="250" customFormat="false" ht="18.7" hidden="false" customHeight="true" outlineLevel="0" collapsed="false">
      <c r="A250" s="1" t="n">
        <v>249</v>
      </c>
      <c r="B250" s="7" t="str">
        <f aca="false">HYPERLINK("https://mncourtfraud.com/file/27-CR-21-13526.pdf","27-CR-21-13526")</f>
        <v>27-CR-21-13526</v>
      </c>
      <c r="C250" s="1" t="n">
        <v>5</v>
      </c>
      <c r="D250" s="2" t="s">
        <v>267</v>
      </c>
      <c r="E250" s="8" t="n">
        <v>45023</v>
      </c>
      <c r="F250" s="2" t="s">
        <v>15</v>
      </c>
      <c r="G250" s="7" t="str">
        <f aca="false">HYPERLINK("https://mncourtfraud.com/file/MCRO_27-CR-21-13526_Order-Evaluation for Competency to Proceed (Rule 20.01)_2023-04-07_20251126164730.pdf","MCRO_27-CR-21-13526_Order-Evaluation for Competency to Proceed (Rule 20.01)_2023-04-07_20251126164730.pdf")</f>
        <v>MCRO_27-CR-21-13526_Order-Evaluation for Competency to Proceed (Rule 20.01)_2023-04-07_20251126164730.pdf</v>
      </c>
      <c r="H250" s="1" t="s">
        <v>1362</v>
      </c>
      <c r="I250" s="1" t="n">
        <v>20251126164730</v>
      </c>
      <c r="J250" s="1" t="s">
        <v>3219</v>
      </c>
      <c r="K250" s="9" t="s">
        <v>2712</v>
      </c>
      <c r="L250" s="2" t="s">
        <v>2713</v>
      </c>
    </row>
    <row r="251" customFormat="false" ht="18.7" hidden="false" customHeight="true" outlineLevel="0" collapsed="false">
      <c r="A251" s="1" t="n">
        <v>250</v>
      </c>
      <c r="B251" s="7" t="str">
        <f aca="false">HYPERLINK("https://mncourtfraud.com/file/27-CR-21-13526.pdf","27-CR-21-13526")</f>
        <v>27-CR-21-13526</v>
      </c>
      <c r="C251" s="1" t="n">
        <v>5</v>
      </c>
      <c r="D251" s="2" t="s">
        <v>267</v>
      </c>
      <c r="E251" s="8" t="n">
        <v>45194</v>
      </c>
      <c r="F251" s="2" t="s">
        <v>15</v>
      </c>
      <c r="G251" s="7" t="str">
        <f aca="false">HYPERLINK("https://mncourtfraud.com/file/MCRO_27-CR-21-13526_Order-Evaluation for Competency to Proceed (Rule 20.01)_2023-09-25_20251126164657.pdf","MCRO_27-CR-21-13526_Order-Evaluation for Competency to Proceed (Rule 20.01)_2023-09-25_20251126164657.pdf")</f>
        <v>MCRO_27-CR-21-13526_Order-Evaluation for Competency to Proceed (Rule 20.01)_2023-09-25_20251126164657.pdf</v>
      </c>
      <c r="H251" s="1" t="s">
        <v>1362</v>
      </c>
      <c r="I251" s="1" t="n">
        <v>20251126164657</v>
      </c>
      <c r="J251" s="1" t="s">
        <v>3220</v>
      </c>
      <c r="K251" s="9" t="s">
        <v>2714</v>
      </c>
      <c r="L251" s="2" t="s">
        <v>2715</v>
      </c>
    </row>
    <row r="252" customFormat="false" ht="18.7" hidden="false" customHeight="true" outlineLevel="0" collapsed="false">
      <c r="A252" s="1" t="n">
        <v>251</v>
      </c>
      <c r="B252" s="7" t="str">
        <f aca="false">HYPERLINK("https://mncourtfraud.com/file/27-CR-21-14266.pdf","27-CR-21-14266")</f>
        <v>27-CR-21-14266</v>
      </c>
      <c r="C252" s="1" t="n">
        <v>5</v>
      </c>
      <c r="D252" s="2" t="s">
        <v>267</v>
      </c>
      <c r="E252" s="8" t="n">
        <v>44733</v>
      </c>
      <c r="F252" s="2" t="s">
        <v>17</v>
      </c>
      <c r="G252" s="7" t="str">
        <f aca="false">HYPERLINK("https://mncourtfraud.com/file/MCRO_27-CR-21-14266_Returned Mail_2022-06-21_20251126164918.pdf","MCRO_27-CR-21-14266_Returned Mail_2022-06-21_20251126164918.pdf")</f>
        <v>MCRO_27-CR-21-14266_Returned Mail_2022-06-21_20251126164918.pdf</v>
      </c>
      <c r="H252" s="1" t="s">
        <v>1362</v>
      </c>
      <c r="I252" s="1" t="n">
        <v>20251126164918</v>
      </c>
      <c r="J252" s="1" t="s">
        <v>3221</v>
      </c>
      <c r="K252" s="9" t="s">
        <v>2726</v>
      </c>
      <c r="L252" s="2" t="s">
        <v>2727</v>
      </c>
    </row>
    <row r="253" customFormat="false" ht="18.7" hidden="false" customHeight="true" outlineLevel="0" collapsed="false">
      <c r="A253" s="1" t="n">
        <v>252</v>
      </c>
      <c r="B253" s="7" t="str">
        <f aca="false">HYPERLINK("https://mncourtfraud.com/file/27-CR-21-14266.pdf","27-CR-21-14266")</f>
        <v>27-CR-21-14266</v>
      </c>
      <c r="C253" s="1" t="n">
        <v>5</v>
      </c>
      <c r="D253" s="2" t="s">
        <v>267</v>
      </c>
      <c r="E253" s="8" t="n">
        <v>44837</v>
      </c>
      <c r="F253" s="2" t="s">
        <v>17</v>
      </c>
      <c r="G253" s="7" t="str">
        <f aca="false">HYPERLINK("https://mncourtfraud.com/file/MCRO_27-CR-21-14266_Returned Mail_2022-10-03_20251126164905.pdf","MCRO_27-CR-21-14266_Returned Mail_2022-10-03_20251126164905.pdf")</f>
        <v>MCRO_27-CR-21-14266_Returned Mail_2022-10-03_20251126164905.pdf</v>
      </c>
      <c r="H253" s="1" t="s">
        <v>1362</v>
      </c>
      <c r="I253" s="1" t="n">
        <v>20251126164905</v>
      </c>
      <c r="J253" s="1" t="s">
        <v>3222</v>
      </c>
      <c r="K253" s="9" t="s">
        <v>2728</v>
      </c>
      <c r="L253" s="2" t="s">
        <v>2729</v>
      </c>
    </row>
    <row r="254" customFormat="false" ht="18.7" hidden="false" customHeight="true" outlineLevel="0" collapsed="false">
      <c r="A254" s="1" t="n">
        <v>253</v>
      </c>
      <c r="B254" s="7" t="str">
        <f aca="false">HYPERLINK("https://mncourtfraud.com/file/27-CR-21-14266.pdf","27-CR-21-14266")</f>
        <v>27-CR-21-14266</v>
      </c>
      <c r="C254" s="1" t="n">
        <v>5</v>
      </c>
      <c r="D254" s="2" t="s">
        <v>267</v>
      </c>
      <c r="E254" s="8" t="n">
        <v>44873</v>
      </c>
      <c r="F254" s="2" t="s">
        <v>15</v>
      </c>
      <c r="G254" s="7" t="str">
        <f aca="false">HYPERLINK("https://mncourtfraud.com/file/MCRO_27-CR-21-14266_Order-Evaluation for Competency to Proceed (Rule 20.01)_2022-11-08_20251126164836.pdf","MCRO_27-CR-21-14266_Order-Evaluation for Competency to Proceed (Rule 20.01)_2022-11-08_20251126164836.pdf")</f>
        <v>MCRO_27-CR-21-14266_Order-Evaluation for Competency to Proceed (Rule 20.01)_2022-11-08_20251126164836.pdf</v>
      </c>
      <c r="H254" s="1" t="s">
        <v>1362</v>
      </c>
      <c r="I254" s="1" t="n">
        <v>20251126164836</v>
      </c>
      <c r="J254" s="1" t="s">
        <v>3223</v>
      </c>
      <c r="K254" s="9" t="s">
        <v>2720</v>
      </c>
      <c r="L254" s="2" t="s">
        <v>2721</v>
      </c>
    </row>
    <row r="255" customFormat="false" ht="18.7" hidden="false" customHeight="true" outlineLevel="0" collapsed="false">
      <c r="A255" s="1" t="n">
        <v>254</v>
      </c>
      <c r="B255" s="7" t="str">
        <f aca="false">HYPERLINK("https://mncourtfraud.com/file/27-CR-21-14266.pdf","27-CR-21-14266")</f>
        <v>27-CR-21-14266</v>
      </c>
      <c r="C255" s="1" t="n">
        <v>5</v>
      </c>
      <c r="D255" s="2" t="s">
        <v>267</v>
      </c>
      <c r="E255" s="8" t="n">
        <v>45023</v>
      </c>
      <c r="F255" s="2" t="s">
        <v>15</v>
      </c>
      <c r="G255" s="7" t="str">
        <f aca="false">HYPERLINK("https://mncourtfraud.com/file/MCRO_27-CR-21-14266_Order-Evaluation for Competency to Proceed (Rule 20.01)_2023-04-07_20251126164851.pdf","MCRO_27-CR-21-14266_Order-Evaluation for Competency to Proceed (Rule 20.01)_2023-04-07_20251126164851.pdf")</f>
        <v>MCRO_27-CR-21-14266_Order-Evaluation for Competency to Proceed (Rule 20.01)_2023-04-07_20251126164851.pdf</v>
      </c>
      <c r="H255" s="1" t="s">
        <v>1362</v>
      </c>
      <c r="I255" s="1" t="n">
        <v>20251126164851</v>
      </c>
      <c r="J255" s="1" t="s">
        <v>3224</v>
      </c>
      <c r="K255" s="9" t="s">
        <v>2722</v>
      </c>
      <c r="L255" s="2" t="s">
        <v>2723</v>
      </c>
    </row>
    <row r="256" customFormat="false" ht="18.7" hidden="false" customHeight="true" outlineLevel="0" collapsed="false">
      <c r="A256" s="1" t="n">
        <v>255</v>
      </c>
      <c r="B256" s="7" t="str">
        <f aca="false">HYPERLINK("https://mncourtfraud.com/file/27-CR-21-14266.pdf","27-CR-21-14266")</f>
        <v>27-CR-21-14266</v>
      </c>
      <c r="C256" s="1" t="n">
        <v>5</v>
      </c>
      <c r="D256" s="2" t="s">
        <v>267</v>
      </c>
      <c r="E256" s="8" t="n">
        <v>45194</v>
      </c>
      <c r="F256" s="2" t="s">
        <v>15</v>
      </c>
      <c r="G256" s="7" t="str">
        <f aca="false">HYPERLINK("https://mncourtfraud.com/file/MCRO_27-CR-21-14266_Order-Evaluation for Competency to Proceed (Rule 20.01)_2023-09-25_20251126164823.pdf","MCRO_27-CR-21-14266_Order-Evaluation for Competency to Proceed (Rule 20.01)_2023-09-25_20251126164823.pdf")</f>
        <v>MCRO_27-CR-21-14266_Order-Evaluation for Competency to Proceed (Rule 20.01)_2023-09-25_20251126164823.pdf</v>
      </c>
      <c r="H256" s="1" t="s">
        <v>1362</v>
      </c>
      <c r="I256" s="1" t="n">
        <v>20251126164823</v>
      </c>
      <c r="J256" s="1" t="s">
        <v>3225</v>
      </c>
      <c r="K256" s="9" t="s">
        <v>2724</v>
      </c>
      <c r="L256" s="2" t="s">
        <v>2725</v>
      </c>
    </row>
    <row r="257" customFormat="false" ht="18.7" hidden="false" customHeight="true" outlineLevel="0" collapsed="false">
      <c r="A257" s="1" t="n">
        <v>256</v>
      </c>
      <c r="B257" s="7" t="str">
        <f aca="false">HYPERLINK("https://mncourtfraud.com/file/27-CR-21-17656.pdf","27-CR-21-17656")</f>
        <v>27-CR-21-17656</v>
      </c>
      <c r="C257" s="1" t="n">
        <v>5</v>
      </c>
      <c r="D257" s="2" t="s">
        <v>267</v>
      </c>
      <c r="E257" s="8" t="n">
        <v>44733</v>
      </c>
      <c r="F257" s="2" t="s">
        <v>17</v>
      </c>
      <c r="G257" s="7" t="str">
        <f aca="false">HYPERLINK("https://mncourtfraud.com/file/MCRO_27-CR-21-17656_Returned Mail_2022-06-21_20251126165007.pdf","MCRO_27-CR-21-17656_Returned Mail_2022-06-21_20251126165007.pdf")</f>
        <v>MCRO_27-CR-21-17656_Returned Mail_2022-06-21_20251126165007.pdf</v>
      </c>
      <c r="H257" s="1" t="s">
        <v>1362</v>
      </c>
      <c r="I257" s="1" t="n">
        <v>20251126165007</v>
      </c>
      <c r="J257" s="1" t="s">
        <v>3226</v>
      </c>
      <c r="K257" s="9" t="s">
        <v>2736</v>
      </c>
      <c r="L257" s="2" t="s">
        <v>2717</v>
      </c>
    </row>
    <row r="258" customFormat="false" ht="18.7" hidden="false" customHeight="true" outlineLevel="0" collapsed="false">
      <c r="A258" s="1" t="n">
        <v>257</v>
      </c>
      <c r="B258" s="7" t="str">
        <f aca="false">HYPERLINK("https://mncourtfraud.com/file/27-CR-21-17656.pdf","27-CR-21-17656")</f>
        <v>27-CR-21-17656</v>
      </c>
      <c r="C258" s="1" t="n">
        <v>5</v>
      </c>
      <c r="D258" s="2" t="s">
        <v>267</v>
      </c>
      <c r="E258" s="8" t="n">
        <v>44837</v>
      </c>
      <c r="F258" s="2" t="s">
        <v>17</v>
      </c>
      <c r="G258" s="7" t="str">
        <f aca="false">HYPERLINK("https://mncourtfraud.com/file/MCRO_27-CR-21-17656_Returned Mail_2022-10-03_20251126164949.pdf","MCRO_27-CR-21-17656_Returned Mail_2022-10-03_20251126164949.pdf")</f>
        <v>MCRO_27-CR-21-17656_Returned Mail_2022-10-03_20251126164949.pdf</v>
      </c>
      <c r="H258" s="1" t="s">
        <v>1362</v>
      </c>
      <c r="I258" s="1" t="n">
        <v>20251126164949</v>
      </c>
      <c r="J258" s="1" t="s">
        <v>3227</v>
      </c>
      <c r="K258" s="9" t="s">
        <v>2737</v>
      </c>
      <c r="L258" s="2" t="s">
        <v>2729</v>
      </c>
    </row>
    <row r="259" customFormat="false" ht="18.7" hidden="false" customHeight="true" outlineLevel="0" collapsed="false">
      <c r="A259" s="1" t="n">
        <v>258</v>
      </c>
      <c r="B259" s="7" t="str">
        <f aca="false">HYPERLINK("https://mncourtfraud.com/file/27-CR-21-17656.pdf","27-CR-21-17656")</f>
        <v>27-CR-21-17656</v>
      </c>
      <c r="C259" s="1" t="n">
        <v>5</v>
      </c>
      <c r="D259" s="2" t="s">
        <v>267</v>
      </c>
      <c r="E259" s="8" t="n">
        <v>44873</v>
      </c>
      <c r="F259" s="2" t="s">
        <v>15</v>
      </c>
      <c r="G259" s="7" t="str">
        <f aca="false">HYPERLINK("https://mncourtfraud.com/file/MCRO_27-CR-21-17656_Order-Evaluation for Competency to Proceed (Rule 20.01)_2022-11-08_20251126165032.pdf","MCRO_27-CR-21-17656_Order-Evaluation for Competency to Proceed (Rule 20.01)_2022-11-08_20251126165032.pdf")</f>
        <v>MCRO_27-CR-21-17656_Order-Evaluation for Competency to Proceed (Rule 20.01)_2022-11-08_20251126165032.pdf</v>
      </c>
      <c r="H259" s="1" t="s">
        <v>1362</v>
      </c>
      <c r="I259" s="1" t="n">
        <v>20251126165032</v>
      </c>
      <c r="J259" s="1" t="s">
        <v>3228</v>
      </c>
      <c r="K259" s="9" t="s">
        <v>2730</v>
      </c>
      <c r="L259" s="2" t="s">
        <v>2731</v>
      </c>
    </row>
    <row r="260" customFormat="false" ht="18.7" hidden="false" customHeight="true" outlineLevel="0" collapsed="false">
      <c r="A260" s="1" t="n">
        <v>259</v>
      </c>
      <c r="B260" s="7" t="str">
        <f aca="false">HYPERLINK("https://mncourtfraud.com/file/27-CR-21-17656.pdf","27-CR-21-17656")</f>
        <v>27-CR-21-17656</v>
      </c>
      <c r="C260" s="1" t="n">
        <v>5</v>
      </c>
      <c r="D260" s="2" t="s">
        <v>267</v>
      </c>
      <c r="E260" s="8" t="n">
        <v>45023</v>
      </c>
      <c r="F260" s="2" t="s">
        <v>15</v>
      </c>
      <c r="G260" s="7" t="str">
        <f aca="false">HYPERLINK("https://mncourtfraud.com/file/MCRO_27-CR-21-17656_Order-Evaluation for Competency to Proceed (Rule 20.01)_2023-04-07_20251126165044.pdf","MCRO_27-CR-21-17656_Order-Evaluation for Competency to Proceed (Rule 20.01)_2023-04-07_20251126165044.pdf")</f>
        <v>MCRO_27-CR-21-17656_Order-Evaluation for Competency to Proceed (Rule 20.01)_2023-04-07_20251126165044.pdf</v>
      </c>
      <c r="H260" s="1" t="s">
        <v>1362</v>
      </c>
      <c r="I260" s="1" t="n">
        <v>20251126165044</v>
      </c>
      <c r="J260" s="1" t="s">
        <v>3229</v>
      </c>
      <c r="K260" s="9" t="s">
        <v>2732</v>
      </c>
      <c r="L260" s="2" t="s">
        <v>2733</v>
      </c>
    </row>
    <row r="261" customFormat="false" ht="18.7" hidden="false" customHeight="true" outlineLevel="0" collapsed="false">
      <c r="A261" s="1" t="n">
        <v>260</v>
      </c>
      <c r="B261" s="7" t="str">
        <f aca="false">HYPERLINK("https://mncourtfraud.com/file/27-CR-21-17656.pdf","27-CR-21-17656")</f>
        <v>27-CR-21-17656</v>
      </c>
      <c r="C261" s="1" t="n">
        <v>5</v>
      </c>
      <c r="D261" s="2" t="s">
        <v>267</v>
      </c>
      <c r="E261" s="8" t="n">
        <v>45194</v>
      </c>
      <c r="F261" s="2" t="s">
        <v>15</v>
      </c>
      <c r="G261" s="7" t="str">
        <f aca="false">HYPERLINK("https://mncourtfraud.com/file/MCRO_27-CR-21-17656_Order-Evaluation for Competency to Proceed (Rule 20.01)_2023-09-25_20251126165021.pdf","MCRO_27-CR-21-17656_Order-Evaluation for Competency to Proceed (Rule 20.01)_2023-09-25_20251126165021.pdf")</f>
        <v>MCRO_27-CR-21-17656_Order-Evaluation for Competency to Proceed (Rule 20.01)_2023-09-25_20251126165021.pdf</v>
      </c>
      <c r="H261" s="1" t="s">
        <v>1362</v>
      </c>
      <c r="I261" s="1" t="n">
        <v>20251126165021</v>
      </c>
      <c r="J261" s="1" t="s">
        <v>3230</v>
      </c>
      <c r="K261" s="9" t="s">
        <v>2734</v>
      </c>
      <c r="L261" s="2" t="s">
        <v>2735</v>
      </c>
    </row>
    <row r="262" customFormat="false" ht="18.7" hidden="false" customHeight="true" outlineLevel="0" collapsed="false">
      <c r="A262" s="1" t="n">
        <v>261</v>
      </c>
      <c r="B262" s="7" t="str">
        <f aca="false">HYPERLINK("https://mncourtfraud.com/file/27-CR-21-21707.pdf","27-CR-21-21707")</f>
        <v>27-CR-21-21707</v>
      </c>
      <c r="C262" s="1" t="n">
        <v>5</v>
      </c>
      <c r="D262" s="2" t="s">
        <v>267</v>
      </c>
      <c r="E262" s="8" t="n">
        <v>44733</v>
      </c>
      <c r="F262" s="2" t="s">
        <v>17</v>
      </c>
      <c r="G262" s="7" t="str">
        <f aca="false">HYPERLINK("https://mncourtfraud.com/file/MCRO_27-CR-21-21707_Returned Mail_2022-06-21_20251126165201.pdf","MCRO_27-CR-21-21707_Returned Mail_2022-06-21_20251126165201.pdf")</f>
        <v>MCRO_27-CR-21-21707_Returned Mail_2022-06-21_20251126165201.pdf</v>
      </c>
      <c r="H262" s="1" t="s">
        <v>1362</v>
      </c>
      <c r="I262" s="1" t="n">
        <v>20251126165201</v>
      </c>
      <c r="J262" s="1" t="s">
        <v>3231</v>
      </c>
      <c r="K262" s="9" t="s">
        <v>2743</v>
      </c>
      <c r="L262" s="2" t="s">
        <v>2727</v>
      </c>
    </row>
    <row r="263" customFormat="false" ht="18.7" hidden="false" customHeight="true" outlineLevel="0" collapsed="false">
      <c r="A263" s="1" t="n">
        <v>262</v>
      </c>
      <c r="B263" s="7" t="str">
        <f aca="false">HYPERLINK("https://mncourtfraud.com/file/27-CR-21-21707.pdf","27-CR-21-21707")</f>
        <v>27-CR-21-21707</v>
      </c>
      <c r="C263" s="1" t="n">
        <v>5</v>
      </c>
      <c r="D263" s="2" t="s">
        <v>267</v>
      </c>
      <c r="E263" s="8" t="n">
        <v>44837</v>
      </c>
      <c r="F263" s="2" t="s">
        <v>17</v>
      </c>
      <c r="G263" s="7" t="str">
        <f aca="false">HYPERLINK("https://mncourtfraud.com/file/MCRO_27-CR-21-21707_Returned Mail_2022-10-03_20251126165146.pdf","MCRO_27-CR-21-21707_Returned Mail_2022-10-03_20251126165146.pdf")</f>
        <v>MCRO_27-CR-21-21707_Returned Mail_2022-10-03_20251126165146.pdf</v>
      </c>
      <c r="H263" s="1" t="s">
        <v>1362</v>
      </c>
      <c r="I263" s="1" t="n">
        <v>20251126165146</v>
      </c>
      <c r="J263" s="1" t="s">
        <v>3232</v>
      </c>
      <c r="K263" s="9" t="s">
        <v>2744</v>
      </c>
      <c r="L263" s="2" t="s">
        <v>2729</v>
      </c>
    </row>
    <row r="264" customFormat="false" ht="18.7" hidden="false" customHeight="true" outlineLevel="0" collapsed="false">
      <c r="A264" s="1" t="n">
        <v>263</v>
      </c>
      <c r="B264" s="7" t="str">
        <f aca="false">HYPERLINK("https://mncourtfraud.com/file/27-CR-21-21707.pdf","27-CR-21-21707")</f>
        <v>27-CR-21-21707</v>
      </c>
      <c r="C264" s="1" t="n">
        <v>5</v>
      </c>
      <c r="D264" s="2" t="s">
        <v>267</v>
      </c>
      <c r="E264" s="8" t="n">
        <v>44873</v>
      </c>
      <c r="F264" s="2" t="s">
        <v>15</v>
      </c>
      <c r="G264" s="7" t="str">
        <f aca="false">HYPERLINK("https://mncourtfraud.com/file/MCRO_27-CR-21-21707_Order-Evaluation for Competency to Proceed (Rule 20.01)_2022-11-08_20251126165112.pdf","MCRO_27-CR-21-21707_Order-Evaluation for Competency to Proceed (Rule 20.01)_2022-11-08_20251126165112.pdf")</f>
        <v>MCRO_27-CR-21-21707_Order-Evaluation for Competency to Proceed (Rule 20.01)_2022-11-08_20251126165112.pdf</v>
      </c>
      <c r="H264" s="1" t="s">
        <v>1362</v>
      </c>
      <c r="I264" s="1" t="n">
        <v>20251126165112</v>
      </c>
      <c r="J264" s="1" t="s">
        <v>3233</v>
      </c>
      <c r="K264" s="9" t="s">
        <v>2738</v>
      </c>
      <c r="L264" s="2" t="s">
        <v>2739</v>
      </c>
    </row>
    <row r="265" customFormat="false" ht="18.7" hidden="false" customHeight="true" outlineLevel="0" collapsed="false">
      <c r="A265" s="1" t="n">
        <v>264</v>
      </c>
      <c r="B265" s="7" t="str">
        <f aca="false">HYPERLINK("https://mncourtfraud.com/file/27-CR-21-21707.pdf","27-CR-21-21707")</f>
        <v>27-CR-21-21707</v>
      </c>
      <c r="C265" s="1" t="n">
        <v>5</v>
      </c>
      <c r="D265" s="2" t="s">
        <v>267</v>
      </c>
      <c r="E265" s="8" t="n">
        <v>45023</v>
      </c>
      <c r="F265" s="2" t="s">
        <v>15</v>
      </c>
      <c r="G265" s="7" t="str">
        <f aca="false">HYPERLINK("https://mncourtfraud.com/file/MCRO_27-CR-21-21707_Order-Evaluation for Competency to Proceed (Rule 20.01)_2023-04-07_20251126165123.pdf","MCRO_27-CR-21-21707_Order-Evaluation for Competency to Proceed (Rule 20.01)_2023-04-07_20251126165123.pdf")</f>
        <v>MCRO_27-CR-21-21707_Order-Evaluation for Competency to Proceed (Rule 20.01)_2023-04-07_20251126165123.pdf</v>
      </c>
      <c r="H265" s="1" t="s">
        <v>1362</v>
      </c>
      <c r="I265" s="1" t="n">
        <v>20251126165123</v>
      </c>
      <c r="J265" s="1" t="s">
        <v>3234</v>
      </c>
      <c r="K265" s="9" t="s">
        <v>2740</v>
      </c>
      <c r="L265" s="2" t="s">
        <v>2741</v>
      </c>
    </row>
    <row r="266" customFormat="false" ht="18.7" hidden="false" customHeight="true" outlineLevel="0" collapsed="false">
      <c r="A266" s="1" t="n">
        <v>265</v>
      </c>
      <c r="B266" s="7" t="str">
        <f aca="false">HYPERLINK("https://mncourtfraud.com/file/27-CR-21-21707.pdf","27-CR-21-21707")</f>
        <v>27-CR-21-21707</v>
      </c>
      <c r="C266" s="1" t="n">
        <v>5</v>
      </c>
      <c r="D266" s="2" t="s">
        <v>267</v>
      </c>
      <c r="E266" s="8" t="n">
        <v>45194</v>
      </c>
      <c r="F266" s="2" t="s">
        <v>15</v>
      </c>
      <c r="G266" s="7" t="str">
        <f aca="false">HYPERLINK("https://mncourtfraud.com/file/MCRO_27-CR-21-21707_Order-Evaluation for Competency to Proceed (Rule 20.01)_2023-09-25_20251126165133.pdf","MCRO_27-CR-21-21707_Order-Evaluation for Competency to Proceed (Rule 20.01)_2023-09-25_20251126165133.pdf")</f>
        <v>MCRO_27-CR-21-21707_Order-Evaluation for Competency to Proceed (Rule 20.01)_2023-09-25_20251126165133.pdf</v>
      </c>
      <c r="H266" s="1" t="s">
        <v>1362</v>
      </c>
      <c r="I266" s="1" t="n">
        <v>20251126165133</v>
      </c>
      <c r="J266" s="1" t="s">
        <v>3235</v>
      </c>
      <c r="K266" s="9" t="s">
        <v>2742</v>
      </c>
      <c r="L266" s="2" t="s">
        <v>2715</v>
      </c>
    </row>
    <row r="267" customFormat="false" ht="18.7" hidden="false" customHeight="true" outlineLevel="0" collapsed="false">
      <c r="A267" s="1" t="n">
        <v>266</v>
      </c>
      <c r="B267" s="7" t="str">
        <f aca="false">HYPERLINK("https://mncourtfraud.com/file/27-CR-21-21833.pdf","27-CR-21-21833")</f>
        <v>27-CR-21-21833</v>
      </c>
      <c r="C267" s="1" t="n">
        <v>5</v>
      </c>
      <c r="D267" s="2" t="s">
        <v>267</v>
      </c>
      <c r="E267" s="8" t="n">
        <v>44733</v>
      </c>
      <c r="F267" s="2" t="s">
        <v>17</v>
      </c>
      <c r="G267" s="7" t="str">
        <f aca="false">HYPERLINK("https://mncourtfraud.com/file/MCRO_27-CR-21-21833_Returned Mail_2022-06-21_20251126165240.pdf","MCRO_27-CR-21-21833_Returned Mail_2022-06-21_20251126165240.pdf")</f>
        <v>MCRO_27-CR-21-21833_Returned Mail_2022-06-21_20251126165240.pdf</v>
      </c>
      <c r="H267" s="1" t="s">
        <v>1362</v>
      </c>
      <c r="I267" s="1" t="n">
        <v>20251126165240</v>
      </c>
      <c r="J267" s="1" t="s">
        <v>3236</v>
      </c>
      <c r="K267" s="9" t="s">
        <v>2749</v>
      </c>
      <c r="L267" s="2" t="s">
        <v>2717</v>
      </c>
    </row>
    <row r="268" customFormat="false" ht="18.7" hidden="false" customHeight="true" outlineLevel="0" collapsed="false">
      <c r="A268" s="1" t="n">
        <v>267</v>
      </c>
      <c r="B268" s="7" t="str">
        <f aca="false">HYPERLINK("https://mncourtfraud.com/file/27-CR-21-21833.pdf","27-CR-21-21833")</f>
        <v>27-CR-21-21833</v>
      </c>
      <c r="C268" s="1" t="n">
        <v>5</v>
      </c>
      <c r="D268" s="2" t="s">
        <v>267</v>
      </c>
      <c r="E268" s="8" t="n">
        <v>44837</v>
      </c>
      <c r="F268" s="2" t="s">
        <v>17</v>
      </c>
      <c r="G268" s="7" t="str">
        <f aca="false">HYPERLINK("https://mncourtfraud.com/file/MCRO_27-CR-21-21833_Returned Mail_2022-10-03_20251126165252.pdf","MCRO_27-CR-21-21833_Returned Mail_2022-10-03_20251126165252.pdf")</f>
        <v>MCRO_27-CR-21-21833_Returned Mail_2022-10-03_20251126165252.pdf</v>
      </c>
      <c r="H268" s="1" t="s">
        <v>1362</v>
      </c>
      <c r="I268" s="1" t="n">
        <v>20251126165252</v>
      </c>
      <c r="J268" s="1" t="s">
        <v>3237</v>
      </c>
      <c r="K268" s="9" t="s">
        <v>2750</v>
      </c>
      <c r="L268" s="2" t="s">
        <v>2729</v>
      </c>
    </row>
    <row r="269" customFormat="false" ht="18.7" hidden="false" customHeight="true" outlineLevel="0" collapsed="false">
      <c r="A269" s="1" t="n">
        <v>268</v>
      </c>
      <c r="B269" s="7" t="str">
        <f aca="false">HYPERLINK("https://mncourtfraud.com/file/27-CR-21-21833.pdf","27-CR-21-21833")</f>
        <v>27-CR-21-21833</v>
      </c>
      <c r="C269" s="1" t="n">
        <v>5</v>
      </c>
      <c r="D269" s="2" t="s">
        <v>267</v>
      </c>
      <c r="E269" s="8" t="n">
        <v>44873</v>
      </c>
      <c r="F269" s="2" t="s">
        <v>15</v>
      </c>
      <c r="G269" s="7" t="str">
        <f aca="false">HYPERLINK("https://mncourtfraud.com/file/MCRO_27-CR-21-21833_Order-Evaluation for Competency to Proceed (Rule 20.01)_2022-11-08_20251126165318.pdf","MCRO_27-CR-21-21833_Order-Evaluation for Competency to Proceed (Rule 20.01)_2022-11-08_20251126165318.pdf")</f>
        <v>MCRO_27-CR-21-21833_Order-Evaluation for Competency to Proceed (Rule 20.01)_2022-11-08_20251126165318.pdf</v>
      </c>
      <c r="H269" s="1" t="s">
        <v>1362</v>
      </c>
      <c r="I269" s="1" t="n">
        <v>20251126165318</v>
      </c>
      <c r="J269" s="1" t="s">
        <v>3238</v>
      </c>
      <c r="K269" s="9" t="s">
        <v>2745</v>
      </c>
      <c r="L269" s="2" t="s">
        <v>2721</v>
      </c>
    </row>
    <row r="270" customFormat="false" ht="18.7" hidden="false" customHeight="true" outlineLevel="0" collapsed="false">
      <c r="A270" s="1" t="n">
        <v>269</v>
      </c>
      <c r="B270" s="7" t="str">
        <f aca="false">HYPERLINK("https://mncourtfraud.com/file/27-CR-21-21833.pdf","27-CR-21-21833")</f>
        <v>27-CR-21-21833</v>
      </c>
      <c r="C270" s="1" t="n">
        <v>5</v>
      </c>
      <c r="D270" s="2" t="s">
        <v>267</v>
      </c>
      <c r="E270" s="8" t="n">
        <v>45023</v>
      </c>
      <c r="F270" s="2" t="s">
        <v>15</v>
      </c>
      <c r="G270" s="7" t="str">
        <f aca="false">HYPERLINK("https://mncourtfraud.com/file/MCRO_27-CR-21-21833_Order-Evaluation for Competency to Proceed (Rule 20.01)_2023-04-07_20251126165327.pdf","MCRO_27-CR-21-21833_Order-Evaluation for Competency to Proceed (Rule 20.01)_2023-04-07_20251126165327.pdf")</f>
        <v>MCRO_27-CR-21-21833_Order-Evaluation for Competency to Proceed (Rule 20.01)_2023-04-07_20251126165327.pdf</v>
      </c>
      <c r="H270" s="1" t="s">
        <v>1362</v>
      </c>
      <c r="I270" s="1" t="n">
        <v>20251126165327</v>
      </c>
      <c r="J270" s="1" t="s">
        <v>3239</v>
      </c>
      <c r="K270" s="9" t="s">
        <v>2746</v>
      </c>
      <c r="L270" s="2" t="s">
        <v>2747</v>
      </c>
    </row>
    <row r="271" customFormat="false" ht="18.7" hidden="false" customHeight="true" outlineLevel="0" collapsed="false">
      <c r="A271" s="1" t="n">
        <v>270</v>
      </c>
      <c r="B271" s="7" t="str">
        <f aca="false">HYPERLINK("https://mncourtfraud.com/file/27-CR-21-21833.pdf","27-CR-21-21833")</f>
        <v>27-CR-21-21833</v>
      </c>
      <c r="C271" s="1" t="n">
        <v>5</v>
      </c>
      <c r="D271" s="2" t="s">
        <v>267</v>
      </c>
      <c r="E271" s="8" t="n">
        <v>45194</v>
      </c>
      <c r="F271" s="2" t="s">
        <v>15</v>
      </c>
      <c r="G271" s="7" t="str">
        <f aca="false">HYPERLINK("https://mncourtfraud.com/file/MCRO_27-CR-21-21833_Order-Evaluation for Competency to Proceed (Rule 20.01)_2023-09-25_20251126165306.pdf","MCRO_27-CR-21-21833_Order-Evaluation for Competency to Proceed (Rule 20.01)_2023-09-25_20251126165306.pdf")</f>
        <v>MCRO_27-CR-21-21833_Order-Evaluation for Competency to Proceed (Rule 20.01)_2023-09-25_20251126165306.pdf</v>
      </c>
      <c r="H271" s="1" t="s">
        <v>1362</v>
      </c>
      <c r="I271" s="1" t="n">
        <v>20251126165306</v>
      </c>
      <c r="J271" s="1" t="s">
        <v>3240</v>
      </c>
      <c r="K271" s="9" t="s">
        <v>2748</v>
      </c>
      <c r="L271" s="2" t="s">
        <v>2715</v>
      </c>
    </row>
    <row r="272" customFormat="false" ht="18.7" hidden="false" customHeight="true" outlineLevel="0" collapsed="false">
      <c r="A272" s="1" t="n">
        <v>271</v>
      </c>
      <c r="B272" s="7" t="str">
        <f aca="false">HYPERLINK("https://mncourtfraud.com/file/27-CR-21-22737.pdf","27-CR-21-22737")</f>
        <v>27-CR-21-22737</v>
      </c>
      <c r="C272" s="1" t="n">
        <v>5</v>
      </c>
      <c r="D272" s="2" t="s">
        <v>267</v>
      </c>
      <c r="E272" s="8" t="n">
        <v>44733</v>
      </c>
      <c r="F272" s="2" t="s">
        <v>17</v>
      </c>
      <c r="G272" s="7" t="str">
        <f aca="false">HYPERLINK("https://mncourtfraud.com/file/MCRO_27-CR-21-22737_Returned Mail_2022-06-21_20251126165440.pdf","MCRO_27-CR-21-22737_Returned Mail_2022-06-21_20251126165440.pdf")</f>
        <v>MCRO_27-CR-21-22737_Returned Mail_2022-06-21_20251126165440.pdf</v>
      </c>
      <c r="H272" s="1" t="s">
        <v>1362</v>
      </c>
      <c r="I272" s="1" t="n">
        <v>20251126165440</v>
      </c>
      <c r="J272" s="1" t="s">
        <v>3241</v>
      </c>
      <c r="K272" s="9" t="s">
        <v>2756</v>
      </c>
      <c r="L272" s="2" t="s">
        <v>2757</v>
      </c>
    </row>
    <row r="273" customFormat="false" ht="18.7" hidden="false" customHeight="true" outlineLevel="0" collapsed="false">
      <c r="A273" s="1" t="n">
        <v>272</v>
      </c>
      <c r="B273" s="7" t="str">
        <f aca="false">HYPERLINK("https://mncourtfraud.com/file/27-CR-21-22737.pdf","27-CR-21-22737")</f>
        <v>27-CR-21-22737</v>
      </c>
      <c r="C273" s="1" t="n">
        <v>5</v>
      </c>
      <c r="D273" s="2" t="s">
        <v>267</v>
      </c>
      <c r="E273" s="8" t="n">
        <v>44837</v>
      </c>
      <c r="F273" s="2" t="s">
        <v>17</v>
      </c>
      <c r="G273" s="7" t="str">
        <f aca="false">HYPERLINK("https://mncourtfraud.com/file/MCRO_27-CR-21-22737_Returned Mail_2022-10-03_20251126165429.pdf","MCRO_27-CR-21-22737_Returned Mail_2022-10-03_20251126165429.pdf")</f>
        <v>MCRO_27-CR-21-22737_Returned Mail_2022-10-03_20251126165429.pdf</v>
      </c>
      <c r="H273" s="1" t="s">
        <v>1362</v>
      </c>
      <c r="I273" s="1" t="n">
        <v>20251126165429</v>
      </c>
      <c r="J273" s="1" t="s">
        <v>3242</v>
      </c>
      <c r="K273" s="9" t="s">
        <v>2758</v>
      </c>
      <c r="L273" s="2" t="s">
        <v>2729</v>
      </c>
    </row>
    <row r="274" customFormat="false" ht="18.7" hidden="false" customHeight="true" outlineLevel="0" collapsed="false">
      <c r="A274" s="1" t="n">
        <v>273</v>
      </c>
      <c r="B274" s="7" t="str">
        <f aca="false">HYPERLINK("https://mncourtfraud.com/file/27-CR-21-22737.pdf","27-CR-21-22737")</f>
        <v>27-CR-21-22737</v>
      </c>
      <c r="C274" s="1" t="n">
        <v>5</v>
      </c>
      <c r="D274" s="2" t="s">
        <v>267</v>
      </c>
      <c r="E274" s="8" t="n">
        <v>44873</v>
      </c>
      <c r="F274" s="2" t="s">
        <v>15</v>
      </c>
      <c r="G274" s="7" t="str">
        <f aca="false">HYPERLINK("https://mncourtfraud.com/file/MCRO_27-CR-21-22737_Order-Evaluation for Competency to Proceed (Rule 20.01)_2022-11-08_20251126165353.pdf","MCRO_27-CR-21-22737_Order-Evaluation for Competency to Proceed (Rule 20.01)_2022-11-08_20251126165353.pdf")</f>
        <v>MCRO_27-CR-21-22737_Order-Evaluation for Competency to Proceed (Rule 20.01)_2022-11-08_20251126165353.pdf</v>
      </c>
      <c r="H274" s="1" t="s">
        <v>1362</v>
      </c>
      <c r="I274" s="1" t="n">
        <v>20251126165353</v>
      </c>
      <c r="J274" s="1" t="s">
        <v>3243</v>
      </c>
      <c r="K274" s="9" t="s">
        <v>2751</v>
      </c>
      <c r="L274" s="2" t="s">
        <v>2711</v>
      </c>
    </row>
    <row r="275" customFormat="false" ht="18.7" hidden="false" customHeight="true" outlineLevel="0" collapsed="false">
      <c r="A275" s="1" t="n">
        <v>274</v>
      </c>
      <c r="B275" s="7" t="str">
        <f aca="false">HYPERLINK("https://mncourtfraud.com/file/27-CR-21-22737.pdf","27-CR-21-22737")</f>
        <v>27-CR-21-22737</v>
      </c>
      <c r="C275" s="1" t="n">
        <v>5</v>
      </c>
      <c r="D275" s="2" t="s">
        <v>267</v>
      </c>
      <c r="E275" s="8" t="n">
        <v>45023</v>
      </c>
      <c r="F275" s="2" t="s">
        <v>15</v>
      </c>
      <c r="G275" s="7" t="str">
        <f aca="false">HYPERLINK("https://mncourtfraud.com/file/MCRO_27-CR-21-22737_Order-Evaluation for Competency to Proceed (Rule 20.01)_2023-04-07_20251126165404.pdf","MCRO_27-CR-21-22737_Order-Evaluation for Competency to Proceed (Rule 20.01)_2023-04-07_20251126165404.pdf")</f>
        <v>MCRO_27-CR-21-22737_Order-Evaluation for Competency to Proceed (Rule 20.01)_2023-04-07_20251126165404.pdf</v>
      </c>
      <c r="H275" s="1" t="s">
        <v>1362</v>
      </c>
      <c r="I275" s="1" t="n">
        <v>20251126165404</v>
      </c>
      <c r="J275" s="1" t="s">
        <v>3244</v>
      </c>
      <c r="K275" s="9" t="s">
        <v>2752</v>
      </c>
      <c r="L275" s="2" t="s">
        <v>2753</v>
      </c>
    </row>
    <row r="276" customFormat="false" ht="18.7" hidden="false" customHeight="true" outlineLevel="0" collapsed="false">
      <c r="A276" s="1" t="n">
        <v>275</v>
      </c>
      <c r="B276" s="7" t="str">
        <f aca="false">HYPERLINK("https://mncourtfraud.com/file/27-CR-21-22737.pdf","27-CR-21-22737")</f>
        <v>27-CR-21-22737</v>
      </c>
      <c r="C276" s="1" t="n">
        <v>5</v>
      </c>
      <c r="D276" s="2" t="s">
        <v>267</v>
      </c>
      <c r="E276" s="8" t="n">
        <v>45194</v>
      </c>
      <c r="F276" s="2" t="s">
        <v>15</v>
      </c>
      <c r="G276" s="7" t="str">
        <f aca="false">HYPERLINK("https://mncourtfraud.com/file/MCRO_27-CR-21-22737_Order-Evaluation for Competency to Proceed (Rule 20.01)_2023-09-25_20251126165414.pdf","MCRO_27-CR-21-22737_Order-Evaluation for Competency to Proceed (Rule 20.01)_2023-09-25_20251126165414.pdf")</f>
        <v>MCRO_27-CR-21-22737_Order-Evaluation for Competency to Proceed (Rule 20.01)_2023-09-25_20251126165414.pdf</v>
      </c>
      <c r="H276" s="1" t="s">
        <v>1362</v>
      </c>
      <c r="I276" s="1" t="n">
        <v>20251126165414</v>
      </c>
      <c r="J276" s="1" t="s">
        <v>3245</v>
      </c>
      <c r="K276" s="9" t="s">
        <v>2754</v>
      </c>
      <c r="L276" s="2" t="s">
        <v>2755</v>
      </c>
    </row>
    <row r="277" customFormat="false" ht="18.7" hidden="false" customHeight="true" outlineLevel="0" collapsed="false">
      <c r="A277" s="1" t="n">
        <v>276</v>
      </c>
      <c r="B277" s="7" t="str">
        <f aca="false">HYPERLINK("https://mncourtfraud.com/file/27-CR-21-23724.pdf","27-CR-21-23724")</f>
        <v>27-CR-21-23724</v>
      </c>
      <c r="C277" s="1" t="n">
        <v>1</v>
      </c>
      <c r="D277" s="2" t="s">
        <v>12</v>
      </c>
      <c r="E277" s="8" t="n">
        <v>44558</v>
      </c>
      <c r="F277" s="2" t="s">
        <v>15</v>
      </c>
      <c r="G277" s="7" t="str">
        <f aca="false">HYPERLINK("https://mncourtfraud.com/file/MCRO_27-CR-21-23724_Order-Evaluation for Competency to Proceed (Rule 20.01)_2021-12-28_20251126184113.pdf","MCRO_27-CR-21-23724_Order-Evaluation for Competency to Proceed (Rule 20.01)_2021-12-28_20251126184113.pdf")</f>
        <v>MCRO_27-CR-21-23724_Order-Evaluation for Competency to Proceed (Rule 20.01)_2021-12-28_20251126184113.pdf</v>
      </c>
      <c r="H277" s="1" t="s">
        <v>1362</v>
      </c>
      <c r="I277" s="1" t="n">
        <v>20251126184113</v>
      </c>
      <c r="J277" s="1" t="s">
        <v>3246</v>
      </c>
      <c r="K277" s="9" t="s">
        <v>2764</v>
      </c>
      <c r="L277" s="2" t="s">
        <v>2765</v>
      </c>
    </row>
    <row r="278" customFormat="false" ht="18.7" hidden="false" customHeight="true" outlineLevel="0" collapsed="false">
      <c r="A278" s="1" t="n">
        <v>277</v>
      </c>
      <c r="B278" s="7" t="str">
        <f aca="false">HYPERLINK("https://mncourtfraud.com/file/27-CR-21-23724.pdf","27-CR-21-23724")</f>
        <v>27-CR-21-23724</v>
      </c>
      <c r="C278" s="1" t="n">
        <v>1</v>
      </c>
      <c r="D278" s="2" t="s">
        <v>12</v>
      </c>
      <c r="E278" s="8" t="n">
        <v>44593</v>
      </c>
      <c r="F278" s="2" t="s">
        <v>19</v>
      </c>
      <c r="G278" s="7" t="str">
        <f aca="false">HYPERLINK("https://mncourtfraud.com/file/MCRO_27-CR-21-23724_Findings and Order_2022-02-01_20251126184020.pdf","MCRO_27-CR-21-23724_Findings and Order_2022-02-01_20251126184020.pdf")</f>
        <v>MCRO_27-CR-21-23724_Findings and Order_2022-02-01_20251126184020.pdf</v>
      </c>
      <c r="H278" s="1" t="s">
        <v>1362</v>
      </c>
      <c r="I278" s="1" t="n">
        <v>20251126184020</v>
      </c>
      <c r="J278" s="1" t="s">
        <v>3247</v>
      </c>
      <c r="K278" s="9" t="s">
        <v>2760</v>
      </c>
      <c r="L278" s="2" t="s">
        <v>2761</v>
      </c>
    </row>
    <row r="279" customFormat="false" ht="18.7" hidden="false" customHeight="true" outlineLevel="0" collapsed="false">
      <c r="A279" s="1" t="n">
        <v>278</v>
      </c>
      <c r="B279" s="7" t="str">
        <f aca="false">HYPERLINK("https://mncourtfraud.com/file/27-CR-21-23724.pdf","27-CR-21-23724")</f>
        <v>27-CR-21-23724</v>
      </c>
      <c r="C279" s="1" t="n">
        <v>1</v>
      </c>
      <c r="D279" s="2" t="s">
        <v>12</v>
      </c>
      <c r="E279" s="8" t="n">
        <v>44692</v>
      </c>
      <c r="F279" s="2" t="s">
        <v>15</v>
      </c>
      <c r="G279" s="7" t="str">
        <f aca="false">HYPERLINK("https://mncourtfraud.com/file/MCRO_27-CR-21-23724_Order-Evaluation for Competency to Proceed (Rule 20.01)_2022-05-11_20251126184121.pdf","MCRO_27-CR-21-23724_Order-Evaluation for Competency to Proceed (Rule 20.01)_2022-05-11_20251126184121.pdf")</f>
        <v>MCRO_27-CR-21-23724_Order-Evaluation for Competency to Proceed (Rule 20.01)_2022-05-11_20251126184121.pdf</v>
      </c>
      <c r="H279" s="1" t="s">
        <v>1362</v>
      </c>
      <c r="I279" s="1" t="n">
        <v>20251126184121</v>
      </c>
      <c r="J279" s="1" t="s">
        <v>3248</v>
      </c>
      <c r="K279" s="9" t="s">
        <v>2766</v>
      </c>
      <c r="L279" s="2" t="s">
        <v>2606</v>
      </c>
    </row>
    <row r="280" customFormat="false" ht="18.7" hidden="false" customHeight="true" outlineLevel="0" collapsed="false">
      <c r="A280" s="1" t="n">
        <v>279</v>
      </c>
      <c r="B280" s="7" t="str">
        <f aca="false">HYPERLINK("https://mncourtfraud.com/file/27-CR-21-23724.pdf","27-CR-21-23724")</f>
        <v>27-CR-21-23724</v>
      </c>
      <c r="C280" s="1" t="n">
        <v>1</v>
      </c>
      <c r="D280" s="2" t="s">
        <v>12</v>
      </c>
      <c r="E280" s="8" t="n">
        <v>44895</v>
      </c>
      <c r="F280" s="2" t="s">
        <v>15</v>
      </c>
      <c r="G280" s="7" t="str">
        <f aca="false">HYPERLINK("https://mncourtfraud.com/file/MCRO_27-CR-21-23724_Order-Evaluation for Competency to Proceed (Rule 20.01)_2022-11-30_20251126184131.pdf","MCRO_27-CR-21-23724_Order-Evaluation for Competency to Proceed (Rule 20.01)_2022-11-30_20251126184131.pdf")</f>
        <v>MCRO_27-CR-21-23724_Order-Evaluation for Competency to Proceed (Rule 20.01)_2022-11-30_20251126184131.pdf</v>
      </c>
      <c r="H280" s="1" t="s">
        <v>1362</v>
      </c>
      <c r="I280" s="1" t="n">
        <v>20251126184131</v>
      </c>
      <c r="J280" s="1" t="s">
        <v>3249</v>
      </c>
      <c r="K280" s="9" t="s">
        <v>2767</v>
      </c>
      <c r="L280" s="2" t="s">
        <v>2469</v>
      </c>
    </row>
    <row r="281" customFormat="false" ht="18.7" hidden="false" customHeight="true" outlineLevel="0" collapsed="false">
      <c r="A281" s="1" t="n">
        <v>280</v>
      </c>
      <c r="B281" s="7" t="str">
        <f aca="false">HYPERLINK("https://mncourtfraud.com/file/27-CR-21-23724.pdf","27-CR-21-23724")</f>
        <v>27-CR-21-23724</v>
      </c>
      <c r="C281" s="1" t="n">
        <v>1</v>
      </c>
      <c r="D281" s="2" t="s">
        <v>12</v>
      </c>
      <c r="E281" s="8" t="n">
        <v>44999</v>
      </c>
      <c r="F281" s="2" t="s">
        <v>17</v>
      </c>
      <c r="G281" s="7" t="str">
        <f aca="false">HYPERLINK("https://mncourtfraud.com/file/MCRO_27-CR-21-23724_Returned Mail_2023-03-14_20251126184153.pdf","MCRO_27-CR-21-23724_Returned Mail_2023-03-14_20251126184153.pdf")</f>
        <v>MCRO_27-CR-21-23724_Returned Mail_2023-03-14_20251126184153.pdf</v>
      </c>
      <c r="H281" s="1" t="s">
        <v>1362</v>
      </c>
      <c r="I281" s="1" t="n">
        <v>20251126184153</v>
      </c>
      <c r="J281" s="1" t="s">
        <v>3250</v>
      </c>
      <c r="K281" s="9" t="s">
        <v>2772</v>
      </c>
      <c r="L281" s="2" t="s">
        <v>2773</v>
      </c>
    </row>
    <row r="282" customFormat="false" ht="18.7" hidden="false" customHeight="true" outlineLevel="0" collapsed="false">
      <c r="A282" s="1" t="n">
        <v>281</v>
      </c>
      <c r="B282" s="7" t="str">
        <f aca="false">HYPERLINK("https://mncourtfraud.com/file/27-CR-21-23724.pdf","27-CR-21-23724")</f>
        <v>27-CR-21-23724</v>
      </c>
      <c r="C282" s="1" t="n">
        <v>1</v>
      </c>
      <c r="D282" s="2" t="s">
        <v>12</v>
      </c>
      <c r="E282" s="8" t="n">
        <v>45048</v>
      </c>
      <c r="F282" s="2" t="s">
        <v>80</v>
      </c>
      <c r="G282" s="7" t="str">
        <f aca="false">HYPERLINK("https://mncourtfraud.com/file/MCRO_27-CR-21-23724_Finding of Incompetency and Order_2023-05-02_20251126184009.pdf","MCRO_27-CR-21-23724_Finding of Incompetency and Order_2023-05-02_20251126184009.pdf")</f>
        <v>MCRO_27-CR-21-23724_Finding of Incompetency and Order_2023-05-02_20251126184009.pdf</v>
      </c>
      <c r="H282" s="1" t="s">
        <v>1362</v>
      </c>
      <c r="I282" s="1" t="n">
        <v>20251126184009</v>
      </c>
      <c r="J282" s="1" t="s">
        <v>3251</v>
      </c>
      <c r="K282" s="9" t="s">
        <v>2759</v>
      </c>
      <c r="L282" s="2" t="s">
        <v>2642</v>
      </c>
    </row>
    <row r="283" customFormat="false" ht="18.7" hidden="false" customHeight="true" outlineLevel="0" collapsed="false">
      <c r="A283" s="1" t="n">
        <v>282</v>
      </c>
      <c r="B283" s="7" t="str">
        <f aca="false">HYPERLINK("https://mncourtfraud.com/file/27-CR-21-23724.pdf","27-CR-21-23724")</f>
        <v>27-CR-21-23724</v>
      </c>
      <c r="C283" s="1" t="n">
        <v>1</v>
      </c>
      <c r="D283" s="2" t="s">
        <v>12</v>
      </c>
      <c r="E283" s="8" t="n">
        <v>45093</v>
      </c>
      <c r="F283" s="2" t="s">
        <v>82</v>
      </c>
      <c r="G283" s="7" t="str">
        <f aca="false">HYPERLINK("https://mncourtfraud.com/file/MCRO_27-CR-21-23724_Notice of Case Reassignment_2023-06-16_20251126184032.pdf","MCRO_27-CR-21-23724_Notice of Case Reassignment_2023-06-16_20251126184032.pdf")</f>
        <v>MCRO_27-CR-21-23724_Notice of Case Reassignment_2023-06-16_20251126184032.pdf</v>
      </c>
      <c r="H283" s="1" t="s">
        <v>1362</v>
      </c>
      <c r="I283" s="1" t="n">
        <v>20251126184032</v>
      </c>
      <c r="J283" s="1" t="s">
        <v>3252</v>
      </c>
      <c r="K283" s="9" t="s">
        <v>2762</v>
      </c>
      <c r="L283" s="2" t="s">
        <v>2596</v>
      </c>
    </row>
    <row r="284" customFormat="false" ht="18.7" hidden="false" customHeight="true" outlineLevel="0" collapsed="false">
      <c r="A284" s="1" t="n">
        <v>283</v>
      </c>
      <c r="B284" s="7" t="str">
        <f aca="false">HYPERLINK("https://mncourtfraud.com/file/27-CR-21-23724.pdf","27-CR-21-23724")</f>
        <v>27-CR-21-23724</v>
      </c>
      <c r="C284" s="1" t="n">
        <v>1</v>
      </c>
      <c r="D284" s="2" t="s">
        <v>12</v>
      </c>
      <c r="E284" s="8" t="n">
        <v>45160</v>
      </c>
      <c r="F284" s="2" t="s">
        <v>15</v>
      </c>
      <c r="G284" s="7" t="str">
        <f aca="false">HYPERLINK("https://mncourtfraud.com/file/MCRO_27-CR-21-23724_Order-Evaluation for Competency to Proceed (Rule 20.01)_2023-08-22_20251126184139.pdf","MCRO_27-CR-21-23724_Order-Evaluation for Competency to Proceed (Rule 20.01)_2023-08-22_20251126184139.pdf")</f>
        <v>MCRO_27-CR-21-23724_Order-Evaluation for Competency to Proceed (Rule 20.01)_2023-08-22_20251126184139.pdf</v>
      </c>
      <c r="H284" s="1" t="s">
        <v>1362</v>
      </c>
      <c r="I284" s="1" t="n">
        <v>20251126184139</v>
      </c>
      <c r="J284" s="1" t="s">
        <v>3253</v>
      </c>
      <c r="K284" s="9" t="s">
        <v>2768</v>
      </c>
      <c r="L284" s="2" t="s">
        <v>2769</v>
      </c>
    </row>
    <row r="285" customFormat="false" ht="18.7" hidden="false" customHeight="true" outlineLevel="0" collapsed="false">
      <c r="A285" s="1" t="n">
        <v>284</v>
      </c>
      <c r="B285" s="7" t="str">
        <f aca="false">HYPERLINK("https://mncourtfraud.com/file/27-CR-21-23724.pdf","27-CR-21-23724")</f>
        <v>27-CR-21-23724</v>
      </c>
      <c r="C285" s="1" t="n">
        <v>1</v>
      </c>
      <c r="D285" s="2" t="s">
        <v>12</v>
      </c>
      <c r="E285" s="8" t="n">
        <v>45412</v>
      </c>
      <c r="F285" s="2" t="s">
        <v>24</v>
      </c>
      <c r="G285" s="7" t="str">
        <f aca="false">HYPERLINK("https://mncourtfraud.com/file/MCRO_27-CR-21-23724_Order for Conditional Release_2024-04-30_20251126184050.pdf","MCRO_27-CR-21-23724_Order for Conditional Release_2024-04-30_20251126184050.pdf")</f>
        <v>MCRO_27-CR-21-23724_Order for Conditional Release_2024-04-30_20251126184050.pdf</v>
      </c>
      <c r="H285" s="1" t="s">
        <v>1362</v>
      </c>
      <c r="I285" s="1" t="n">
        <v>20251126184050</v>
      </c>
      <c r="J285" s="1" t="s">
        <v>3254</v>
      </c>
      <c r="K285" s="9" t="s">
        <v>2763</v>
      </c>
      <c r="L285" s="2" t="s">
        <v>2400</v>
      </c>
    </row>
    <row r="286" customFormat="false" ht="18.7" hidden="false" customHeight="true" outlineLevel="0" collapsed="false">
      <c r="A286" s="1" t="n">
        <v>285</v>
      </c>
      <c r="B286" s="7" t="str">
        <f aca="false">HYPERLINK("https://mncourtfraud.com/file/27-CR-21-23724.pdf","27-CR-21-23724")</f>
        <v>27-CR-21-23724</v>
      </c>
      <c r="C286" s="1" t="n">
        <v>1</v>
      </c>
      <c r="D286" s="2" t="s">
        <v>12</v>
      </c>
      <c r="E286" s="8" t="n">
        <v>45412</v>
      </c>
      <c r="F286" s="2" t="s">
        <v>15</v>
      </c>
      <c r="G286" s="7" t="str">
        <f aca="false">HYPERLINK("https://mncourtfraud.com/file/MCRO_27-CR-21-23724_Order-Evaluation for Competency to Proceed (Rule 20.01)_2024-04-30_20251126184103.pdf","MCRO_27-CR-21-23724_Order-Evaluation for Competency to Proceed (Rule 20.01)_2024-04-30_20251126184103.pdf")</f>
        <v>MCRO_27-CR-21-23724_Order-Evaluation for Competency to Proceed (Rule 20.01)_2024-04-30_20251126184103.pdf</v>
      </c>
      <c r="H286" s="1" t="s">
        <v>1362</v>
      </c>
      <c r="I286" s="1" t="n">
        <v>20251126184103</v>
      </c>
      <c r="J286" s="1" t="s">
        <v>3255</v>
      </c>
      <c r="K286" s="9" t="s">
        <v>2770</v>
      </c>
      <c r="L286" s="2" t="s">
        <v>2771</v>
      </c>
    </row>
    <row r="287" customFormat="false" ht="18.7" hidden="false" customHeight="true" outlineLevel="0" collapsed="false">
      <c r="A287" s="1" t="n">
        <v>286</v>
      </c>
      <c r="B287" s="7" t="str">
        <f aca="false">HYPERLINK("https://mncourtfraud.com/file/27-CR-21-2803.pdf","27-CR-21-2803")</f>
        <v>27-CR-21-2803</v>
      </c>
      <c r="C287" s="1" t="n">
        <v>1</v>
      </c>
      <c r="D287" s="2" t="s">
        <v>12</v>
      </c>
      <c r="E287" s="8" t="n">
        <v>44396</v>
      </c>
      <c r="F287" s="2" t="s">
        <v>15</v>
      </c>
      <c r="G287" s="7" t="str">
        <f aca="false">HYPERLINK("https://mncourtfraud.com/file/MCRO_27-CR-21-2803_Order-Evaluation for Competency to Proceed (Rule 20.01)_2021-07-19_20251126184309.pdf","MCRO_27-CR-21-2803_Order-Evaluation for Competency to Proceed (Rule 20.01)_2021-07-19_20251126184309.pdf")</f>
        <v>MCRO_27-CR-21-2803_Order-Evaluation for Competency to Proceed (Rule 20.01)_2021-07-19_20251126184309.pdf</v>
      </c>
      <c r="H287" s="1" t="s">
        <v>1362</v>
      </c>
      <c r="I287" s="1" t="n">
        <v>20251126184309</v>
      </c>
      <c r="J287" s="1" t="s">
        <v>3256</v>
      </c>
      <c r="K287" s="9" t="s">
        <v>2781</v>
      </c>
      <c r="L287" s="2" t="s">
        <v>2782</v>
      </c>
    </row>
    <row r="288" customFormat="false" ht="18.7" hidden="false" customHeight="true" outlineLevel="0" collapsed="false">
      <c r="A288" s="1" t="n">
        <v>287</v>
      </c>
      <c r="B288" s="7" t="str">
        <f aca="false">HYPERLINK("https://mncourtfraud.com/file/27-CR-21-2803.pdf","27-CR-21-2803")</f>
        <v>27-CR-21-2803</v>
      </c>
      <c r="C288" s="1" t="n">
        <v>1</v>
      </c>
      <c r="D288" s="2" t="s">
        <v>12</v>
      </c>
      <c r="E288" s="8" t="n">
        <v>44439</v>
      </c>
      <c r="F288" s="2" t="s">
        <v>19</v>
      </c>
      <c r="G288" s="7" t="str">
        <f aca="false">HYPERLINK("https://mncourtfraud.com/file/MCRO_27-CR-21-2803_Findings and Order_2021-08-31_20251126184229.pdf","MCRO_27-CR-21-2803_Findings and Order_2021-08-31_20251126184229.pdf")</f>
        <v>MCRO_27-CR-21-2803_Findings and Order_2021-08-31_20251126184229.pdf</v>
      </c>
      <c r="H288" s="1" t="s">
        <v>1362</v>
      </c>
      <c r="I288" s="1" t="n">
        <v>20251126184229</v>
      </c>
      <c r="J288" s="1" t="s">
        <v>3257</v>
      </c>
      <c r="K288" s="9" t="s">
        <v>2774</v>
      </c>
      <c r="L288" s="2" t="s">
        <v>2775</v>
      </c>
    </row>
    <row r="289" customFormat="false" ht="18.7" hidden="false" customHeight="true" outlineLevel="0" collapsed="false">
      <c r="A289" s="1" t="n">
        <v>288</v>
      </c>
      <c r="B289" s="7" t="str">
        <f aca="false">HYPERLINK("https://mncourtfraud.com/file/27-CR-21-2803.pdf","27-CR-21-2803")</f>
        <v>27-CR-21-2803</v>
      </c>
      <c r="C289" s="1" t="n">
        <v>1</v>
      </c>
      <c r="D289" s="2" t="s">
        <v>12</v>
      </c>
      <c r="E289" s="8" t="n">
        <v>44439</v>
      </c>
      <c r="F289" s="2" t="s">
        <v>134</v>
      </c>
      <c r="G289" s="7" t="str">
        <f aca="false">HYPERLINK("https://mncourtfraud.com/file/MCRO_27-CR-21-2803_Notice of Intent to Prosecute_2021-08-31_20251126184242.pdf","MCRO_27-CR-21-2803_Notice of Intent to Prosecute_2021-08-31_20251126184242.pdf")</f>
        <v>MCRO_27-CR-21-2803_Notice of Intent to Prosecute_2021-08-31_20251126184242.pdf</v>
      </c>
      <c r="H289" s="1" t="s">
        <v>1362</v>
      </c>
      <c r="I289" s="1" t="n">
        <v>20251126184242</v>
      </c>
      <c r="J289" s="1" t="s">
        <v>3258</v>
      </c>
      <c r="K289" s="9" t="s">
        <v>2777</v>
      </c>
      <c r="L289" s="2" t="s">
        <v>2778</v>
      </c>
    </row>
    <row r="290" customFormat="false" ht="18.7" hidden="false" customHeight="true" outlineLevel="0" collapsed="false">
      <c r="A290" s="1" t="n">
        <v>289</v>
      </c>
      <c r="B290" s="7" t="str">
        <f aca="false">HYPERLINK("https://mncourtfraud.com/file/27-CR-21-2803.pdf","27-CR-21-2803")</f>
        <v>27-CR-21-2803</v>
      </c>
      <c r="C290" s="1" t="n">
        <v>1</v>
      </c>
      <c r="D290" s="2" t="s">
        <v>12</v>
      </c>
      <c r="E290" s="8" t="n">
        <v>44460</v>
      </c>
      <c r="F290" s="2" t="s">
        <v>24</v>
      </c>
      <c r="G290" s="7" t="str">
        <f aca="false">HYPERLINK("https://mncourtfraud.com/file/MCRO_27-CR-21-2803_Order for Conditional Release_2021-09-21_20251126184257.pdf","MCRO_27-CR-21-2803_Order for Conditional Release_2021-09-21_20251126184257.pdf")</f>
        <v>MCRO_27-CR-21-2803_Order for Conditional Release_2021-09-21_20251126184257.pdf</v>
      </c>
      <c r="H290" s="1" t="s">
        <v>1362</v>
      </c>
      <c r="I290" s="1" t="n">
        <v>20251126184257</v>
      </c>
      <c r="J290" s="1" t="s">
        <v>3259</v>
      </c>
      <c r="K290" s="9" t="s">
        <v>2779</v>
      </c>
      <c r="L290" s="2" t="s">
        <v>2293</v>
      </c>
    </row>
    <row r="291" customFormat="false" ht="18.7" hidden="false" customHeight="true" outlineLevel="0" collapsed="false">
      <c r="A291" s="1" t="n">
        <v>290</v>
      </c>
      <c r="B291" s="7" t="str">
        <f aca="false">HYPERLINK("https://mncourtfraud.com/file/27-CR-21-2803.pdf","27-CR-21-2803")</f>
        <v>27-CR-21-2803</v>
      </c>
      <c r="C291" s="1" t="n">
        <v>1</v>
      </c>
      <c r="D291" s="2" t="s">
        <v>12</v>
      </c>
      <c r="E291" s="8" t="n">
        <v>44468</v>
      </c>
      <c r="F291" s="2" t="s">
        <v>24</v>
      </c>
      <c r="G291" s="7" t="str">
        <f aca="false">HYPERLINK("https://mncourtfraud.com/file/MCRO_27-CR-21-2803_Order for Conditional Release_2021-09-29_20251126184253.pdf","MCRO_27-CR-21-2803_Order for Conditional Release_2021-09-29_20251126184253.pdf")</f>
        <v>MCRO_27-CR-21-2803_Order for Conditional Release_2021-09-29_20251126184253.pdf</v>
      </c>
      <c r="H291" s="1" t="s">
        <v>1362</v>
      </c>
      <c r="I291" s="1" t="n">
        <v>20251126184253</v>
      </c>
      <c r="J291" s="1" t="s">
        <v>3260</v>
      </c>
      <c r="K291" s="9" t="s">
        <v>2780</v>
      </c>
      <c r="L291" s="2" t="s">
        <v>2648</v>
      </c>
    </row>
    <row r="292" customFormat="false" ht="18.7" hidden="false" customHeight="true" outlineLevel="0" collapsed="false">
      <c r="A292" s="1" t="n">
        <v>291</v>
      </c>
      <c r="B292" s="7" t="str">
        <f aca="false">HYPERLINK("https://mncourtfraud.com/file/27-CR-21-2803.pdf","27-CR-21-2803")</f>
        <v>27-CR-21-2803</v>
      </c>
      <c r="C292" s="1" t="n">
        <v>1</v>
      </c>
      <c r="D292" s="2" t="s">
        <v>12</v>
      </c>
      <c r="E292" s="8" t="n">
        <v>44543</v>
      </c>
      <c r="F292" s="2" t="s">
        <v>15</v>
      </c>
      <c r="G292" s="7" t="str">
        <f aca="false">HYPERLINK("https://mncourtfraud.com/file/MCRO_27-CR-21-2803_Order-Evaluation for Competency to Proceed (Rule 20.01)_2021-12-13_20251126184318.pdf","MCRO_27-CR-21-2803_Order-Evaluation for Competency to Proceed (Rule 20.01)_2021-12-13_20251126184318.pdf")</f>
        <v>MCRO_27-CR-21-2803_Order-Evaluation for Competency to Proceed (Rule 20.01)_2021-12-13_20251126184318.pdf</v>
      </c>
      <c r="H292" s="1" t="s">
        <v>1362</v>
      </c>
      <c r="I292" s="1" t="n">
        <v>20251126184318</v>
      </c>
      <c r="J292" s="1" t="s">
        <v>3261</v>
      </c>
      <c r="K292" s="9" t="s">
        <v>2783</v>
      </c>
      <c r="L292" s="2" t="s">
        <v>2784</v>
      </c>
    </row>
    <row r="293" customFormat="false" ht="18.7" hidden="false" customHeight="true" outlineLevel="0" collapsed="false">
      <c r="A293" s="1" t="n">
        <v>292</v>
      </c>
      <c r="B293" s="7" t="str">
        <f aca="false">HYPERLINK("https://mncourtfraud.com/file/27-CR-21-2803.pdf","27-CR-21-2803")</f>
        <v>27-CR-21-2803</v>
      </c>
      <c r="C293" s="1" t="n">
        <v>1</v>
      </c>
      <c r="D293" s="2" t="s">
        <v>12</v>
      </c>
      <c r="E293" s="8" t="n">
        <v>44558</v>
      </c>
      <c r="F293" s="2" t="s">
        <v>15</v>
      </c>
      <c r="G293" s="7" t="str">
        <f aca="false">HYPERLINK("https://mncourtfraud.com/file/MCRO_27-CR-21-2803_Order-Evaluation for Competency to Proceed (Rule 20.01)_2021-12-28_20251126184326.pdf","MCRO_27-CR-21-2803_Order-Evaluation for Competency to Proceed (Rule 20.01)_2021-12-28_20251126184326.pdf")</f>
        <v>MCRO_27-CR-21-2803_Order-Evaluation for Competency to Proceed (Rule 20.01)_2021-12-28_20251126184326.pdf</v>
      </c>
      <c r="H293" s="1" t="s">
        <v>1362</v>
      </c>
      <c r="I293" s="1" t="n">
        <v>20251126184326</v>
      </c>
      <c r="J293" s="1" t="s">
        <v>3262</v>
      </c>
      <c r="K293" s="9" t="s">
        <v>2785</v>
      </c>
      <c r="L293" s="2" t="s">
        <v>2786</v>
      </c>
    </row>
    <row r="294" customFormat="false" ht="18.7" hidden="false" customHeight="true" outlineLevel="0" collapsed="false">
      <c r="A294" s="1" t="n">
        <v>293</v>
      </c>
      <c r="B294" s="7" t="str">
        <f aca="false">HYPERLINK("https://mncourtfraud.com/file/27-CR-21-2803.pdf","27-CR-21-2803")</f>
        <v>27-CR-21-2803</v>
      </c>
      <c r="C294" s="1" t="n">
        <v>1</v>
      </c>
      <c r="D294" s="2" t="s">
        <v>12</v>
      </c>
      <c r="E294" s="8" t="n">
        <v>44593</v>
      </c>
      <c r="F294" s="2" t="s">
        <v>19</v>
      </c>
      <c r="G294" s="7" t="str">
        <f aca="false">HYPERLINK("https://mncourtfraud.com/file/MCRO_27-CR-21-2803_Findings and Order_2022-02-01_20251126184218.pdf","MCRO_27-CR-21-2803_Findings and Order_2022-02-01_20251126184218.pdf")</f>
        <v>MCRO_27-CR-21-2803_Findings and Order_2022-02-01_20251126184218.pdf</v>
      </c>
      <c r="H294" s="1" t="s">
        <v>1362</v>
      </c>
      <c r="I294" s="1" t="n">
        <v>20251126184218</v>
      </c>
      <c r="J294" s="1" t="s">
        <v>3263</v>
      </c>
      <c r="K294" s="9" t="s">
        <v>2776</v>
      </c>
      <c r="L294" s="2" t="s">
        <v>2291</v>
      </c>
    </row>
    <row r="295" customFormat="false" ht="18.7" hidden="false" customHeight="true" outlineLevel="0" collapsed="false">
      <c r="A295" s="1" t="n">
        <v>294</v>
      </c>
      <c r="B295" s="7" t="str">
        <f aca="false">HYPERLINK("https://mncourtfraud.com/file/27-CR-21-2803.pdf","27-CR-21-2803")</f>
        <v>27-CR-21-2803</v>
      </c>
      <c r="C295" s="1" t="n">
        <v>1</v>
      </c>
      <c r="D295" s="2" t="s">
        <v>12</v>
      </c>
      <c r="E295" s="8" t="n">
        <v>44692</v>
      </c>
      <c r="F295" s="2" t="s">
        <v>15</v>
      </c>
      <c r="G295" s="7" t="str">
        <f aca="false">HYPERLINK("https://mncourtfraud.com/file/MCRO_27-CR-21-2803_Order-Evaluation for Competency to Proceed (Rule 20.01)_2022-05-11_20251126184334.pdf","MCRO_27-CR-21-2803_Order-Evaluation for Competency to Proceed (Rule 20.01)_2022-05-11_20251126184334.pdf")</f>
        <v>MCRO_27-CR-21-2803_Order-Evaluation for Competency to Proceed (Rule 20.01)_2022-05-11_20251126184334.pdf</v>
      </c>
      <c r="H295" s="1" t="s">
        <v>1362</v>
      </c>
      <c r="I295" s="1" t="n">
        <v>20251126184334</v>
      </c>
      <c r="J295" s="1" t="s">
        <v>3264</v>
      </c>
      <c r="K295" s="9" t="s">
        <v>2787</v>
      </c>
      <c r="L295" s="2" t="s">
        <v>2788</v>
      </c>
    </row>
    <row r="296" customFormat="false" ht="18.7" hidden="false" customHeight="true" outlineLevel="0" collapsed="false">
      <c r="A296" s="1" t="n">
        <v>295</v>
      </c>
      <c r="B296" s="7" t="str">
        <f aca="false">HYPERLINK("https://mncourtfraud.com/file/27-CR-21-2803.pdf","27-CR-21-2803")</f>
        <v>27-CR-21-2803</v>
      </c>
      <c r="C296" s="1" t="n">
        <v>1</v>
      </c>
      <c r="D296" s="2" t="s">
        <v>12</v>
      </c>
      <c r="E296" s="8" t="n">
        <v>44895</v>
      </c>
      <c r="F296" s="2" t="s">
        <v>15</v>
      </c>
      <c r="G296" s="7" t="str">
        <f aca="false">HYPERLINK("https://mncourtfraud.com/file/MCRO_27-CR-21-2803_Order-Evaluation for Competency to Proceed (Rule 20.01)_2022-11-30_20251126184340.pdf","MCRO_27-CR-21-2803_Order-Evaluation for Competency to Proceed (Rule 20.01)_2022-11-30_20251126184340.pdf")</f>
        <v>MCRO_27-CR-21-2803_Order-Evaluation for Competency to Proceed (Rule 20.01)_2022-11-30_20251126184340.pdf</v>
      </c>
      <c r="H296" s="1" t="s">
        <v>1362</v>
      </c>
      <c r="I296" s="1" t="n">
        <v>20251126184340</v>
      </c>
      <c r="J296" s="1" t="s">
        <v>3265</v>
      </c>
      <c r="K296" s="9" t="s">
        <v>2789</v>
      </c>
      <c r="L296" s="2" t="s">
        <v>2705</v>
      </c>
    </row>
    <row r="297" customFormat="false" ht="18.7" hidden="false" customHeight="true" outlineLevel="0" collapsed="false">
      <c r="A297" s="1" t="n">
        <v>296</v>
      </c>
      <c r="B297" s="7" t="str">
        <f aca="false">HYPERLINK("https://mncourtfraud.com/file/27-CR-21-4099.pdf","27-CR-21-4099")</f>
        <v>27-CR-21-4099</v>
      </c>
      <c r="C297" s="1" t="n">
        <v>1</v>
      </c>
      <c r="D297" s="2" t="s">
        <v>12</v>
      </c>
      <c r="E297" s="8" t="n">
        <v>44396</v>
      </c>
      <c r="F297" s="2" t="s">
        <v>15</v>
      </c>
      <c r="G297" s="7" t="str">
        <f aca="false">HYPERLINK("https://mncourtfraud.com/file/MCRO_27-CR-21-4099_Order-Evaluation for Competency to Proceed (Rule 20.01)_2021-07-19_20251126184452.pdf","MCRO_27-CR-21-4099_Order-Evaluation for Competency to Proceed (Rule 20.01)_2021-07-19_20251126184452.pdf")</f>
        <v>MCRO_27-CR-21-4099_Order-Evaluation for Competency to Proceed (Rule 20.01)_2021-07-19_20251126184452.pdf</v>
      </c>
      <c r="H297" s="1" t="s">
        <v>1362</v>
      </c>
      <c r="I297" s="1" t="n">
        <v>20251126184452</v>
      </c>
      <c r="J297" s="1" t="s">
        <v>3266</v>
      </c>
      <c r="K297" s="9" t="s">
        <v>2798</v>
      </c>
      <c r="L297" s="2" t="s">
        <v>2799</v>
      </c>
    </row>
    <row r="298" customFormat="false" ht="18.7" hidden="false" customHeight="true" outlineLevel="0" collapsed="false">
      <c r="A298" s="1" t="n">
        <v>297</v>
      </c>
      <c r="B298" s="7" t="str">
        <f aca="false">HYPERLINK("https://mncourtfraud.com/file/27-CR-21-4099.pdf","27-CR-21-4099")</f>
        <v>27-CR-21-4099</v>
      </c>
      <c r="C298" s="1" t="n">
        <v>1</v>
      </c>
      <c r="D298" s="2" t="s">
        <v>12</v>
      </c>
      <c r="E298" s="8" t="n">
        <v>44439</v>
      </c>
      <c r="F298" s="2" t="s">
        <v>19</v>
      </c>
      <c r="G298" s="7" t="str">
        <f aca="false">HYPERLINK("https://mncourtfraud.com/file/MCRO_27-CR-21-4099_Findings and Order_2021-08-31_20251126184414.pdf","MCRO_27-CR-21-4099_Findings and Order_2021-08-31_20251126184414.pdf")</f>
        <v>MCRO_27-CR-21-4099_Findings and Order_2021-08-31_20251126184414.pdf</v>
      </c>
      <c r="H298" s="1" t="s">
        <v>1362</v>
      </c>
      <c r="I298" s="1" t="n">
        <v>20251126184414</v>
      </c>
      <c r="J298" s="1" t="s">
        <v>3267</v>
      </c>
      <c r="K298" s="9" t="s">
        <v>2790</v>
      </c>
      <c r="L298" s="2" t="s">
        <v>2791</v>
      </c>
    </row>
    <row r="299" customFormat="false" ht="18.7" hidden="false" customHeight="true" outlineLevel="0" collapsed="false">
      <c r="A299" s="1" t="n">
        <v>298</v>
      </c>
      <c r="B299" s="7" t="str">
        <f aca="false">HYPERLINK("https://mncourtfraud.com/file/27-CR-21-4099.pdf","27-CR-21-4099")</f>
        <v>27-CR-21-4099</v>
      </c>
      <c r="C299" s="1" t="n">
        <v>1</v>
      </c>
      <c r="D299" s="2" t="s">
        <v>12</v>
      </c>
      <c r="E299" s="8" t="n">
        <v>44439</v>
      </c>
      <c r="F299" s="2" t="s">
        <v>134</v>
      </c>
      <c r="G299" s="7" t="str">
        <f aca="false">HYPERLINK("https://mncourtfraud.com/file/MCRO_27-CR-21-4099_Notice of Intent to Prosecute_2021-08-31_20251126184425.pdf","MCRO_27-CR-21-4099_Notice of Intent to Prosecute_2021-08-31_20251126184425.pdf")</f>
        <v>MCRO_27-CR-21-4099_Notice of Intent to Prosecute_2021-08-31_20251126184425.pdf</v>
      </c>
      <c r="H299" s="1" t="s">
        <v>1362</v>
      </c>
      <c r="I299" s="1" t="n">
        <v>20251126184425</v>
      </c>
      <c r="J299" s="1" t="s">
        <v>3268</v>
      </c>
      <c r="K299" s="9" t="s">
        <v>2793</v>
      </c>
      <c r="L299" s="2" t="s">
        <v>2794</v>
      </c>
    </row>
    <row r="300" customFormat="false" ht="18.7" hidden="false" customHeight="true" outlineLevel="0" collapsed="false">
      <c r="A300" s="1" t="n">
        <v>299</v>
      </c>
      <c r="B300" s="7" t="str">
        <f aca="false">HYPERLINK("https://mncourtfraud.com/file/27-CR-21-4099.pdf","27-CR-21-4099")</f>
        <v>27-CR-21-4099</v>
      </c>
      <c r="C300" s="1" t="n">
        <v>1</v>
      </c>
      <c r="D300" s="2" t="s">
        <v>12</v>
      </c>
      <c r="E300" s="8" t="n">
        <v>44460</v>
      </c>
      <c r="F300" s="2" t="s">
        <v>24</v>
      </c>
      <c r="G300" s="7" t="str">
        <f aca="false">HYPERLINK("https://mncourtfraud.com/file/MCRO_27-CR-21-4099_Order for Conditional Release_2021-09-21_20251126184441.pdf","MCRO_27-CR-21-4099_Order for Conditional Release_2021-09-21_20251126184441.pdf")</f>
        <v>MCRO_27-CR-21-4099_Order for Conditional Release_2021-09-21_20251126184441.pdf</v>
      </c>
      <c r="H300" s="1" t="s">
        <v>1362</v>
      </c>
      <c r="I300" s="1" t="n">
        <v>20251126184441</v>
      </c>
      <c r="J300" s="1" t="s">
        <v>3269</v>
      </c>
      <c r="K300" s="9" t="s">
        <v>2795</v>
      </c>
      <c r="L300" s="2" t="s">
        <v>2293</v>
      </c>
    </row>
    <row r="301" customFormat="false" ht="18.7" hidden="false" customHeight="true" outlineLevel="0" collapsed="false">
      <c r="A301" s="1" t="n">
        <v>300</v>
      </c>
      <c r="B301" s="7" t="str">
        <f aca="false">HYPERLINK("https://mncourtfraud.com/file/27-CR-21-4099.pdf","27-CR-21-4099")</f>
        <v>27-CR-21-4099</v>
      </c>
      <c r="C301" s="1" t="n">
        <v>1</v>
      </c>
      <c r="D301" s="2" t="s">
        <v>12</v>
      </c>
      <c r="E301" s="8" t="n">
        <v>44468</v>
      </c>
      <c r="F301" s="2" t="s">
        <v>24</v>
      </c>
      <c r="G301" s="7" t="str">
        <f aca="false">HYPERLINK("https://mncourtfraud.com/file/MCRO_27-CR-21-4099_Order for Conditional Release_2021-09-29_20251126184435.pdf","MCRO_27-CR-21-4099_Order for Conditional Release_2021-09-29_20251126184435.pdf")</f>
        <v>MCRO_27-CR-21-4099_Order for Conditional Release_2021-09-29_20251126184435.pdf</v>
      </c>
      <c r="H301" s="1" t="s">
        <v>1362</v>
      </c>
      <c r="I301" s="1" t="n">
        <v>20251126184435</v>
      </c>
      <c r="J301" s="1" t="s">
        <v>3270</v>
      </c>
      <c r="K301" s="9" t="s">
        <v>2796</v>
      </c>
      <c r="L301" s="2" t="s">
        <v>2797</v>
      </c>
    </row>
    <row r="302" customFormat="false" ht="18.7" hidden="false" customHeight="true" outlineLevel="0" collapsed="false">
      <c r="A302" s="1" t="n">
        <v>301</v>
      </c>
      <c r="B302" s="7" t="str">
        <f aca="false">HYPERLINK("https://mncourtfraud.com/file/27-CR-21-4099.pdf","27-CR-21-4099")</f>
        <v>27-CR-21-4099</v>
      </c>
      <c r="C302" s="1" t="n">
        <v>1</v>
      </c>
      <c r="D302" s="2" t="s">
        <v>12</v>
      </c>
      <c r="E302" s="8" t="n">
        <v>44543</v>
      </c>
      <c r="F302" s="2" t="s">
        <v>15</v>
      </c>
      <c r="G302" s="7" t="str">
        <f aca="false">HYPERLINK("https://mncourtfraud.com/file/MCRO_27-CR-21-4099_Order-Evaluation for Competency to Proceed (Rule 20.01)_2021-12-13_20251126184501.pdf","MCRO_27-CR-21-4099_Order-Evaluation for Competency to Proceed (Rule 20.01)_2021-12-13_20251126184501.pdf")</f>
        <v>MCRO_27-CR-21-4099_Order-Evaluation for Competency to Proceed (Rule 20.01)_2021-12-13_20251126184501.pdf</v>
      </c>
      <c r="H302" s="1" t="s">
        <v>1362</v>
      </c>
      <c r="I302" s="1" t="n">
        <v>20251126184501</v>
      </c>
      <c r="J302" s="1" t="s">
        <v>3271</v>
      </c>
      <c r="K302" s="9" t="s">
        <v>2800</v>
      </c>
      <c r="L302" s="2" t="s">
        <v>2801</v>
      </c>
    </row>
    <row r="303" customFormat="false" ht="18.7" hidden="false" customHeight="true" outlineLevel="0" collapsed="false">
      <c r="A303" s="1" t="n">
        <v>302</v>
      </c>
      <c r="B303" s="7" t="str">
        <f aca="false">HYPERLINK("https://mncourtfraud.com/file/27-CR-21-4099.pdf","27-CR-21-4099")</f>
        <v>27-CR-21-4099</v>
      </c>
      <c r="C303" s="1" t="n">
        <v>1</v>
      </c>
      <c r="D303" s="2" t="s">
        <v>12</v>
      </c>
      <c r="E303" s="8" t="n">
        <v>44558</v>
      </c>
      <c r="F303" s="2" t="s">
        <v>15</v>
      </c>
      <c r="G303" s="7" t="str">
        <f aca="false">HYPERLINK("https://mncourtfraud.com/file/MCRO_27-CR-21-4099_Order-Evaluation for Competency to Proceed (Rule 20.01)_2021-12-28_20251126184509.pdf","MCRO_27-CR-21-4099_Order-Evaluation for Competency to Proceed (Rule 20.01)_2021-12-28_20251126184509.pdf")</f>
        <v>MCRO_27-CR-21-4099_Order-Evaluation for Competency to Proceed (Rule 20.01)_2021-12-28_20251126184509.pdf</v>
      </c>
      <c r="H303" s="1" t="s">
        <v>1362</v>
      </c>
      <c r="I303" s="1" t="n">
        <v>20251126184509</v>
      </c>
      <c r="J303" s="1" t="s">
        <v>3272</v>
      </c>
      <c r="K303" s="9" t="s">
        <v>2802</v>
      </c>
      <c r="L303" s="2" t="s">
        <v>2803</v>
      </c>
    </row>
    <row r="304" customFormat="false" ht="18.7" hidden="false" customHeight="true" outlineLevel="0" collapsed="false">
      <c r="A304" s="1" t="n">
        <v>303</v>
      </c>
      <c r="B304" s="7" t="str">
        <f aca="false">HYPERLINK("https://mncourtfraud.com/file/27-CR-21-4099.pdf","27-CR-21-4099")</f>
        <v>27-CR-21-4099</v>
      </c>
      <c r="C304" s="1" t="n">
        <v>1</v>
      </c>
      <c r="D304" s="2" t="s">
        <v>12</v>
      </c>
      <c r="E304" s="8" t="n">
        <v>44593</v>
      </c>
      <c r="F304" s="2" t="s">
        <v>19</v>
      </c>
      <c r="G304" s="7" t="str">
        <f aca="false">HYPERLINK("https://mncourtfraud.com/file/MCRO_27-CR-21-4099_Findings and Order_2022-02-01_20251126184406.pdf","MCRO_27-CR-21-4099_Findings and Order_2022-02-01_20251126184406.pdf")</f>
        <v>MCRO_27-CR-21-4099_Findings and Order_2022-02-01_20251126184406.pdf</v>
      </c>
      <c r="H304" s="1" t="s">
        <v>1362</v>
      </c>
      <c r="I304" s="1" t="n">
        <v>20251126184406</v>
      </c>
      <c r="J304" s="1" t="s">
        <v>3273</v>
      </c>
      <c r="K304" s="9" t="s">
        <v>2792</v>
      </c>
      <c r="L304" s="2" t="s">
        <v>2425</v>
      </c>
    </row>
    <row r="305" customFormat="false" ht="18.7" hidden="false" customHeight="true" outlineLevel="0" collapsed="false">
      <c r="A305" s="1" t="n">
        <v>304</v>
      </c>
      <c r="B305" s="7" t="str">
        <f aca="false">HYPERLINK("https://mncourtfraud.com/file/27-CR-21-4099.pdf","27-CR-21-4099")</f>
        <v>27-CR-21-4099</v>
      </c>
      <c r="C305" s="1" t="n">
        <v>1</v>
      </c>
      <c r="D305" s="2" t="s">
        <v>12</v>
      </c>
      <c r="E305" s="8" t="n">
        <v>44692</v>
      </c>
      <c r="F305" s="2" t="s">
        <v>15</v>
      </c>
      <c r="G305" s="7" t="str">
        <f aca="false">HYPERLINK("https://mncourtfraud.com/file/MCRO_27-CR-21-4099_Order-Evaluation for Competency to Proceed (Rule 20.01)_2022-05-11_20251126184519.pdf","MCRO_27-CR-21-4099_Order-Evaluation for Competency to Proceed (Rule 20.01)_2022-05-11_20251126184519.pdf")</f>
        <v>MCRO_27-CR-21-4099_Order-Evaluation for Competency to Proceed (Rule 20.01)_2022-05-11_20251126184519.pdf</v>
      </c>
      <c r="H305" s="1" t="s">
        <v>1362</v>
      </c>
      <c r="I305" s="1" t="n">
        <v>20251126184519</v>
      </c>
      <c r="J305" s="1" t="s">
        <v>3274</v>
      </c>
      <c r="K305" s="9" t="s">
        <v>2804</v>
      </c>
      <c r="L305" s="2" t="s">
        <v>2788</v>
      </c>
    </row>
    <row r="306" customFormat="false" ht="18.7" hidden="false" customHeight="true" outlineLevel="0" collapsed="false">
      <c r="A306" s="1" t="n">
        <v>305</v>
      </c>
      <c r="B306" s="7" t="str">
        <f aca="false">HYPERLINK("https://mncourtfraud.com/file/27-CR-21-4099.pdf","27-CR-21-4099")</f>
        <v>27-CR-21-4099</v>
      </c>
      <c r="C306" s="1" t="n">
        <v>1</v>
      </c>
      <c r="D306" s="2" t="s">
        <v>12</v>
      </c>
      <c r="E306" s="8" t="n">
        <v>44895</v>
      </c>
      <c r="F306" s="2" t="s">
        <v>15</v>
      </c>
      <c r="G306" s="7" t="str">
        <f aca="false">HYPERLINK("https://mncourtfraud.com/file/MCRO_27-CR-21-4099_Order-Evaluation for Competency to Proceed (Rule 20.01)_2022-11-30_20251126184526.pdf","MCRO_27-CR-21-4099_Order-Evaluation for Competency to Proceed (Rule 20.01)_2022-11-30_20251126184526.pdf")</f>
        <v>MCRO_27-CR-21-4099_Order-Evaluation for Competency to Proceed (Rule 20.01)_2022-11-30_20251126184526.pdf</v>
      </c>
      <c r="H306" s="1" t="s">
        <v>1362</v>
      </c>
      <c r="I306" s="1" t="n">
        <v>20251126184526</v>
      </c>
      <c r="J306" s="1" t="s">
        <v>3275</v>
      </c>
      <c r="K306" s="9" t="s">
        <v>2805</v>
      </c>
      <c r="L306" s="2" t="s">
        <v>2659</v>
      </c>
    </row>
    <row r="307" customFormat="false" ht="18.7" hidden="false" customHeight="true" outlineLevel="0" collapsed="false">
      <c r="A307" s="1" t="n">
        <v>306</v>
      </c>
      <c r="B307" s="7" t="str">
        <f aca="false">HYPERLINK("https://mncourtfraud.com/file/27-CR-21-5179.pdf","27-CR-21-5179")</f>
        <v>27-CR-21-5179</v>
      </c>
      <c r="C307" s="1" t="n">
        <v>5</v>
      </c>
      <c r="D307" s="2" t="s">
        <v>267</v>
      </c>
      <c r="E307" s="8" t="n">
        <v>44733</v>
      </c>
      <c r="F307" s="2" t="s">
        <v>17</v>
      </c>
      <c r="G307" s="7" t="str">
        <f aca="false">HYPERLINK("https://mncourtfraud.com/file/MCRO_27-CR-21-5179_Returned Mail_2022-06-21_20251126165510.pdf","MCRO_27-CR-21-5179_Returned Mail_2022-06-21_20251126165510.pdf")</f>
        <v>MCRO_27-CR-21-5179_Returned Mail_2022-06-21_20251126165510.pdf</v>
      </c>
      <c r="H307" s="1" t="s">
        <v>1362</v>
      </c>
      <c r="I307" s="1" t="n">
        <v>20251126165510</v>
      </c>
      <c r="J307" s="1" t="s">
        <v>3276</v>
      </c>
      <c r="K307" s="9" t="s">
        <v>2810</v>
      </c>
      <c r="L307" s="2" t="s">
        <v>2717</v>
      </c>
    </row>
    <row r="308" customFormat="false" ht="18.7" hidden="false" customHeight="true" outlineLevel="0" collapsed="false">
      <c r="A308" s="1" t="n">
        <v>307</v>
      </c>
      <c r="B308" s="7" t="str">
        <f aca="false">HYPERLINK("https://mncourtfraud.com/file/27-CR-21-5179.pdf","27-CR-21-5179")</f>
        <v>27-CR-21-5179</v>
      </c>
      <c r="C308" s="1" t="n">
        <v>5</v>
      </c>
      <c r="D308" s="2" t="s">
        <v>267</v>
      </c>
      <c r="E308" s="8" t="n">
        <v>44837</v>
      </c>
      <c r="F308" s="2" t="s">
        <v>17</v>
      </c>
      <c r="G308" s="7" t="str">
        <f aca="false">HYPERLINK("https://mncourtfraud.com/file/MCRO_27-CR-21-5179_Returned Mail_2022-10-03_20251126165520.pdf","MCRO_27-CR-21-5179_Returned Mail_2022-10-03_20251126165520.pdf")</f>
        <v>MCRO_27-CR-21-5179_Returned Mail_2022-10-03_20251126165520.pdf</v>
      </c>
      <c r="H308" s="1" t="s">
        <v>1362</v>
      </c>
      <c r="I308" s="1" t="n">
        <v>20251126165520</v>
      </c>
      <c r="J308" s="1" t="s">
        <v>3277</v>
      </c>
      <c r="K308" s="9" t="s">
        <v>2811</v>
      </c>
      <c r="L308" s="2" t="s">
        <v>2729</v>
      </c>
    </row>
    <row r="309" customFormat="false" ht="18.7" hidden="false" customHeight="true" outlineLevel="0" collapsed="false">
      <c r="A309" s="1" t="n">
        <v>308</v>
      </c>
      <c r="B309" s="7" t="str">
        <f aca="false">HYPERLINK("https://mncourtfraud.com/file/27-CR-21-5179.pdf","27-CR-21-5179")</f>
        <v>27-CR-21-5179</v>
      </c>
      <c r="C309" s="1" t="n">
        <v>5</v>
      </c>
      <c r="D309" s="2" t="s">
        <v>267</v>
      </c>
      <c r="E309" s="8" t="n">
        <v>44873</v>
      </c>
      <c r="F309" s="2" t="s">
        <v>15</v>
      </c>
      <c r="G309" s="7" t="str">
        <f aca="false">HYPERLINK("https://mncourtfraud.com/file/MCRO_27-CR-21-5179_Order-Evaluation for Competency to Proceed (Rule 20.01)_2022-11-08_20251126165604.pdf","MCRO_27-CR-21-5179_Order-Evaluation for Competency to Proceed (Rule 20.01)_2022-11-08_20251126165604.pdf")</f>
        <v>MCRO_27-CR-21-5179_Order-Evaluation for Competency to Proceed (Rule 20.01)_2022-11-08_20251126165604.pdf</v>
      </c>
      <c r="H309" s="1" t="s">
        <v>1362</v>
      </c>
      <c r="I309" s="1" t="n">
        <v>20251126165604</v>
      </c>
      <c r="J309" s="1" t="s">
        <v>3278</v>
      </c>
      <c r="K309" s="9" t="s">
        <v>2806</v>
      </c>
      <c r="L309" s="2" t="s">
        <v>2711</v>
      </c>
    </row>
    <row r="310" customFormat="false" ht="18.7" hidden="false" customHeight="true" outlineLevel="0" collapsed="false">
      <c r="A310" s="1" t="n">
        <v>309</v>
      </c>
      <c r="B310" s="7" t="str">
        <f aca="false">HYPERLINK("https://mncourtfraud.com/file/27-CR-21-5179.pdf","27-CR-21-5179")</f>
        <v>27-CR-21-5179</v>
      </c>
      <c r="C310" s="1" t="n">
        <v>5</v>
      </c>
      <c r="D310" s="2" t="s">
        <v>267</v>
      </c>
      <c r="E310" s="8" t="n">
        <v>45023</v>
      </c>
      <c r="F310" s="2" t="s">
        <v>15</v>
      </c>
      <c r="G310" s="7" t="str">
        <f aca="false">HYPERLINK("https://mncourtfraud.com/file/MCRO_27-CR-21-5179_Order-Evaluation for Competency to Proceed (Rule 20.01)_2023-04-07_20251126165613.pdf","MCRO_27-CR-21-5179_Order-Evaluation for Competency to Proceed (Rule 20.01)_2023-04-07_20251126165613.pdf")</f>
        <v>MCRO_27-CR-21-5179_Order-Evaluation for Competency to Proceed (Rule 20.01)_2023-04-07_20251126165613.pdf</v>
      </c>
      <c r="H310" s="1" t="s">
        <v>1362</v>
      </c>
      <c r="I310" s="1" t="n">
        <v>20251126165613</v>
      </c>
      <c r="J310" s="1" t="s">
        <v>3279</v>
      </c>
      <c r="K310" s="9" t="s">
        <v>2807</v>
      </c>
      <c r="L310" s="2" t="s">
        <v>2808</v>
      </c>
    </row>
    <row r="311" customFormat="false" ht="18.7" hidden="false" customHeight="true" outlineLevel="0" collapsed="false">
      <c r="A311" s="1" t="n">
        <v>310</v>
      </c>
      <c r="B311" s="7" t="str">
        <f aca="false">HYPERLINK("https://mncourtfraud.com/file/27-CR-21-5179.pdf","27-CR-21-5179")</f>
        <v>27-CR-21-5179</v>
      </c>
      <c r="C311" s="1" t="n">
        <v>5</v>
      </c>
      <c r="D311" s="2" t="s">
        <v>267</v>
      </c>
      <c r="E311" s="8" t="n">
        <v>45194</v>
      </c>
      <c r="F311" s="2" t="s">
        <v>15</v>
      </c>
      <c r="G311" s="7" t="str">
        <f aca="false">HYPERLINK("https://mncourtfraud.com/file/MCRO_27-CR-21-5179_Order-Evaluation for Competency to Proceed (Rule 20.01)_2023-09-25_20251126165545.pdf","MCRO_27-CR-21-5179_Order-Evaluation for Competency to Proceed (Rule 20.01)_2023-09-25_20251126165545.pdf")</f>
        <v>MCRO_27-CR-21-5179_Order-Evaluation for Competency to Proceed (Rule 20.01)_2023-09-25_20251126165545.pdf</v>
      </c>
      <c r="H311" s="1" t="s">
        <v>1362</v>
      </c>
      <c r="I311" s="1" t="n">
        <v>20251126165545</v>
      </c>
      <c r="J311" s="1" t="s">
        <v>3280</v>
      </c>
      <c r="K311" s="9" t="s">
        <v>2809</v>
      </c>
      <c r="L311" s="2" t="s">
        <v>2735</v>
      </c>
    </row>
    <row r="312" customFormat="false" ht="18.7" hidden="false" customHeight="true" outlineLevel="0" collapsed="false">
      <c r="A312" s="1" t="n">
        <v>311</v>
      </c>
      <c r="B312" s="7" t="str">
        <f aca="false">HYPERLINK("https://mncourtfraud.com/file/27-CR-22-10565.pdf","27-CR-22-10565")</f>
        <v>27-CR-22-10565</v>
      </c>
      <c r="C312" s="1" t="n">
        <v>5</v>
      </c>
      <c r="D312" s="2" t="s">
        <v>267</v>
      </c>
      <c r="E312" s="8" t="n">
        <v>44837</v>
      </c>
      <c r="F312" s="2" t="s">
        <v>17</v>
      </c>
      <c r="G312" s="7" t="str">
        <f aca="false">HYPERLINK("https://mncourtfraud.com/file/MCRO_27-CR-22-10565_Returned Mail_2022-10-03_20251126165716.pdf","MCRO_27-CR-22-10565_Returned Mail_2022-10-03_20251126165716.pdf")</f>
        <v>MCRO_27-CR-22-10565_Returned Mail_2022-10-03_20251126165716.pdf</v>
      </c>
      <c r="H312" s="1" t="s">
        <v>1362</v>
      </c>
      <c r="I312" s="1" t="n">
        <v>20251126165716</v>
      </c>
      <c r="J312" s="1" t="s">
        <v>3281</v>
      </c>
      <c r="K312" s="9" t="s">
        <v>2817</v>
      </c>
      <c r="L312" s="2" t="s">
        <v>2729</v>
      </c>
    </row>
    <row r="313" customFormat="false" ht="18.7" hidden="false" customHeight="true" outlineLevel="0" collapsed="false">
      <c r="A313" s="1" t="n">
        <v>312</v>
      </c>
      <c r="B313" s="7" t="str">
        <f aca="false">HYPERLINK("https://mncourtfraud.com/file/27-CR-22-10565.pdf","27-CR-22-10565")</f>
        <v>27-CR-22-10565</v>
      </c>
      <c r="C313" s="1" t="n">
        <v>5</v>
      </c>
      <c r="D313" s="2" t="s">
        <v>267</v>
      </c>
      <c r="E313" s="8" t="n">
        <v>44873</v>
      </c>
      <c r="F313" s="2" t="s">
        <v>15</v>
      </c>
      <c r="G313" s="7" t="str">
        <f aca="false">HYPERLINK("https://mncourtfraud.com/file/MCRO_27-CR-22-10565_Order-Evaluation for Competency to Proceed (Rule 20.01)_2022-11-08_20251126165641.pdf","MCRO_27-CR-22-10565_Order-Evaluation for Competency to Proceed (Rule 20.01)_2022-11-08_20251126165641.pdf")</f>
        <v>MCRO_27-CR-22-10565_Order-Evaluation for Competency to Proceed (Rule 20.01)_2022-11-08_20251126165641.pdf</v>
      </c>
      <c r="H313" s="1" t="s">
        <v>1362</v>
      </c>
      <c r="I313" s="1" t="n">
        <v>20251126165641</v>
      </c>
      <c r="J313" s="1" t="s">
        <v>3282</v>
      </c>
      <c r="K313" s="9" t="s">
        <v>2812</v>
      </c>
      <c r="L313" s="2" t="s">
        <v>2711</v>
      </c>
    </row>
    <row r="314" customFormat="false" ht="18.7" hidden="false" customHeight="true" outlineLevel="0" collapsed="false">
      <c r="A314" s="1" t="n">
        <v>313</v>
      </c>
      <c r="B314" s="7" t="str">
        <f aca="false">HYPERLINK("https://mncourtfraud.com/file/27-CR-22-10565.pdf","27-CR-22-10565")</f>
        <v>27-CR-22-10565</v>
      </c>
      <c r="C314" s="1" t="n">
        <v>5</v>
      </c>
      <c r="D314" s="2" t="s">
        <v>267</v>
      </c>
      <c r="E314" s="8" t="n">
        <v>45023</v>
      </c>
      <c r="F314" s="2" t="s">
        <v>15</v>
      </c>
      <c r="G314" s="7" t="str">
        <f aca="false">HYPERLINK("https://mncourtfraud.com/file/MCRO_27-CR-22-10565_Order-Evaluation for Competency to Proceed (Rule 20.01)_2023-04-07_20251126165651.pdf","MCRO_27-CR-22-10565_Order-Evaluation for Competency to Proceed (Rule 20.01)_2023-04-07_20251126165651.pdf")</f>
        <v>MCRO_27-CR-22-10565_Order-Evaluation for Competency to Proceed (Rule 20.01)_2023-04-07_20251126165651.pdf</v>
      </c>
      <c r="H314" s="1" t="s">
        <v>1362</v>
      </c>
      <c r="I314" s="1" t="n">
        <v>20251126165651</v>
      </c>
      <c r="J314" s="1" t="s">
        <v>3283</v>
      </c>
      <c r="K314" s="9" t="s">
        <v>2813</v>
      </c>
      <c r="L314" s="2" t="s">
        <v>2814</v>
      </c>
    </row>
    <row r="315" customFormat="false" ht="18.7" hidden="false" customHeight="true" outlineLevel="0" collapsed="false">
      <c r="A315" s="1" t="n">
        <v>314</v>
      </c>
      <c r="B315" s="7" t="str">
        <f aca="false">HYPERLINK("https://mncourtfraud.com/file/27-CR-22-10565.pdf","27-CR-22-10565")</f>
        <v>27-CR-22-10565</v>
      </c>
      <c r="C315" s="1" t="n">
        <v>5</v>
      </c>
      <c r="D315" s="2" t="s">
        <v>267</v>
      </c>
      <c r="E315" s="8" t="n">
        <v>45194</v>
      </c>
      <c r="F315" s="2" t="s">
        <v>15</v>
      </c>
      <c r="G315" s="7" t="str">
        <f aca="false">HYPERLINK("https://mncourtfraud.com/file/MCRO_27-CR-22-10565_Order-Evaluation for Competency to Proceed (Rule 20.01)_2023-09-25_20251126165659.pdf","MCRO_27-CR-22-10565_Order-Evaluation for Competency to Proceed (Rule 20.01)_2023-09-25_20251126165659.pdf")</f>
        <v>MCRO_27-CR-22-10565_Order-Evaluation for Competency to Proceed (Rule 20.01)_2023-09-25_20251126165659.pdf</v>
      </c>
      <c r="H315" s="1" t="s">
        <v>1362</v>
      </c>
      <c r="I315" s="1" t="n">
        <v>20251126165659</v>
      </c>
      <c r="J315" s="1" t="s">
        <v>3284</v>
      </c>
      <c r="K315" s="9" t="s">
        <v>2815</v>
      </c>
      <c r="L315" s="2" t="s">
        <v>2816</v>
      </c>
    </row>
    <row r="316" customFormat="false" ht="18.7" hidden="false" customHeight="true" outlineLevel="0" collapsed="false">
      <c r="A316" s="1" t="n">
        <v>315</v>
      </c>
      <c r="B316" s="7" t="str">
        <f aca="false">HYPERLINK("https://mncourtfraud.com/file/27-CR-22-11847.pdf","27-CR-22-11847")</f>
        <v>27-CR-22-11847</v>
      </c>
      <c r="C316" s="1" t="n">
        <v>1</v>
      </c>
      <c r="D316" s="2" t="s">
        <v>12</v>
      </c>
      <c r="E316" s="8" t="n">
        <v>44761</v>
      </c>
      <c r="F316" s="2" t="s">
        <v>15</v>
      </c>
      <c r="G316" s="7" t="str">
        <f aca="false">HYPERLINK("https://mncourtfraud.com/file/MCRO_27-CR-22-11847_Order-Evaluation for Competency to Proceed (Rule 20.01)_2022-07-19_20251126184637.pdf","MCRO_27-CR-22-11847_Order-Evaluation for Competency to Proceed (Rule 20.01)_2022-07-19_20251126184637.pdf")</f>
        <v>MCRO_27-CR-22-11847_Order-Evaluation for Competency to Proceed (Rule 20.01)_2022-07-19_20251126184637.pdf</v>
      </c>
      <c r="H316" s="1" t="s">
        <v>1362</v>
      </c>
      <c r="I316" s="1" t="n">
        <v>20251126184637</v>
      </c>
      <c r="J316" s="1" t="s">
        <v>3285</v>
      </c>
      <c r="K316" s="9" t="s">
        <v>2822</v>
      </c>
      <c r="L316" s="2" t="s">
        <v>2823</v>
      </c>
    </row>
    <row r="317" customFormat="false" ht="18.7" hidden="false" customHeight="true" outlineLevel="0" collapsed="false">
      <c r="A317" s="1" t="n">
        <v>316</v>
      </c>
      <c r="B317" s="7" t="str">
        <f aca="false">HYPERLINK("https://mncourtfraud.com/file/27-CR-22-11847.pdf","27-CR-22-11847")</f>
        <v>27-CR-22-11847</v>
      </c>
      <c r="C317" s="1" t="n">
        <v>1</v>
      </c>
      <c r="D317" s="2" t="s">
        <v>12</v>
      </c>
      <c r="E317" s="8" t="n">
        <v>44895</v>
      </c>
      <c r="F317" s="2" t="s">
        <v>15</v>
      </c>
      <c r="G317" s="7" t="str">
        <f aca="false">HYPERLINK("https://mncourtfraud.com/file/MCRO_27-CR-22-11847_Order-Evaluation for Competency to Proceed (Rule 20.01)_2022-11-30_20251126184645.pdf","MCRO_27-CR-22-11847_Order-Evaluation for Competency to Proceed (Rule 20.01)_2022-11-30_20251126184645.pdf")</f>
        <v>MCRO_27-CR-22-11847_Order-Evaluation for Competency to Proceed (Rule 20.01)_2022-11-30_20251126184645.pdf</v>
      </c>
      <c r="H317" s="1" t="s">
        <v>1362</v>
      </c>
      <c r="I317" s="1" t="n">
        <v>20251126184645</v>
      </c>
      <c r="J317" s="1" t="s">
        <v>3286</v>
      </c>
      <c r="K317" s="9" t="s">
        <v>2824</v>
      </c>
      <c r="L317" s="2" t="s">
        <v>2659</v>
      </c>
    </row>
    <row r="318" customFormat="false" ht="18.7" hidden="false" customHeight="true" outlineLevel="0" collapsed="false">
      <c r="A318" s="1" t="n">
        <v>317</v>
      </c>
      <c r="B318" s="7" t="str">
        <f aca="false">HYPERLINK("https://mncourtfraud.com/file/27-CR-22-11847.pdf","27-CR-22-11847")</f>
        <v>27-CR-22-11847</v>
      </c>
      <c r="C318" s="1" t="n">
        <v>1</v>
      </c>
      <c r="D318" s="2" t="s">
        <v>12</v>
      </c>
      <c r="E318" s="8" t="n">
        <v>44999</v>
      </c>
      <c r="F318" s="2" t="s">
        <v>17</v>
      </c>
      <c r="G318" s="7" t="str">
        <f aca="false">HYPERLINK("https://mncourtfraud.com/file/MCRO_27-CR-22-11847_Returned Mail_2023-03-14_20251126184709.pdf","MCRO_27-CR-22-11847_Returned Mail_2023-03-14_20251126184709.pdf")</f>
        <v>MCRO_27-CR-22-11847_Returned Mail_2023-03-14_20251126184709.pdf</v>
      </c>
      <c r="H318" s="1" t="s">
        <v>1362</v>
      </c>
      <c r="I318" s="1" t="n">
        <v>20251126184709</v>
      </c>
      <c r="J318" s="1" t="s">
        <v>3287</v>
      </c>
      <c r="K318" s="9" t="s">
        <v>2827</v>
      </c>
      <c r="L318" s="2" t="s">
        <v>2828</v>
      </c>
    </row>
    <row r="319" customFormat="false" ht="18.7" hidden="false" customHeight="true" outlineLevel="0" collapsed="false">
      <c r="A319" s="1" t="n">
        <v>318</v>
      </c>
      <c r="B319" s="7" t="str">
        <f aca="false">HYPERLINK("https://mncourtfraud.com/file/27-CR-22-11847.pdf","27-CR-22-11847")</f>
        <v>27-CR-22-11847</v>
      </c>
      <c r="C319" s="1" t="n">
        <v>1</v>
      </c>
      <c r="D319" s="2" t="s">
        <v>12</v>
      </c>
      <c r="E319" s="8" t="n">
        <v>45048</v>
      </c>
      <c r="F319" s="2" t="s">
        <v>80</v>
      </c>
      <c r="G319" s="7" t="str">
        <f aca="false">HYPERLINK("https://mncourtfraud.com/file/MCRO_27-CR-22-11847_Finding of Incompetency and Order_2023-05-02_20251126184550.pdf","MCRO_27-CR-22-11847_Finding of Incompetency and Order_2023-05-02_20251126184550.pdf")</f>
        <v>MCRO_27-CR-22-11847_Finding of Incompetency and Order_2023-05-02_20251126184550.pdf</v>
      </c>
      <c r="H319" s="1" t="s">
        <v>1362</v>
      </c>
      <c r="I319" s="1" t="n">
        <v>20251126184550</v>
      </c>
      <c r="J319" s="1" t="s">
        <v>3288</v>
      </c>
      <c r="K319" s="9" t="s">
        <v>2818</v>
      </c>
      <c r="L319" s="2" t="s">
        <v>2819</v>
      </c>
    </row>
    <row r="320" customFormat="false" ht="18.7" hidden="false" customHeight="true" outlineLevel="0" collapsed="false">
      <c r="A320" s="1" t="n">
        <v>319</v>
      </c>
      <c r="B320" s="7" t="str">
        <f aca="false">HYPERLINK("https://mncourtfraud.com/file/27-CR-22-11847.pdf","27-CR-22-11847")</f>
        <v>27-CR-22-11847</v>
      </c>
      <c r="C320" s="1" t="n">
        <v>1</v>
      </c>
      <c r="D320" s="2" t="s">
        <v>12</v>
      </c>
      <c r="E320" s="8" t="n">
        <v>45093</v>
      </c>
      <c r="F320" s="2" t="s">
        <v>82</v>
      </c>
      <c r="G320" s="7" t="str">
        <f aca="false">HYPERLINK("https://mncourtfraud.com/file/MCRO_27-CR-22-11847_Notice of Case Reassignment_2023-06-16_20251126184603.pdf","MCRO_27-CR-22-11847_Notice of Case Reassignment_2023-06-16_20251126184603.pdf")</f>
        <v>MCRO_27-CR-22-11847_Notice of Case Reassignment_2023-06-16_20251126184603.pdf</v>
      </c>
      <c r="H320" s="1" t="s">
        <v>1362</v>
      </c>
      <c r="I320" s="1" t="n">
        <v>20251126184603</v>
      </c>
      <c r="J320" s="1" t="s">
        <v>3289</v>
      </c>
      <c r="K320" s="9" t="s">
        <v>2820</v>
      </c>
      <c r="L320" s="2" t="s">
        <v>2545</v>
      </c>
    </row>
    <row r="321" customFormat="false" ht="18.7" hidden="false" customHeight="true" outlineLevel="0" collapsed="false">
      <c r="A321" s="1" t="n">
        <v>320</v>
      </c>
      <c r="B321" s="7" t="str">
        <f aca="false">HYPERLINK("https://mncourtfraud.com/file/27-CR-22-11847.pdf","27-CR-22-11847")</f>
        <v>27-CR-22-11847</v>
      </c>
      <c r="C321" s="1" t="n">
        <v>1</v>
      </c>
      <c r="D321" s="2" t="s">
        <v>12</v>
      </c>
      <c r="E321" s="8" t="n">
        <v>45160</v>
      </c>
      <c r="F321" s="2" t="s">
        <v>15</v>
      </c>
      <c r="G321" s="7" t="str">
        <f aca="false">HYPERLINK("https://mncourtfraud.com/file/MCRO_27-CR-22-11847_Order-Evaluation for Competency to Proceed (Rule 20.01)_2023-08-22_20251126184653.pdf","MCRO_27-CR-22-11847_Order-Evaluation for Competency to Proceed (Rule 20.01)_2023-08-22_20251126184653.pdf")</f>
        <v>MCRO_27-CR-22-11847_Order-Evaluation for Competency to Proceed (Rule 20.01)_2023-08-22_20251126184653.pdf</v>
      </c>
      <c r="H321" s="1" t="s">
        <v>1362</v>
      </c>
      <c r="I321" s="1" t="n">
        <v>20251126184653</v>
      </c>
      <c r="J321" s="1" t="s">
        <v>3290</v>
      </c>
      <c r="K321" s="9" t="s">
        <v>2825</v>
      </c>
      <c r="L321" s="2" t="s">
        <v>2609</v>
      </c>
    </row>
    <row r="322" customFormat="false" ht="18.7" hidden="false" customHeight="true" outlineLevel="0" collapsed="false">
      <c r="A322" s="1" t="n">
        <v>321</v>
      </c>
      <c r="B322" s="7" t="str">
        <f aca="false">HYPERLINK("https://mncourtfraud.com/file/27-CR-22-11847.pdf","27-CR-22-11847")</f>
        <v>27-CR-22-11847</v>
      </c>
      <c r="C322" s="1" t="n">
        <v>1</v>
      </c>
      <c r="D322" s="2" t="s">
        <v>12</v>
      </c>
      <c r="E322" s="8" t="n">
        <v>45412</v>
      </c>
      <c r="F322" s="2" t="s">
        <v>24</v>
      </c>
      <c r="G322" s="7" t="str">
        <f aca="false">HYPERLINK("https://mncourtfraud.com/file/MCRO_27-CR-22-11847_Order for Conditional Release_2024-04-30_20251126184615.pdf","MCRO_27-CR-22-11847_Order for Conditional Release_2024-04-30_20251126184615.pdf")</f>
        <v>MCRO_27-CR-22-11847_Order for Conditional Release_2024-04-30_20251126184615.pdf</v>
      </c>
      <c r="H322" s="1" t="s">
        <v>1362</v>
      </c>
      <c r="I322" s="1" t="n">
        <v>20251126184615</v>
      </c>
      <c r="J322" s="1" t="s">
        <v>3291</v>
      </c>
      <c r="K322" s="9" t="s">
        <v>2821</v>
      </c>
      <c r="L322" s="2" t="s">
        <v>2624</v>
      </c>
    </row>
    <row r="323" customFormat="false" ht="18.7" hidden="false" customHeight="true" outlineLevel="0" collapsed="false">
      <c r="A323" s="1" t="n">
        <v>322</v>
      </c>
      <c r="B323" s="7" t="str">
        <f aca="false">HYPERLINK("https://mncourtfraud.com/file/27-CR-22-11847.pdf","27-CR-22-11847")</f>
        <v>27-CR-22-11847</v>
      </c>
      <c r="C323" s="1" t="n">
        <v>1</v>
      </c>
      <c r="D323" s="2" t="s">
        <v>12</v>
      </c>
      <c r="E323" s="8" t="n">
        <v>45412</v>
      </c>
      <c r="F323" s="2" t="s">
        <v>15</v>
      </c>
      <c r="G323" s="7" t="str">
        <f aca="false">HYPERLINK("https://mncourtfraud.com/file/MCRO_27-CR-22-11847_Order-Evaluation for Competency to Proceed (Rule 20.01)_2024-04-30_20251126184629.pdf","MCRO_27-CR-22-11847_Order-Evaluation for Competency to Proceed (Rule 20.01)_2024-04-30_20251126184629.pdf")</f>
        <v>MCRO_27-CR-22-11847_Order-Evaluation for Competency to Proceed (Rule 20.01)_2024-04-30_20251126184629.pdf</v>
      </c>
      <c r="H323" s="1" t="s">
        <v>1362</v>
      </c>
      <c r="I323" s="1" t="n">
        <v>20251126184629</v>
      </c>
      <c r="J323" s="1" t="s">
        <v>3292</v>
      </c>
      <c r="K323" s="9" t="s">
        <v>2826</v>
      </c>
      <c r="L323" s="2" t="s">
        <v>2771</v>
      </c>
    </row>
    <row r="324" customFormat="false" ht="18.7" hidden="false" customHeight="true" outlineLevel="0" collapsed="false">
      <c r="A324" s="1" t="n">
        <v>323</v>
      </c>
      <c r="B324" s="7" t="str">
        <f aca="false">HYPERLINK("https://mncourtfraud.com/file/27-CR-22-12695.pdf","27-CR-22-12695")</f>
        <v>27-CR-22-12695</v>
      </c>
      <c r="C324" s="1" t="n">
        <v>1</v>
      </c>
      <c r="D324" s="2" t="s">
        <v>12</v>
      </c>
      <c r="E324" s="8" t="n">
        <v>44761</v>
      </c>
      <c r="F324" s="2" t="s">
        <v>15</v>
      </c>
      <c r="G324" s="7" t="str">
        <f aca="false">HYPERLINK("https://mncourtfraud.com/file/MCRO_27-CR-22-12695_Order-Evaluation for Competency to Proceed (Rule 20.01)_2022-07-19_20251126184801.pdf","MCRO_27-CR-22-12695_Order-Evaluation for Competency to Proceed (Rule 20.01)_2022-07-19_20251126184801.pdf")</f>
        <v>MCRO_27-CR-22-12695_Order-Evaluation for Competency to Proceed (Rule 20.01)_2022-07-19_20251126184801.pdf</v>
      </c>
      <c r="H324" s="1" t="s">
        <v>1362</v>
      </c>
      <c r="I324" s="1" t="n">
        <v>20251126184801</v>
      </c>
      <c r="J324" s="1" t="s">
        <v>3293</v>
      </c>
      <c r="K324" s="9" t="s">
        <v>2831</v>
      </c>
      <c r="L324" s="2" t="s">
        <v>2832</v>
      </c>
    </row>
    <row r="325" customFormat="false" ht="18.7" hidden="false" customHeight="true" outlineLevel="0" collapsed="false">
      <c r="A325" s="1" t="n">
        <v>324</v>
      </c>
      <c r="B325" s="7" t="str">
        <f aca="false">HYPERLINK("https://mncourtfraud.com/file/27-CR-22-12695.pdf","27-CR-22-12695")</f>
        <v>27-CR-22-12695</v>
      </c>
      <c r="C325" s="1" t="n">
        <v>1</v>
      </c>
      <c r="D325" s="2" t="s">
        <v>12</v>
      </c>
      <c r="E325" s="8" t="n">
        <v>44895</v>
      </c>
      <c r="F325" s="2" t="s">
        <v>15</v>
      </c>
      <c r="G325" s="7" t="str">
        <f aca="false">HYPERLINK("https://mncourtfraud.com/file/MCRO_27-CR-22-12695_Order-Evaluation for Competency to Proceed (Rule 20.01)_2022-11-30_20251126184750.pdf","MCRO_27-CR-22-12695_Order-Evaluation for Competency to Proceed (Rule 20.01)_2022-11-30_20251126184750.pdf")</f>
        <v>MCRO_27-CR-22-12695_Order-Evaluation for Competency to Proceed (Rule 20.01)_2022-11-30_20251126184750.pdf</v>
      </c>
      <c r="H325" s="1" t="s">
        <v>1362</v>
      </c>
      <c r="I325" s="1" t="n">
        <v>20251126184750</v>
      </c>
      <c r="J325" s="1" t="s">
        <v>3294</v>
      </c>
      <c r="K325" s="9" t="s">
        <v>2833</v>
      </c>
      <c r="L325" s="2" t="s">
        <v>2659</v>
      </c>
    </row>
    <row r="326" customFormat="false" ht="18.7" hidden="false" customHeight="true" outlineLevel="0" collapsed="false">
      <c r="A326" s="1" t="n">
        <v>325</v>
      </c>
      <c r="B326" s="7" t="str">
        <f aca="false">HYPERLINK("https://mncourtfraud.com/file/27-CR-22-12695.pdf","27-CR-22-12695")</f>
        <v>27-CR-22-12695</v>
      </c>
      <c r="C326" s="1" t="n">
        <v>1</v>
      </c>
      <c r="D326" s="2" t="s">
        <v>12</v>
      </c>
      <c r="E326" s="8" t="n">
        <v>44999</v>
      </c>
      <c r="F326" s="2" t="s">
        <v>17</v>
      </c>
      <c r="G326" s="7" t="str">
        <f aca="false">HYPERLINK("https://mncourtfraud.com/file/MCRO_27-CR-22-12695_Returned Mail_2023-03-14_20251126184813.pdf","MCRO_27-CR-22-12695_Returned Mail_2023-03-14_20251126184813.pdf")</f>
        <v>MCRO_27-CR-22-12695_Returned Mail_2023-03-14_20251126184813.pdf</v>
      </c>
      <c r="H326" s="1" t="s">
        <v>1362</v>
      </c>
      <c r="I326" s="1" t="n">
        <v>20251126184813</v>
      </c>
      <c r="J326" s="1" t="s">
        <v>3295</v>
      </c>
      <c r="K326" s="9" t="s">
        <v>2834</v>
      </c>
      <c r="L326" s="2" t="s">
        <v>2835</v>
      </c>
    </row>
    <row r="327" customFormat="false" ht="18.7" hidden="false" customHeight="true" outlineLevel="0" collapsed="false">
      <c r="A327" s="1" t="n">
        <v>326</v>
      </c>
      <c r="B327" s="7" t="str">
        <f aca="false">HYPERLINK("https://mncourtfraud.com/file/27-CR-22-12695.pdf","27-CR-22-12695")</f>
        <v>27-CR-22-12695</v>
      </c>
      <c r="C327" s="1" t="n">
        <v>1</v>
      </c>
      <c r="D327" s="2" t="s">
        <v>12</v>
      </c>
      <c r="E327" s="8" t="n">
        <v>45048</v>
      </c>
      <c r="F327" s="2" t="s">
        <v>80</v>
      </c>
      <c r="G327" s="7" t="str">
        <f aca="false">HYPERLINK("https://mncourtfraud.com/file/MCRO_27-CR-22-12695_Finding of Incompetency and Order_2023-05-02_20251126184737.pdf","MCRO_27-CR-22-12695_Finding of Incompetency and Order_2023-05-02_20251126184737.pdf")</f>
        <v>MCRO_27-CR-22-12695_Finding of Incompetency and Order_2023-05-02_20251126184737.pdf</v>
      </c>
      <c r="H327" s="1" t="s">
        <v>1362</v>
      </c>
      <c r="I327" s="1" t="n">
        <v>20251126184737</v>
      </c>
      <c r="J327" s="1" t="s">
        <v>3296</v>
      </c>
      <c r="K327" s="9" t="s">
        <v>2829</v>
      </c>
      <c r="L327" s="2" t="s">
        <v>2830</v>
      </c>
    </row>
    <row r="328" customFormat="false" ht="18.7" hidden="false" customHeight="true" outlineLevel="0" collapsed="false">
      <c r="A328" s="1" t="n">
        <v>327</v>
      </c>
      <c r="B328" s="7" t="str">
        <f aca="false">HYPERLINK("https://mncourtfraud.com/file/27-CR-22-13797.pdf","27-CR-22-13797")</f>
        <v>27-CR-22-13797</v>
      </c>
      <c r="C328" s="1" t="n">
        <v>1</v>
      </c>
      <c r="D328" s="2" t="s">
        <v>12</v>
      </c>
      <c r="E328" s="8" t="n">
        <v>44761</v>
      </c>
      <c r="F328" s="2" t="s">
        <v>15</v>
      </c>
      <c r="G328" s="7" t="str">
        <f aca="false">HYPERLINK("https://mncourtfraud.com/file/MCRO_27-CR-22-13797_Order-Evaluation for Competency to Proceed (Rule 20.01)_2022-07-19_20251126185033.pdf","MCRO_27-CR-22-13797_Order-Evaluation for Competency to Proceed (Rule 20.01)_2022-07-19_20251126185033.pdf")</f>
        <v>MCRO_27-CR-22-13797_Order-Evaluation for Competency to Proceed (Rule 20.01)_2022-07-19_20251126185033.pdf</v>
      </c>
      <c r="H328" s="1" t="s">
        <v>1362</v>
      </c>
      <c r="I328" s="1" t="n">
        <v>20251126185033</v>
      </c>
      <c r="J328" s="1" t="s">
        <v>3297</v>
      </c>
      <c r="K328" s="9" t="s">
        <v>2838</v>
      </c>
      <c r="L328" s="2" t="s">
        <v>2832</v>
      </c>
    </row>
    <row r="329" customFormat="false" ht="18.7" hidden="false" customHeight="true" outlineLevel="0" collapsed="false">
      <c r="A329" s="1" t="n">
        <v>328</v>
      </c>
      <c r="B329" s="7" t="str">
        <f aca="false">HYPERLINK("https://mncourtfraud.com/file/27-CR-22-13797.pdf","27-CR-22-13797")</f>
        <v>27-CR-22-13797</v>
      </c>
      <c r="C329" s="1" t="n">
        <v>1</v>
      </c>
      <c r="D329" s="2" t="s">
        <v>12</v>
      </c>
      <c r="E329" s="8" t="n">
        <v>44895</v>
      </c>
      <c r="F329" s="2" t="s">
        <v>15</v>
      </c>
      <c r="G329" s="7" t="str">
        <f aca="false">HYPERLINK("https://mncourtfraud.com/file/MCRO_27-CR-22-13797_Order-Evaluation for Competency to Proceed (Rule 20.01)_2022-11-30_20251126185022.pdf","MCRO_27-CR-22-13797_Order-Evaluation for Competency to Proceed (Rule 20.01)_2022-11-30_20251126185022.pdf")</f>
        <v>MCRO_27-CR-22-13797_Order-Evaluation for Competency to Proceed (Rule 20.01)_2022-11-30_20251126185022.pdf</v>
      </c>
      <c r="H329" s="1" t="s">
        <v>1362</v>
      </c>
      <c r="I329" s="1" t="n">
        <v>20251126185022</v>
      </c>
      <c r="J329" s="1" t="s">
        <v>3298</v>
      </c>
      <c r="K329" s="9" t="s">
        <v>2839</v>
      </c>
      <c r="L329" s="2" t="s">
        <v>2659</v>
      </c>
    </row>
    <row r="330" customFormat="false" ht="18.7" hidden="false" customHeight="true" outlineLevel="0" collapsed="false">
      <c r="A330" s="1" t="n">
        <v>329</v>
      </c>
      <c r="B330" s="7" t="str">
        <f aca="false">HYPERLINK("https://mncourtfraud.com/file/27-CR-22-13797.pdf","27-CR-22-13797")</f>
        <v>27-CR-22-13797</v>
      </c>
      <c r="C330" s="1" t="n">
        <v>1</v>
      </c>
      <c r="D330" s="2" t="s">
        <v>12</v>
      </c>
      <c r="E330" s="8" t="n">
        <v>45048</v>
      </c>
      <c r="F330" s="2" t="s">
        <v>80</v>
      </c>
      <c r="G330" s="7" t="str">
        <f aca="false">HYPERLINK("https://mncourtfraud.com/file/MCRO_27-CR-22-13797_Finding of Incompetency and Order_2023-05-02_20251126184840.pdf","MCRO_27-CR-22-13797_Finding of Incompetency and Order_2023-05-02_20251126184840.pdf")</f>
        <v>MCRO_27-CR-22-13797_Finding of Incompetency and Order_2023-05-02_20251126184840.pdf</v>
      </c>
      <c r="H330" s="1" t="s">
        <v>1362</v>
      </c>
      <c r="I330" s="1" t="n">
        <v>20251126184840</v>
      </c>
      <c r="J330" s="1" t="s">
        <v>3299</v>
      </c>
      <c r="K330" s="9" t="s">
        <v>2836</v>
      </c>
      <c r="L330" s="2" t="s">
        <v>2837</v>
      </c>
    </row>
    <row r="331" customFormat="false" ht="18.7" hidden="false" customHeight="true" outlineLevel="0" collapsed="false">
      <c r="A331" s="1" t="n">
        <v>330</v>
      </c>
      <c r="B331" s="7" t="str">
        <f aca="false">HYPERLINK("https://mncourtfraud.com/file/27-CR-22-14239.pdf","27-CR-22-14239")</f>
        <v>27-CR-22-14239</v>
      </c>
      <c r="C331" s="1" t="n">
        <v>5</v>
      </c>
      <c r="D331" s="2" t="s">
        <v>267</v>
      </c>
      <c r="E331" s="8" t="n">
        <v>44837</v>
      </c>
      <c r="F331" s="2" t="s">
        <v>17</v>
      </c>
      <c r="G331" s="7" t="str">
        <f aca="false">HYPERLINK("https://mncourtfraud.com/file/MCRO_27-CR-22-14239_Returned Mail_2022-10-03_20251126165740.pdf","MCRO_27-CR-22-14239_Returned Mail_2022-10-03_20251126165740.pdf")</f>
        <v>MCRO_27-CR-22-14239_Returned Mail_2022-10-03_20251126165740.pdf</v>
      </c>
      <c r="H331" s="1" t="s">
        <v>1362</v>
      </c>
      <c r="I331" s="1" t="n">
        <v>20251126165740</v>
      </c>
      <c r="J331" s="1" t="s">
        <v>3300</v>
      </c>
      <c r="K331" s="9" t="s">
        <v>2844</v>
      </c>
      <c r="L331" s="2" t="s">
        <v>2729</v>
      </c>
    </row>
    <row r="332" customFormat="false" ht="18.7" hidden="false" customHeight="true" outlineLevel="0" collapsed="false">
      <c r="A332" s="1" t="n">
        <v>331</v>
      </c>
      <c r="B332" s="7" t="str">
        <f aca="false">HYPERLINK("https://mncourtfraud.com/file/27-CR-22-14239.pdf","27-CR-22-14239")</f>
        <v>27-CR-22-14239</v>
      </c>
      <c r="C332" s="1" t="n">
        <v>5</v>
      </c>
      <c r="D332" s="2" t="s">
        <v>267</v>
      </c>
      <c r="E332" s="8" t="n">
        <v>44873</v>
      </c>
      <c r="F332" s="2" t="s">
        <v>15</v>
      </c>
      <c r="G332" s="7" t="str">
        <f aca="false">HYPERLINK("https://mncourtfraud.com/file/MCRO_27-CR-22-14239_Order-Evaluation for Competency to Proceed (Rule 20.01)_2022-11-08_20251126165804.pdf","MCRO_27-CR-22-14239_Order-Evaluation for Competency to Proceed (Rule 20.01)_2022-11-08_20251126165804.pdf")</f>
        <v>MCRO_27-CR-22-14239_Order-Evaluation for Competency to Proceed (Rule 20.01)_2022-11-08_20251126165804.pdf</v>
      </c>
      <c r="H332" s="1" t="s">
        <v>1362</v>
      </c>
      <c r="I332" s="1" t="n">
        <v>20251126165804</v>
      </c>
      <c r="J332" s="1" t="s">
        <v>3301</v>
      </c>
      <c r="K332" s="9" t="s">
        <v>2840</v>
      </c>
      <c r="L332" s="2" t="s">
        <v>2711</v>
      </c>
    </row>
    <row r="333" customFormat="false" ht="18.7" hidden="false" customHeight="true" outlineLevel="0" collapsed="false">
      <c r="A333" s="1" t="n">
        <v>332</v>
      </c>
      <c r="B333" s="7" t="str">
        <f aca="false">HYPERLINK("https://mncourtfraud.com/file/27-CR-22-14239.pdf","27-CR-22-14239")</f>
        <v>27-CR-22-14239</v>
      </c>
      <c r="C333" s="1" t="n">
        <v>5</v>
      </c>
      <c r="D333" s="2" t="s">
        <v>267</v>
      </c>
      <c r="E333" s="8" t="n">
        <v>45023</v>
      </c>
      <c r="F333" s="2" t="s">
        <v>15</v>
      </c>
      <c r="G333" s="7" t="str">
        <f aca="false">HYPERLINK("https://mncourtfraud.com/file/MCRO_27-CR-22-14239_Order-Evaluation for Competency to Proceed (Rule 20.01)_2023-04-07_20251126165814.pdf","MCRO_27-CR-22-14239_Order-Evaluation for Competency to Proceed (Rule 20.01)_2023-04-07_20251126165814.pdf")</f>
        <v>MCRO_27-CR-22-14239_Order-Evaluation for Competency to Proceed (Rule 20.01)_2023-04-07_20251126165814.pdf</v>
      </c>
      <c r="H333" s="1" t="s">
        <v>1362</v>
      </c>
      <c r="I333" s="1" t="n">
        <v>20251126165814</v>
      </c>
      <c r="J333" s="1" t="s">
        <v>3302</v>
      </c>
      <c r="K333" s="9" t="s">
        <v>2841</v>
      </c>
      <c r="L333" s="2" t="s">
        <v>2842</v>
      </c>
    </row>
    <row r="334" customFormat="false" ht="18.7" hidden="false" customHeight="true" outlineLevel="0" collapsed="false">
      <c r="A334" s="1" t="n">
        <v>333</v>
      </c>
      <c r="B334" s="7" t="str">
        <f aca="false">HYPERLINK("https://mncourtfraud.com/file/27-CR-22-14239.pdf","27-CR-22-14239")</f>
        <v>27-CR-22-14239</v>
      </c>
      <c r="C334" s="1" t="n">
        <v>5</v>
      </c>
      <c r="D334" s="2" t="s">
        <v>267</v>
      </c>
      <c r="E334" s="8" t="n">
        <v>45194</v>
      </c>
      <c r="F334" s="2" t="s">
        <v>15</v>
      </c>
      <c r="G334" s="7" t="str">
        <f aca="false">HYPERLINK("https://mncourtfraud.com/file/MCRO_27-CR-22-14239_Order-Evaluation for Competency to Proceed (Rule 20.01)_2023-09-25_20251126165753.pdf","MCRO_27-CR-22-14239_Order-Evaluation for Competency to Proceed (Rule 20.01)_2023-09-25_20251126165753.pdf")</f>
        <v>MCRO_27-CR-22-14239_Order-Evaluation for Competency to Proceed (Rule 20.01)_2023-09-25_20251126165753.pdf</v>
      </c>
      <c r="H334" s="1" t="s">
        <v>1362</v>
      </c>
      <c r="I334" s="1" t="n">
        <v>20251126165753</v>
      </c>
      <c r="J334" s="1" t="s">
        <v>3303</v>
      </c>
      <c r="K334" s="9" t="s">
        <v>2843</v>
      </c>
      <c r="L334" s="2" t="s">
        <v>2735</v>
      </c>
    </row>
    <row r="335" customFormat="false" ht="18.7" hidden="false" customHeight="true" outlineLevel="0" collapsed="false">
      <c r="A335" s="1" t="n">
        <v>334</v>
      </c>
      <c r="B335" s="7" t="str">
        <f aca="false">HYPERLINK("https://mncourtfraud.com/file/27-CR-22-1664.pdf","27-CR-22-1664")</f>
        <v>27-CR-22-1664</v>
      </c>
      <c r="C335" s="1" t="n">
        <v>5</v>
      </c>
      <c r="D335" s="2" t="s">
        <v>267</v>
      </c>
      <c r="E335" s="8" t="n">
        <v>44733</v>
      </c>
      <c r="F335" s="2" t="s">
        <v>17</v>
      </c>
      <c r="G335" s="7" t="str">
        <f aca="false">HYPERLINK("https://mncourtfraud.com/file/MCRO_27-CR-22-1664_Returned Mail_2022-06-21_20251126170019.pdf","MCRO_27-CR-22-1664_Returned Mail_2022-06-21_20251126170019.pdf")</f>
        <v>MCRO_27-CR-22-1664_Returned Mail_2022-06-21_20251126170019.pdf</v>
      </c>
      <c r="H335" s="1" t="s">
        <v>1362</v>
      </c>
      <c r="I335" s="1" t="n">
        <v>20251126170019</v>
      </c>
      <c r="J335" s="1" t="s">
        <v>3304</v>
      </c>
      <c r="K335" s="9" t="s">
        <v>2850</v>
      </c>
      <c r="L335" s="2" t="s">
        <v>2851</v>
      </c>
    </row>
    <row r="336" customFormat="false" ht="18.7" hidden="false" customHeight="true" outlineLevel="0" collapsed="false">
      <c r="A336" s="1" t="n">
        <v>335</v>
      </c>
      <c r="B336" s="7" t="str">
        <f aca="false">HYPERLINK("https://mncourtfraud.com/file/27-CR-22-1664.pdf","27-CR-22-1664")</f>
        <v>27-CR-22-1664</v>
      </c>
      <c r="C336" s="1" t="n">
        <v>5</v>
      </c>
      <c r="D336" s="2" t="s">
        <v>267</v>
      </c>
      <c r="E336" s="8" t="n">
        <v>44733</v>
      </c>
      <c r="F336" s="2" t="s">
        <v>17</v>
      </c>
      <c r="G336" s="7" t="str">
        <f aca="false">HYPERLINK("https://mncourtfraud.com/file/MCRO_27-CR-22-1664_Returned Mail_2022-06-21_20251126170027.pdf","MCRO_27-CR-22-1664_Returned Mail_2022-06-21_20251126170027.pdf")</f>
        <v>MCRO_27-CR-22-1664_Returned Mail_2022-06-21_20251126170027.pdf</v>
      </c>
      <c r="H336" s="1" t="s">
        <v>1362</v>
      </c>
      <c r="I336" s="1" t="n">
        <v>20251126170027</v>
      </c>
      <c r="J336" s="1" t="s">
        <v>3305</v>
      </c>
      <c r="K336" s="9" t="s">
        <v>2852</v>
      </c>
      <c r="L336" s="2" t="s">
        <v>2727</v>
      </c>
    </row>
    <row r="337" customFormat="false" ht="18.7" hidden="false" customHeight="true" outlineLevel="0" collapsed="false">
      <c r="A337" s="1" t="n">
        <v>336</v>
      </c>
      <c r="B337" s="7" t="str">
        <f aca="false">HYPERLINK("https://mncourtfraud.com/file/27-CR-22-1664.pdf","27-CR-22-1664")</f>
        <v>27-CR-22-1664</v>
      </c>
      <c r="C337" s="1" t="n">
        <v>5</v>
      </c>
      <c r="D337" s="2" t="s">
        <v>267</v>
      </c>
      <c r="E337" s="8" t="n">
        <v>44733</v>
      </c>
      <c r="F337" s="2" t="s">
        <v>17</v>
      </c>
      <c r="G337" s="7" t="str">
        <f aca="false">HYPERLINK("https://mncourtfraud.com/file/MCRO_27-CR-22-1664_Returned Mail_2022-06-21_20251126170031.pdf","MCRO_27-CR-22-1664_Returned Mail_2022-06-21_20251126170031.pdf")</f>
        <v>MCRO_27-CR-22-1664_Returned Mail_2022-06-21_20251126170031.pdf</v>
      </c>
      <c r="H337" s="1" t="s">
        <v>1362</v>
      </c>
      <c r="I337" s="1" t="n">
        <v>20251126170031</v>
      </c>
      <c r="J337" s="1" t="s">
        <v>3306</v>
      </c>
      <c r="K337" s="9" t="s">
        <v>2853</v>
      </c>
      <c r="L337" s="2" t="s">
        <v>2854</v>
      </c>
    </row>
    <row r="338" customFormat="false" ht="18.7" hidden="false" customHeight="true" outlineLevel="0" collapsed="false">
      <c r="A338" s="1" t="n">
        <v>337</v>
      </c>
      <c r="B338" s="7" t="str">
        <f aca="false">HYPERLINK("https://mncourtfraud.com/file/27-CR-22-1664.pdf","27-CR-22-1664")</f>
        <v>27-CR-22-1664</v>
      </c>
      <c r="C338" s="1" t="n">
        <v>5</v>
      </c>
      <c r="D338" s="2" t="s">
        <v>267</v>
      </c>
      <c r="E338" s="8" t="n">
        <v>44837</v>
      </c>
      <c r="F338" s="2" t="s">
        <v>17</v>
      </c>
      <c r="G338" s="7" t="str">
        <f aca="false">HYPERLINK("https://mncourtfraud.com/file/MCRO_27-CR-22-1664_Returned Mail_2022-10-03_20251126165936.pdf","MCRO_27-CR-22-1664_Returned Mail_2022-10-03_20251126165936.pdf")</f>
        <v>MCRO_27-CR-22-1664_Returned Mail_2022-10-03_20251126165936.pdf</v>
      </c>
      <c r="H338" s="1" t="s">
        <v>1362</v>
      </c>
      <c r="I338" s="1" t="n">
        <v>20251126165936</v>
      </c>
      <c r="J338" s="1" t="s">
        <v>3307</v>
      </c>
      <c r="K338" s="9" t="s">
        <v>2855</v>
      </c>
      <c r="L338" s="2" t="s">
        <v>2729</v>
      </c>
    </row>
    <row r="339" customFormat="false" ht="18.7" hidden="false" customHeight="true" outlineLevel="0" collapsed="false">
      <c r="A339" s="1" t="n">
        <v>338</v>
      </c>
      <c r="B339" s="7" t="str">
        <f aca="false">HYPERLINK("https://mncourtfraud.com/file/27-CR-22-1664.pdf","27-CR-22-1664")</f>
        <v>27-CR-22-1664</v>
      </c>
      <c r="C339" s="1" t="n">
        <v>5</v>
      </c>
      <c r="D339" s="2" t="s">
        <v>267</v>
      </c>
      <c r="E339" s="8" t="n">
        <v>44873</v>
      </c>
      <c r="F339" s="2" t="s">
        <v>15</v>
      </c>
      <c r="G339" s="7" t="str">
        <f aca="false">HYPERLINK("https://mncourtfraud.com/file/MCRO_27-CR-22-1664_Order-Evaluation for Competency to Proceed (Rule 20.01)_2022-11-08_20251126165858.pdf","MCRO_27-CR-22-1664_Order-Evaluation for Competency to Proceed (Rule 20.01)_2022-11-08_20251126165858.pdf")</f>
        <v>MCRO_27-CR-22-1664_Order-Evaluation for Competency to Proceed (Rule 20.01)_2022-11-08_20251126165858.pdf</v>
      </c>
      <c r="H339" s="1" t="s">
        <v>1362</v>
      </c>
      <c r="I339" s="1" t="n">
        <v>20251126165858</v>
      </c>
      <c r="J339" s="1" t="s">
        <v>3308</v>
      </c>
      <c r="K339" s="9" t="s">
        <v>2845</v>
      </c>
      <c r="L339" s="2" t="s">
        <v>2846</v>
      </c>
    </row>
    <row r="340" customFormat="false" ht="18.7" hidden="false" customHeight="true" outlineLevel="0" collapsed="false">
      <c r="A340" s="1" t="n">
        <v>339</v>
      </c>
      <c r="B340" s="7" t="str">
        <f aca="false">HYPERLINK("https://mncourtfraud.com/file/27-CR-22-1664.pdf","27-CR-22-1664")</f>
        <v>27-CR-22-1664</v>
      </c>
      <c r="C340" s="1" t="n">
        <v>5</v>
      </c>
      <c r="D340" s="2" t="s">
        <v>267</v>
      </c>
      <c r="E340" s="8" t="n">
        <v>45023</v>
      </c>
      <c r="F340" s="2" t="s">
        <v>15</v>
      </c>
      <c r="G340" s="7" t="str">
        <f aca="false">HYPERLINK("https://mncourtfraud.com/file/MCRO_27-CR-22-1664_Order-Evaluation for Competency to Proceed (Rule 20.01)_2023-04-07_20251126165909.pdf","MCRO_27-CR-22-1664_Order-Evaluation for Competency to Proceed (Rule 20.01)_2023-04-07_20251126165909.pdf")</f>
        <v>MCRO_27-CR-22-1664_Order-Evaluation for Competency to Proceed (Rule 20.01)_2023-04-07_20251126165909.pdf</v>
      </c>
      <c r="H340" s="1" t="s">
        <v>1362</v>
      </c>
      <c r="I340" s="1" t="n">
        <v>20251126165909</v>
      </c>
      <c r="J340" s="1" t="s">
        <v>3309</v>
      </c>
      <c r="K340" s="9" t="s">
        <v>2847</v>
      </c>
      <c r="L340" s="2" t="s">
        <v>2848</v>
      </c>
    </row>
    <row r="341" customFormat="false" ht="18.7" hidden="false" customHeight="true" outlineLevel="0" collapsed="false">
      <c r="A341" s="1" t="n">
        <v>340</v>
      </c>
      <c r="B341" s="7" t="str">
        <f aca="false">HYPERLINK("https://mncourtfraud.com/file/27-CR-22-1664.pdf","27-CR-22-1664")</f>
        <v>27-CR-22-1664</v>
      </c>
      <c r="C341" s="1" t="n">
        <v>5</v>
      </c>
      <c r="D341" s="2" t="s">
        <v>267</v>
      </c>
      <c r="E341" s="8" t="n">
        <v>45194</v>
      </c>
      <c r="F341" s="2" t="s">
        <v>15</v>
      </c>
      <c r="G341" s="7" t="str">
        <f aca="false">HYPERLINK("https://mncourtfraud.com/file/MCRO_27-CR-22-1664_Order-Evaluation for Competency to Proceed (Rule 20.01)_2023-09-25_20251126165920.pdf","MCRO_27-CR-22-1664_Order-Evaluation for Competency to Proceed (Rule 20.01)_2023-09-25_20251126165920.pdf")</f>
        <v>MCRO_27-CR-22-1664_Order-Evaluation for Competency to Proceed (Rule 20.01)_2023-09-25_20251126165920.pdf</v>
      </c>
      <c r="H341" s="1" t="s">
        <v>1362</v>
      </c>
      <c r="I341" s="1" t="n">
        <v>20251126165920</v>
      </c>
      <c r="J341" s="1" t="s">
        <v>3310</v>
      </c>
      <c r="K341" s="9" t="s">
        <v>2849</v>
      </c>
      <c r="L341" s="2" t="s">
        <v>2715</v>
      </c>
    </row>
    <row r="342" customFormat="false" ht="18.7" hidden="false" customHeight="true" outlineLevel="0" collapsed="false">
      <c r="A342" s="1" t="n">
        <v>341</v>
      </c>
      <c r="B342" s="7" t="str">
        <f aca="false">HYPERLINK("https://mncourtfraud.com/file/27-CR-22-18472.pdf","27-CR-22-18472")</f>
        <v>27-CR-22-18472</v>
      </c>
      <c r="C342" s="1" t="n">
        <v>5</v>
      </c>
      <c r="D342" s="2" t="s">
        <v>267</v>
      </c>
      <c r="E342" s="8" t="n">
        <v>44873</v>
      </c>
      <c r="F342" s="2" t="s">
        <v>15</v>
      </c>
      <c r="G342" s="7" t="str">
        <f aca="false">HYPERLINK("https://mncourtfraud.com/file/MCRO_27-CR-22-18472_Order-Evaluation for Competency to Proceed (Rule 20.01)_2022-11-08_20251126170119.pdf","MCRO_27-CR-22-18472_Order-Evaluation for Competency to Proceed (Rule 20.01)_2022-11-08_20251126170119.pdf")</f>
        <v>MCRO_27-CR-22-18472_Order-Evaluation for Competency to Proceed (Rule 20.01)_2022-11-08_20251126170119.pdf</v>
      </c>
      <c r="H342" s="1" t="s">
        <v>1362</v>
      </c>
      <c r="I342" s="1" t="n">
        <v>20251126170119</v>
      </c>
      <c r="J342" s="1" t="s">
        <v>3311</v>
      </c>
      <c r="K342" s="9" t="s">
        <v>2856</v>
      </c>
      <c r="L342" s="2" t="s">
        <v>2857</v>
      </c>
    </row>
    <row r="343" customFormat="false" ht="18.7" hidden="false" customHeight="true" outlineLevel="0" collapsed="false">
      <c r="A343" s="1" t="n">
        <v>342</v>
      </c>
      <c r="B343" s="7" t="str">
        <f aca="false">HYPERLINK("https://mncourtfraud.com/file/27-CR-22-18472.pdf","27-CR-22-18472")</f>
        <v>27-CR-22-18472</v>
      </c>
      <c r="C343" s="1" t="n">
        <v>5</v>
      </c>
      <c r="D343" s="2" t="s">
        <v>267</v>
      </c>
      <c r="E343" s="8" t="n">
        <v>45023</v>
      </c>
      <c r="F343" s="2" t="s">
        <v>15</v>
      </c>
      <c r="G343" s="7" t="str">
        <f aca="false">HYPERLINK("https://mncourtfraud.com/file/MCRO_27-CR-22-18472_Order-Evaluation for Competency to Proceed (Rule 20.01)_2023-04-07_20251126170128.pdf","MCRO_27-CR-22-18472_Order-Evaluation for Competency to Proceed (Rule 20.01)_2023-04-07_20251126170128.pdf")</f>
        <v>MCRO_27-CR-22-18472_Order-Evaluation for Competency to Proceed (Rule 20.01)_2023-04-07_20251126170128.pdf</v>
      </c>
      <c r="H343" s="1" t="s">
        <v>1362</v>
      </c>
      <c r="I343" s="1" t="n">
        <v>20251126170128</v>
      </c>
      <c r="J343" s="1" t="s">
        <v>3312</v>
      </c>
      <c r="K343" s="9" t="s">
        <v>2858</v>
      </c>
      <c r="L343" s="2" t="s">
        <v>2859</v>
      </c>
    </row>
    <row r="344" customFormat="false" ht="18.7" hidden="false" customHeight="true" outlineLevel="0" collapsed="false">
      <c r="A344" s="1" t="n">
        <v>343</v>
      </c>
      <c r="B344" s="7" t="str">
        <f aca="false">HYPERLINK("https://mncourtfraud.com/file/27-CR-22-18472.pdf","27-CR-22-18472")</f>
        <v>27-CR-22-18472</v>
      </c>
      <c r="C344" s="1" t="n">
        <v>5</v>
      </c>
      <c r="D344" s="2" t="s">
        <v>267</v>
      </c>
      <c r="E344" s="8" t="n">
        <v>45194</v>
      </c>
      <c r="F344" s="2" t="s">
        <v>15</v>
      </c>
      <c r="G344" s="7" t="str">
        <f aca="false">HYPERLINK("https://mncourtfraud.com/file/MCRO_27-CR-22-18472_Order-Evaluation for Competency to Proceed (Rule 20.01)_2023-09-25_20251126170110.pdf","MCRO_27-CR-22-18472_Order-Evaluation for Competency to Proceed (Rule 20.01)_2023-09-25_20251126170110.pdf")</f>
        <v>MCRO_27-CR-22-18472_Order-Evaluation for Competency to Proceed (Rule 20.01)_2023-09-25_20251126170110.pdf</v>
      </c>
      <c r="H344" s="1" t="s">
        <v>1362</v>
      </c>
      <c r="I344" s="1" t="n">
        <v>20251126170110</v>
      </c>
      <c r="J344" s="1" t="s">
        <v>3313</v>
      </c>
      <c r="K344" s="9" t="s">
        <v>2860</v>
      </c>
      <c r="L344" s="2" t="s">
        <v>2755</v>
      </c>
    </row>
    <row r="345" customFormat="false" ht="18.7" hidden="false" customHeight="true" outlineLevel="0" collapsed="false">
      <c r="A345" s="1" t="n">
        <v>344</v>
      </c>
      <c r="B345" s="7" t="str">
        <f aca="false">HYPERLINK("https://mncourtfraud.com/file/27-CR-22-2444.pdf","27-CR-22-2444")</f>
        <v>27-CR-22-2444</v>
      </c>
      <c r="C345" s="1" t="n">
        <v>5</v>
      </c>
      <c r="D345" s="2" t="s">
        <v>267</v>
      </c>
      <c r="E345" s="8" t="n">
        <v>44733</v>
      </c>
      <c r="F345" s="2" t="s">
        <v>17</v>
      </c>
      <c r="G345" s="7" t="str">
        <f aca="false">HYPERLINK("https://mncourtfraud.com/file/MCRO_27-CR-22-2444_Returned Mail_2022-06-21_20251126170235.pdf","MCRO_27-CR-22-2444_Returned Mail_2022-06-21_20251126170235.pdf")</f>
        <v>MCRO_27-CR-22-2444_Returned Mail_2022-06-21_20251126170235.pdf</v>
      </c>
      <c r="H345" s="1" t="s">
        <v>1362</v>
      </c>
      <c r="I345" s="1" t="n">
        <v>20251126170235</v>
      </c>
      <c r="J345" s="1" t="s">
        <v>3314</v>
      </c>
      <c r="K345" s="9" t="s">
        <v>2867</v>
      </c>
      <c r="L345" s="2" t="s">
        <v>2717</v>
      </c>
    </row>
    <row r="346" customFormat="false" ht="18.7" hidden="false" customHeight="true" outlineLevel="0" collapsed="false">
      <c r="A346" s="1" t="n">
        <v>345</v>
      </c>
      <c r="B346" s="7" t="str">
        <f aca="false">HYPERLINK("https://mncourtfraud.com/file/27-CR-22-2444.pdf","27-CR-22-2444")</f>
        <v>27-CR-22-2444</v>
      </c>
      <c r="C346" s="1" t="n">
        <v>5</v>
      </c>
      <c r="D346" s="2" t="s">
        <v>267</v>
      </c>
      <c r="E346" s="8" t="n">
        <v>44837</v>
      </c>
      <c r="F346" s="2" t="s">
        <v>17</v>
      </c>
      <c r="G346" s="7" t="str">
        <f aca="false">HYPERLINK("https://mncourtfraud.com/file/MCRO_27-CR-22-2444_Returned Mail_2022-10-03_20251126170225.pdf","MCRO_27-CR-22-2444_Returned Mail_2022-10-03_20251126170225.pdf")</f>
        <v>MCRO_27-CR-22-2444_Returned Mail_2022-10-03_20251126170225.pdf</v>
      </c>
      <c r="H346" s="1" t="s">
        <v>1362</v>
      </c>
      <c r="I346" s="1" t="n">
        <v>20251126170225</v>
      </c>
      <c r="J346" s="1" t="s">
        <v>3315</v>
      </c>
      <c r="K346" s="9" t="s">
        <v>2868</v>
      </c>
      <c r="L346" s="2" t="s">
        <v>2729</v>
      </c>
    </row>
    <row r="347" customFormat="false" ht="18.7" hidden="false" customHeight="true" outlineLevel="0" collapsed="false">
      <c r="A347" s="1" t="n">
        <v>346</v>
      </c>
      <c r="B347" s="7" t="str">
        <f aca="false">HYPERLINK("https://mncourtfraud.com/file/27-CR-22-2444.pdf","27-CR-22-2444")</f>
        <v>27-CR-22-2444</v>
      </c>
      <c r="C347" s="1" t="n">
        <v>5</v>
      </c>
      <c r="D347" s="2" t="s">
        <v>267</v>
      </c>
      <c r="E347" s="8" t="n">
        <v>44873</v>
      </c>
      <c r="F347" s="2" t="s">
        <v>15</v>
      </c>
      <c r="G347" s="7" t="str">
        <f aca="false">HYPERLINK("https://mncourtfraud.com/file/MCRO_27-CR-22-2444_Order-Evaluation for Competency to Proceed (Rule 20.01)_2022-11-08_20251126170154.pdf","MCRO_27-CR-22-2444_Order-Evaluation for Competency to Proceed (Rule 20.01)_2022-11-08_20251126170154.pdf")</f>
        <v>MCRO_27-CR-22-2444_Order-Evaluation for Competency to Proceed (Rule 20.01)_2022-11-08_20251126170154.pdf</v>
      </c>
      <c r="H347" s="1" t="s">
        <v>1362</v>
      </c>
      <c r="I347" s="1" t="n">
        <v>20251126170154</v>
      </c>
      <c r="J347" s="1" t="s">
        <v>3316</v>
      </c>
      <c r="K347" s="9" t="s">
        <v>2861</v>
      </c>
      <c r="L347" s="2" t="s">
        <v>2862</v>
      </c>
    </row>
    <row r="348" customFormat="false" ht="18.7" hidden="false" customHeight="true" outlineLevel="0" collapsed="false">
      <c r="A348" s="1" t="n">
        <v>347</v>
      </c>
      <c r="B348" s="7" t="str">
        <f aca="false">HYPERLINK("https://mncourtfraud.com/file/27-CR-22-2444.pdf","27-CR-22-2444")</f>
        <v>27-CR-22-2444</v>
      </c>
      <c r="C348" s="1" t="n">
        <v>5</v>
      </c>
      <c r="D348" s="2" t="s">
        <v>267</v>
      </c>
      <c r="E348" s="8" t="n">
        <v>45023</v>
      </c>
      <c r="F348" s="2" t="s">
        <v>15</v>
      </c>
      <c r="G348" s="7" t="str">
        <f aca="false">HYPERLINK("https://mncourtfraud.com/file/MCRO_27-CR-22-2444_Order-Evaluation for Competency to Proceed (Rule 20.01)_2023-04-07_20251126170204.pdf","MCRO_27-CR-22-2444_Order-Evaluation for Competency to Proceed (Rule 20.01)_2023-04-07_20251126170204.pdf")</f>
        <v>MCRO_27-CR-22-2444_Order-Evaluation for Competency to Proceed (Rule 20.01)_2023-04-07_20251126170204.pdf</v>
      </c>
      <c r="H348" s="1" t="s">
        <v>1362</v>
      </c>
      <c r="I348" s="1" t="n">
        <v>20251126170204</v>
      </c>
      <c r="J348" s="1" t="s">
        <v>3317</v>
      </c>
      <c r="K348" s="9" t="s">
        <v>2863</v>
      </c>
      <c r="L348" s="2" t="s">
        <v>2864</v>
      </c>
    </row>
    <row r="349" customFormat="false" ht="18.7" hidden="false" customHeight="true" outlineLevel="0" collapsed="false">
      <c r="A349" s="1" t="n">
        <v>348</v>
      </c>
      <c r="B349" s="7" t="str">
        <f aca="false">HYPERLINK("https://mncourtfraud.com/file/27-CR-22-2444.pdf","27-CR-22-2444")</f>
        <v>27-CR-22-2444</v>
      </c>
      <c r="C349" s="1" t="n">
        <v>5</v>
      </c>
      <c r="D349" s="2" t="s">
        <v>267</v>
      </c>
      <c r="E349" s="8" t="n">
        <v>45194</v>
      </c>
      <c r="F349" s="2" t="s">
        <v>15</v>
      </c>
      <c r="G349" s="7" t="str">
        <f aca="false">HYPERLINK("https://mncourtfraud.com/file/MCRO_27-CR-22-2444_Order-Evaluation for Competency to Proceed (Rule 20.01)_2023-09-25_20251126170213.pdf","MCRO_27-CR-22-2444_Order-Evaluation for Competency to Proceed (Rule 20.01)_2023-09-25_20251126170213.pdf")</f>
        <v>MCRO_27-CR-22-2444_Order-Evaluation for Competency to Proceed (Rule 20.01)_2023-09-25_20251126170213.pdf</v>
      </c>
      <c r="H349" s="1" t="s">
        <v>1362</v>
      </c>
      <c r="I349" s="1" t="n">
        <v>20251126170213</v>
      </c>
      <c r="J349" s="1" t="s">
        <v>3318</v>
      </c>
      <c r="K349" s="9" t="s">
        <v>2865</v>
      </c>
      <c r="L349" s="2" t="s">
        <v>2866</v>
      </c>
    </row>
    <row r="350" customFormat="false" ht="18.7" hidden="false" customHeight="true" outlineLevel="0" collapsed="false">
      <c r="A350" s="1" t="n">
        <v>349</v>
      </c>
      <c r="B350" s="7" t="str">
        <f aca="false">HYPERLINK("https://mncourtfraud.com/file/27-CR-22-25069.pdf","27-CR-22-25069")</f>
        <v>27-CR-22-25069</v>
      </c>
      <c r="C350" s="1" t="n">
        <v>1</v>
      </c>
      <c r="D350" s="2" t="s">
        <v>12</v>
      </c>
      <c r="E350" s="8" t="n">
        <v>44999</v>
      </c>
      <c r="F350" s="2" t="s">
        <v>17</v>
      </c>
      <c r="G350" s="7" t="str">
        <f aca="false">HYPERLINK("https://mncourtfraud.com/file/MCRO_27-CR-22-25069_Returned Mail_2023-03-14_20251126185437.pdf","MCRO_27-CR-22-25069_Returned Mail_2023-03-14_20251126185437.pdf")</f>
        <v>MCRO_27-CR-22-25069_Returned Mail_2023-03-14_20251126185437.pdf</v>
      </c>
      <c r="H350" s="1" t="s">
        <v>1362</v>
      </c>
      <c r="I350" s="1" t="n">
        <v>20251126185437</v>
      </c>
      <c r="J350" s="1" t="s">
        <v>3319</v>
      </c>
      <c r="K350" s="9" t="s">
        <v>2877</v>
      </c>
      <c r="L350" s="2" t="s">
        <v>2878</v>
      </c>
    </row>
    <row r="351" customFormat="false" ht="18.7" hidden="false" customHeight="true" outlineLevel="0" collapsed="false">
      <c r="A351" s="1" t="n">
        <v>350</v>
      </c>
      <c r="B351" s="7" t="str">
        <f aca="false">HYPERLINK("https://mncourtfraud.com/file/27-CR-22-25069.pdf","27-CR-22-25069")</f>
        <v>27-CR-22-25069</v>
      </c>
      <c r="C351" s="1" t="n">
        <v>1</v>
      </c>
      <c r="D351" s="2" t="s">
        <v>12</v>
      </c>
      <c r="E351" s="8" t="n">
        <v>45048</v>
      </c>
      <c r="F351" s="2" t="s">
        <v>80</v>
      </c>
      <c r="G351" s="7" t="str">
        <f aca="false">HYPERLINK("https://mncourtfraud.com/file/MCRO_27-CR-22-25069_Finding of Incompetency and Order_2023-05-02_20251126185303.pdf","MCRO_27-CR-22-25069_Finding of Incompetency and Order_2023-05-02_20251126185303.pdf")</f>
        <v>MCRO_27-CR-22-25069_Finding of Incompetency and Order_2023-05-02_20251126185303.pdf</v>
      </c>
      <c r="H351" s="1" t="s">
        <v>1362</v>
      </c>
      <c r="I351" s="1" t="n">
        <v>20251126185303</v>
      </c>
      <c r="J351" s="1" t="s">
        <v>3320</v>
      </c>
      <c r="K351" s="9" t="s">
        <v>2869</v>
      </c>
      <c r="L351" s="2" t="s">
        <v>2870</v>
      </c>
    </row>
    <row r="352" customFormat="false" ht="18.7" hidden="false" customHeight="true" outlineLevel="0" collapsed="false">
      <c r="A352" s="1" t="n">
        <v>351</v>
      </c>
      <c r="B352" s="7" t="str">
        <f aca="false">HYPERLINK("https://mncourtfraud.com/file/27-CR-22-25069.pdf","27-CR-22-25069")</f>
        <v>27-CR-22-25069</v>
      </c>
      <c r="C352" s="1" t="n">
        <v>1</v>
      </c>
      <c r="D352" s="2" t="s">
        <v>12</v>
      </c>
      <c r="E352" s="8" t="n">
        <v>45093</v>
      </c>
      <c r="F352" s="2" t="s">
        <v>82</v>
      </c>
      <c r="G352" s="7" t="str">
        <f aca="false">HYPERLINK("https://mncourtfraud.com/file/MCRO_27-CR-22-25069_Notice of Case Reassignment_2023-06-16_20251126185315.pdf","MCRO_27-CR-22-25069_Notice of Case Reassignment_2023-06-16_20251126185315.pdf")</f>
        <v>MCRO_27-CR-22-25069_Notice of Case Reassignment_2023-06-16_20251126185315.pdf</v>
      </c>
      <c r="H352" s="1" t="s">
        <v>1362</v>
      </c>
      <c r="I352" s="1" t="n">
        <v>20251126185315</v>
      </c>
      <c r="J352" s="1" t="s">
        <v>3321</v>
      </c>
      <c r="K352" s="9" t="s">
        <v>2871</v>
      </c>
      <c r="L352" s="2" t="s">
        <v>2872</v>
      </c>
    </row>
    <row r="353" customFormat="false" ht="18.7" hidden="false" customHeight="true" outlineLevel="0" collapsed="false">
      <c r="A353" s="1" t="n">
        <v>352</v>
      </c>
      <c r="B353" s="7" t="str">
        <f aca="false">HYPERLINK("https://mncourtfraud.com/file/27-CR-22-25069.pdf","27-CR-22-25069")</f>
        <v>27-CR-22-25069</v>
      </c>
      <c r="C353" s="1" t="n">
        <v>1</v>
      </c>
      <c r="D353" s="2" t="s">
        <v>12</v>
      </c>
      <c r="E353" s="8" t="n">
        <v>45160</v>
      </c>
      <c r="F353" s="2" t="s">
        <v>15</v>
      </c>
      <c r="G353" s="7" t="str">
        <f aca="false">HYPERLINK("https://mncourtfraud.com/file/MCRO_27-CR-22-25069_Order-Evaluation for Competency to Proceed (Rule 20.01)_2023-08-22_20251126185424.pdf","MCRO_27-CR-22-25069_Order-Evaluation for Competency to Proceed (Rule 20.01)_2023-08-22_20251126185424.pdf")</f>
        <v>MCRO_27-CR-22-25069_Order-Evaluation for Competency to Proceed (Rule 20.01)_2023-08-22_20251126185424.pdf</v>
      </c>
      <c r="H353" s="1" t="s">
        <v>1362</v>
      </c>
      <c r="I353" s="1" t="n">
        <v>20251126185424</v>
      </c>
      <c r="J353" s="1" t="s">
        <v>3322</v>
      </c>
      <c r="K353" s="9" t="s">
        <v>2874</v>
      </c>
      <c r="L353" s="2" t="s">
        <v>2471</v>
      </c>
    </row>
    <row r="354" customFormat="false" ht="18.7" hidden="false" customHeight="true" outlineLevel="0" collapsed="false">
      <c r="A354" s="1" t="n">
        <v>353</v>
      </c>
      <c r="B354" s="7" t="str">
        <f aca="false">HYPERLINK("https://mncourtfraud.com/file/27-CR-22-25069.pdf","27-CR-22-25069")</f>
        <v>27-CR-22-25069</v>
      </c>
      <c r="C354" s="1" t="n">
        <v>1</v>
      </c>
      <c r="D354" s="2" t="s">
        <v>12</v>
      </c>
      <c r="E354" s="8" t="n">
        <v>45412</v>
      </c>
      <c r="F354" s="2" t="s">
        <v>24</v>
      </c>
      <c r="G354" s="7" t="str">
        <f aca="false">HYPERLINK("https://mncourtfraud.com/file/MCRO_27-CR-22-25069_Order for Conditional Release_2024-04-30_20251126185327.pdf","MCRO_27-CR-22-25069_Order for Conditional Release_2024-04-30_20251126185327.pdf")</f>
        <v>MCRO_27-CR-22-25069_Order for Conditional Release_2024-04-30_20251126185327.pdf</v>
      </c>
      <c r="H354" s="1" t="s">
        <v>1362</v>
      </c>
      <c r="I354" s="1" t="n">
        <v>20251126185327</v>
      </c>
      <c r="J354" s="1" t="s">
        <v>3323</v>
      </c>
      <c r="K354" s="9" t="s">
        <v>2873</v>
      </c>
      <c r="L354" s="2" t="s">
        <v>2574</v>
      </c>
    </row>
    <row r="355" customFormat="false" ht="18.7" hidden="false" customHeight="true" outlineLevel="0" collapsed="false">
      <c r="A355" s="1" t="n">
        <v>354</v>
      </c>
      <c r="B355" s="7" t="str">
        <f aca="false">HYPERLINK("https://mncourtfraud.com/file/27-CR-22-25069.pdf","27-CR-22-25069")</f>
        <v>27-CR-22-25069</v>
      </c>
      <c r="C355" s="1" t="n">
        <v>1</v>
      </c>
      <c r="D355" s="2" t="s">
        <v>12</v>
      </c>
      <c r="E355" s="8" t="n">
        <v>45412</v>
      </c>
      <c r="F355" s="2" t="s">
        <v>15</v>
      </c>
      <c r="G355" s="7" t="str">
        <f aca="false">HYPERLINK("https://mncourtfraud.com/file/MCRO_27-CR-22-25069_Order-Evaluation for Competency to Proceed (Rule 20.01)_2024-04-30_20251126185403.pdf","MCRO_27-CR-22-25069_Order-Evaluation for Competency to Proceed (Rule 20.01)_2024-04-30_20251126185403.pdf")</f>
        <v>MCRO_27-CR-22-25069_Order-Evaluation for Competency to Proceed (Rule 20.01)_2024-04-30_20251126185403.pdf</v>
      </c>
      <c r="H355" s="1" t="s">
        <v>1362</v>
      </c>
      <c r="I355" s="1" t="n">
        <v>20251126185403</v>
      </c>
      <c r="J355" s="1" t="s">
        <v>3324</v>
      </c>
      <c r="K355" s="9" t="s">
        <v>2875</v>
      </c>
      <c r="L355" s="2" t="s">
        <v>2876</v>
      </c>
    </row>
    <row r="356" customFormat="false" ht="18.7" hidden="false" customHeight="true" outlineLevel="0" collapsed="false">
      <c r="A356" s="1" t="n">
        <v>355</v>
      </c>
      <c r="B356" s="7" t="str">
        <f aca="false">HYPERLINK("https://mncourtfraud.com/file/27-CR-22-3864.pdf","27-CR-22-3864")</f>
        <v>27-CR-22-3864</v>
      </c>
      <c r="C356" s="1" t="n">
        <v>1</v>
      </c>
      <c r="D356" s="2" t="s">
        <v>12</v>
      </c>
      <c r="E356" s="8" t="n">
        <v>44761</v>
      </c>
      <c r="F356" s="2" t="s">
        <v>15</v>
      </c>
      <c r="G356" s="7" t="str">
        <f aca="false">HYPERLINK("https://mncourtfraud.com/file/MCRO_27-CR-22-3864_Order-Evaluation for Competency to Proceed (Rule 20.01)_2022-07-19_20251126185540.pdf","MCRO_27-CR-22-3864_Order-Evaluation for Competency to Proceed (Rule 20.01)_2022-07-19_20251126185540.pdf")</f>
        <v>MCRO_27-CR-22-3864_Order-Evaluation for Competency to Proceed (Rule 20.01)_2022-07-19_20251126185540.pdf</v>
      </c>
      <c r="H356" s="1" t="s">
        <v>1362</v>
      </c>
      <c r="I356" s="1" t="n">
        <v>20251126185540</v>
      </c>
      <c r="J356" s="1" t="s">
        <v>3325</v>
      </c>
      <c r="K356" s="9" t="s">
        <v>2881</v>
      </c>
      <c r="L356" s="2" t="s">
        <v>2832</v>
      </c>
    </row>
    <row r="357" customFormat="false" ht="18.7" hidden="false" customHeight="true" outlineLevel="0" collapsed="false">
      <c r="A357" s="1" t="n">
        <v>356</v>
      </c>
      <c r="B357" s="7" t="str">
        <f aca="false">HYPERLINK("https://mncourtfraud.com/file/27-CR-22-3864.pdf","27-CR-22-3864")</f>
        <v>27-CR-22-3864</v>
      </c>
      <c r="C357" s="1" t="n">
        <v>1</v>
      </c>
      <c r="D357" s="2" t="s">
        <v>12</v>
      </c>
      <c r="E357" s="8" t="n">
        <v>44895</v>
      </c>
      <c r="F357" s="2" t="s">
        <v>15</v>
      </c>
      <c r="G357" s="7" t="str">
        <f aca="false">HYPERLINK("https://mncourtfraud.com/file/MCRO_27-CR-22-3864_Order-Evaluation for Competency to Proceed (Rule 20.01)_2022-11-30_20251126185532.pdf","MCRO_27-CR-22-3864_Order-Evaluation for Competency to Proceed (Rule 20.01)_2022-11-30_20251126185532.pdf")</f>
        <v>MCRO_27-CR-22-3864_Order-Evaluation for Competency to Proceed (Rule 20.01)_2022-11-30_20251126185532.pdf</v>
      </c>
      <c r="H357" s="1" t="s">
        <v>1362</v>
      </c>
      <c r="I357" s="1" t="n">
        <v>20251126185532</v>
      </c>
      <c r="J357" s="1" t="s">
        <v>3326</v>
      </c>
      <c r="K357" s="9" t="s">
        <v>2882</v>
      </c>
      <c r="L357" s="2" t="s">
        <v>2469</v>
      </c>
    </row>
    <row r="358" customFormat="false" ht="18.7" hidden="false" customHeight="true" outlineLevel="0" collapsed="false">
      <c r="A358" s="1" t="n">
        <v>357</v>
      </c>
      <c r="B358" s="7" t="str">
        <f aca="false">HYPERLINK("https://mncourtfraud.com/file/27-CR-22-3864.pdf","27-CR-22-3864")</f>
        <v>27-CR-22-3864</v>
      </c>
      <c r="C358" s="1" t="n">
        <v>1</v>
      </c>
      <c r="D358" s="2" t="s">
        <v>12</v>
      </c>
      <c r="E358" s="8" t="n">
        <v>44999</v>
      </c>
      <c r="F358" s="2" t="s">
        <v>17</v>
      </c>
      <c r="G358" s="7" t="str">
        <f aca="false">HYPERLINK("https://mncourtfraud.com/file/MCRO_27-CR-22-3864_Returned Mail_2023-03-14_20251126185557.pdf","MCRO_27-CR-22-3864_Returned Mail_2023-03-14_20251126185557.pdf")</f>
        <v>MCRO_27-CR-22-3864_Returned Mail_2023-03-14_20251126185557.pdf</v>
      </c>
      <c r="H358" s="1" t="s">
        <v>1362</v>
      </c>
      <c r="I358" s="1" t="n">
        <v>20251126185557</v>
      </c>
      <c r="J358" s="1" t="s">
        <v>3327</v>
      </c>
      <c r="K358" s="9" t="s">
        <v>2883</v>
      </c>
      <c r="L358" s="2" t="s">
        <v>2884</v>
      </c>
    </row>
    <row r="359" customFormat="false" ht="18.7" hidden="false" customHeight="true" outlineLevel="0" collapsed="false">
      <c r="A359" s="1" t="n">
        <v>358</v>
      </c>
      <c r="B359" s="7" t="str">
        <f aca="false">HYPERLINK("https://mncourtfraud.com/file/27-CR-22-3864.pdf","27-CR-22-3864")</f>
        <v>27-CR-22-3864</v>
      </c>
      <c r="C359" s="1" t="n">
        <v>1</v>
      </c>
      <c r="D359" s="2" t="s">
        <v>12</v>
      </c>
      <c r="E359" s="8" t="n">
        <v>45048</v>
      </c>
      <c r="F359" s="2" t="s">
        <v>80</v>
      </c>
      <c r="G359" s="7" t="str">
        <f aca="false">HYPERLINK("https://mncourtfraud.com/file/MCRO_27-CR-22-3864_Finding of Incompetency and Order_2023-05-02_20251126185519.pdf","MCRO_27-CR-22-3864_Finding of Incompetency and Order_2023-05-02_20251126185519.pdf")</f>
        <v>MCRO_27-CR-22-3864_Finding of Incompetency and Order_2023-05-02_20251126185519.pdf</v>
      </c>
      <c r="H359" s="1" t="s">
        <v>1362</v>
      </c>
      <c r="I359" s="1" t="n">
        <v>20251126185519</v>
      </c>
      <c r="J359" s="1" t="s">
        <v>3328</v>
      </c>
      <c r="K359" s="9" t="s">
        <v>2879</v>
      </c>
      <c r="L359" s="2" t="s">
        <v>2880</v>
      </c>
    </row>
    <row r="360" customFormat="false" ht="18.7" hidden="false" customHeight="true" outlineLevel="0" collapsed="false">
      <c r="A360" s="1" t="n">
        <v>359</v>
      </c>
      <c r="B360" s="7" t="str">
        <f aca="false">HYPERLINK("https://mncourtfraud.com/file/27-CR-22-6512.pdf","27-CR-22-6512")</f>
        <v>27-CR-22-6512</v>
      </c>
      <c r="C360" s="1" t="n">
        <v>5</v>
      </c>
      <c r="D360" s="2" t="s">
        <v>267</v>
      </c>
      <c r="E360" s="8" t="n">
        <v>44837</v>
      </c>
      <c r="F360" s="2" t="s">
        <v>17</v>
      </c>
      <c r="G360" s="7" t="str">
        <f aca="false">HYPERLINK("https://mncourtfraud.com/file/MCRO_27-CR-22-6512_Returned Mail_2022-10-03_20251126170305.pdf","MCRO_27-CR-22-6512_Returned Mail_2022-10-03_20251126170305.pdf")</f>
        <v>MCRO_27-CR-22-6512_Returned Mail_2022-10-03_20251126170305.pdf</v>
      </c>
      <c r="H360" s="1" t="s">
        <v>1362</v>
      </c>
      <c r="I360" s="1" t="n">
        <v>20251126170305</v>
      </c>
      <c r="J360" s="1" t="s">
        <v>3329</v>
      </c>
      <c r="K360" s="9" t="s">
        <v>2889</v>
      </c>
      <c r="L360" s="2" t="s">
        <v>2719</v>
      </c>
    </row>
    <row r="361" customFormat="false" ht="18.7" hidden="false" customHeight="true" outlineLevel="0" collapsed="false">
      <c r="A361" s="1" t="n">
        <v>360</v>
      </c>
      <c r="B361" s="7" t="str">
        <f aca="false">HYPERLINK("https://mncourtfraud.com/file/27-CR-22-6512.pdf","27-CR-22-6512")</f>
        <v>27-CR-22-6512</v>
      </c>
      <c r="C361" s="1" t="n">
        <v>5</v>
      </c>
      <c r="D361" s="2" t="s">
        <v>267</v>
      </c>
      <c r="E361" s="8" t="n">
        <v>44873</v>
      </c>
      <c r="F361" s="2" t="s">
        <v>15</v>
      </c>
      <c r="G361" s="7" t="str">
        <f aca="false">HYPERLINK("https://mncourtfraud.com/file/MCRO_27-CR-22-6512_Order-Evaluation for Competency to Proceed (Rule 20.01)_2022-11-08_20251126170328.pdf","MCRO_27-CR-22-6512_Order-Evaluation for Competency to Proceed (Rule 20.01)_2022-11-08_20251126170328.pdf")</f>
        <v>MCRO_27-CR-22-6512_Order-Evaluation for Competency to Proceed (Rule 20.01)_2022-11-08_20251126170328.pdf</v>
      </c>
      <c r="H361" s="1" t="s">
        <v>1362</v>
      </c>
      <c r="I361" s="1" t="n">
        <v>20251126170328</v>
      </c>
      <c r="J361" s="1" t="s">
        <v>3330</v>
      </c>
      <c r="K361" s="9" t="s">
        <v>2885</v>
      </c>
      <c r="L361" s="2" t="s">
        <v>2739</v>
      </c>
    </row>
    <row r="362" customFormat="false" ht="18.7" hidden="false" customHeight="true" outlineLevel="0" collapsed="false">
      <c r="A362" s="1" t="n">
        <v>361</v>
      </c>
      <c r="B362" s="7" t="str">
        <f aca="false">HYPERLINK("https://mncourtfraud.com/file/27-CR-22-6512.pdf","27-CR-22-6512")</f>
        <v>27-CR-22-6512</v>
      </c>
      <c r="C362" s="1" t="n">
        <v>5</v>
      </c>
      <c r="D362" s="2" t="s">
        <v>267</v>
      </c>
      <c r="E362" s="8" t="n">
        <v>45023</v>
      </c>
      <c r="F362" s="2" t="s">
        <v>15</v>
      </c>
      <c r="G362" s="7" t="str">
        <f aca="false">HYPERLINK("https://mncourtfraud.com/file/MCRO_27-CR-22-6512_Order-Evaluation for Competency to Proceed (Rule 20.01)_2023-04-07_20251126170337.pdf","MCRO_27-CR-22-6512_Order-Evaluation for Competency to Proceed (Rule 20.01)_2023-04-07_20251126170337.pdf")</f>
        <v>MCRO_27-CR-22-6512_Order-Evaluation for Competency to Proceed (Rule 20.01)_2023-04-07_20251126170337.pdf</v>
      </c>
      <c r="H362" s="1" t="s">
        <v>1362</v>
      </c>
      <c r="I362" s="1" t="n">
        <v>20251126170337</v>
      </c>
      <c r="J362" s="1" t="s">
        <v>3331</v>
      </c>
      <c r="K362" s="9" t="s">
        <v>2886</v>
      </c>
      <c r="L362" s="2" t="s">
        <v>2887</v>
      </c>
    </row>
    <row r="363" customFormat="false" ht="18.7" hidden="false" customHeight="true" outlineLevel="0" collapsed="false">
      <c r="A363" s="1" t="n">
        <v>362</v>
      </c>
      <c r="B363" s="7" t="str">
        <f aca="false">HYPERLINK("https://mncourtfraud.com/file/27-CR-22-6512.pdf","27-CR-22-6512")</f>
        <v>27-CR-22-6512</v>
      </c>
      <c r="C363" s="1" t="n">
        <v>5</v>
      </c>
      <c r="D363" s="2" t="s">
        <v>267</v>
      </c>
      <c r="E363" s="8" t="n">
        <v>45194</v>
      </c>
      <c r="F363" s="2" t="s">
        <v>15</v>
      </c>
      <c r="G363" s="7" t="str">
        <f aca="false">HYPERLINK("https://mncourtfraud.com/file/MCRO_27-CR-22-6512_Order-Evaluation for Competency to Proceed (Rule 20.01)_2023-09-25_20251126170316.pdf","MCRO_27-CR-22-6512_Order-Evaluation for Competency to Proceed (Rule 20.01)_2023-09-25_20251126170316.pdf")</f>
        <v>MCRO_27-CR-22-6512_Order-Evaluation for Competency to Proceed (Rule 20.01)_2023-09-25_20251126170316.pdf</v>
      </c>
      <c r="H363" s="1" t="s">
        <v>1362</v>
      </c>
      <c r="I363" s="1" t="n">
        <v>20251126170316</v>
      </c>
      <c r="J363" s="1" t="s">
        <v>3332</v>
      </c>
      <c r="K363" s="9" t="s">
        <v>2888</v>
      </c>
      <c r="L363" s="2" t="s">
        <v>2866</v>
      </c>
    </row>
    <row r="364" customFormat="false" ht="18.7" hidden="false" customHeight="true" outlineLevel="0" collapsed="false">
      <c r="A364" s="1" t="n">
        <v>363</v>
      </c>
      <c r="B364" s="7" t="str">
        <f aca="false">HYPERLINK("https://mncourtfraud.com/file/27-CR-22-6895.pdf","27-CR-22-6895")</f>
        <v>27-CR-22-6895</v>
      </c>
      <c r="C364" s="1" t="n">
        <v>5</v>
      </c>
      <c r="D364" s="2" t="s">
        <v>267</v>
      </c>
      <c r="E364" s="8" t="n">
        <v>44837</v>
      </c>
      <c r="F364" s="2" t="s">
        <v>17</v>
      </c>
      <c r="G364" s="7" t="str">
        <f aca="false">HYPERLINK("https://mncourtfraud.com/file/MCRO_27-CR-22-6895_Returned Mail_2022-10-03_20251126170447.pdf","MCRO_27-CR-22-6895_Returned Mail_2022-10-03_20251126170447.pdf")</f>
        <v>MCRO_27-CR-22-6895_Returned Mail_2022-10-03_20251126170447.pdf</v>
      </c>
      <c r="H364" s="1" t="s">
        <v>1362</v>
      </c>
      <c r="I364" s="1" t="n">
        <v>20251126170447</v>
      </c>
      <c r="J364" s="1" t="s">
        <v>3333</v>
      </c>
      <c r="K364" s="9" t="s">
        <v>2894</v>
      </c>
      <c r="L364" s="2" t="s">
        <v>2729</v>
      </c>
    </row>
    <row r="365" customFormat="false" ht="18.7" hidden="false" customHeight="true" outlineLevel="0" collapsed="false">
      <c r="A365" s="1" t="n">
        <v>364</v>
      </c>
      <c r="B365" s="7" t="str">
        <f aca="false">HYPERLINK("https://mncourtfraud.com/file/27-CR-22-6895.pdf","27-CR-22-6895")</f>
        <v>27-CR-22-6895</v>
      </c>
      <c r="C365" s="1" t="n">
        <v>5</v>
      </c>
      <c r="D365" s="2" t="s">
        <v>267</v>
      </c>
      <c r="E365" s="8" t="n">
        <v>44873</v>
      </c>
      <c r="F365" s="2" t="s">
        <v>15</v>
      </c>
      <c r="G365" s="7" t="str">
        <f aca="false">HYPERLINK("https://mncourtfraud.com/file/MCRO_27-CR-22-6895_Order-Evaluation for Competency to Proceed (Rule 20.01)_2022-11-08_20251126170402.pdf","MCRO_27-CR-22-6895_Order-Evaluation for Competency to Proceed (Rule 20.01)_2022-11-08_20251126170402.pdf")</f>
        <v>MCRO_27-CR-22-6895_Order-Evaluation for Competency to Proceed (Rule 20.01)_2022-11-08_20251126170402.pdf</v>
      </c>
      <c r="H365" s="1" t="s">
        <v>1362</v>
      </c>
      <c r="I365" s="1" t="n">
        <v>20251126170402</v>
      </c>
      <c r="J365" s="1" t="s">
        <v>3334</v>
      </c>
      <c r="K365" s="9" t="s">
        <v>2890</v>
      </c>
      <c r="L365" s="2" t="s">
        <v>2731</v>
      </c>
    </row>
    <row r="366" customFormat="false" ht="18.7" hidden="false" customHeight="true" outlineLevel="0" collapsed="false">
      <c r="A366" s="1" t="n">
        <v>365</v>
      </c>
      <c r="B366" s="7" t="str">
        <f aca="false">HYPERLINK("https://mncourtfraud.com/file/27-CR-22-6895.pdf","27-CR-22-6895")</f>
        <v>27-CR-22-6895</v>
      </c>
      <c r="C366" s="1" t="n">
        <v>5</v>
      </c>
      <c r="D366" s="2" t="s">
        <v>267</v>
      </c>
      <c r="E366" s="8" t="n">
        <v>45023</v>
      </c>
      <c r="F366" s="2" t="s">
        <v>15</v>
      </c>
      <c r="G366" s="7" t="str">
        <f aca="false">HYPERLINK("https://mncourtfraud.com/file/MCRO_27-CR-22-6895_Order-Evaluation for Competency to Proceed (Rule 20.01)_2023-04-07_20251126170421.pdf","MCRO_27-CR-22-6895_Order-Evaluation for Competency to Proceed (Rule 20.01)_2023-04-07_20251126170421.pdf")</f>
        <v>MCRO_27-CR-22-6895_Order-Evaluation for Competency to Proceed (Rule 20.01)_2023-04-07_20251126170421.pdf</v>
      </c>
      <c r="H366" s="1" t="s">
        <v>1362</v>
      </c>
      <c r="I366" s="1" t="n">
        <v>20251126170421</v>
      </c>
      <c r="J366" s="1" t="s">
        <v>3335</v>
      </c>
      <c r="K366" s="9" t="s">
        <v>2891</v>
      </c>
      <c r="L366" s="2" t="s">
        <v>2892</v>
      </c>
    </row>
    <row r="367" customFormat="false" ht="18.7" hidden="false" customHeight="true" outlineLevel="0" collapsed="false">
      <c r="A367" s="1" t="n">
        <v>366</v>
      </c>
      <c r="B367" s="7" t="str">
        <f aca="false">HYPERLINK("https://mncourtfraud.com/file/27-CR-22-6895.pdf","27-CR-22-6895")</f>
        <v>27-CR-22-6895</v>
      </c>
      <c r="C367" s="1" t="n">
        <v>5</v>
      </c>
      <c r="D367" s="2" t="s">
        <v>267</v>
      </c>
      <c r="E367" s="8" t="n">
        <v>45194</v>
      </c>
      <c r="F367" s="2" t="s">
        <v>15</v>
      </c>
      <c r="G367" s="7" t="str">
        <f aca="false">HYPERLINK("https://mncourtfraud.com/file/MCRO_27-CR-22-6895_Order-Evaluation for Competency to Proceed (Rule 20.01)_2023-09-25_20251126170434.pdf","MCRO_27-CR-22-6895_Order-Evaluation for Competency to Proceed (Rule 20.01)_2023-09-25_20251126170434.pdf")</f>
        <v>MCRO_27-CR-22-6895_Order-Evaluation for Competency to Proceed (Rule 20.01)_2023-09-25_20251126170434.pdf</v>
      </c>
      <c r="H367" s="1" t="s">
        <v>1362</v>
      </c>
      <c r="I367" s="1" t="n">
        <v>20251126170434</v>
      </c>
      <c r="J367" s="1" t="s">
        <v>3336</v>
      </c>
      <c r="K367" s="9" t="s">
        <v>2893</v>
      </c>
      <c r="L367" s="2" t="s">
        <v>2735</v>
      </c>
    </row>
    <row r="368" customFormat="false" ht="18.7" hidden="false" customHeight="true" outlineLevel="0" collapsed="false">
      <c r="A368" s="1" t="n">
        <v>367</v>
      </c>
      <c r="B368" s="7" t="str">
        <f aca="false">HYPERLINK("https://mncourtfraud.com/file/27-CR-22-7520.pdf","27-CR-22-7520")</f>
        <v>27-CR-22-7520</v>
      </c>
      <c r="C368" s="1" t="n">
        <v>5</v>
      </c>
      <c r="D368" s="2" t="s">
        <v>267</v>
      </c>
      <c r="E368" s="8" t="n">
        <v>44837</v>
      </c>
      <c r="F368" s="2" t="s">
        <v>17</v>
      </c>
      <c r="G368" s="7" t="str">
        <f aca="false">HYPERLINK("https://mncourtfraud.com/file/MCRO_27-CR-22-7520_Returned Mail_2022-10-03_20251126170511.pdf","MCRO_27-CR-22-7520_Returned Mail_2022-10-03_20251126170511.pdf")</f>
        <v>MCRO_27-CR-22-7520_Returned Mail_2022-10-03_20251126170511.pdf</v>
      </c>
      <c r="H368" s="1" t="s">
        <v>1362</v>
      </c>
      <c r="I368" s="1" t="n">
        <v>20251126170511</v>
      </c>
      <c r="J368" s="1" t="s">
        <v>3337</v>
      </c>
      <c r="K368" s="9" t="s">
        <v>2899</v>
      </c>
      <c r="L368" s="2" t="s">
        <v>2900</v>
      </c>
    </row>
    <row r="369" customFormat="false" ht="18.7" hidden="false" customHeight="true" outlineLevel="0" collapsed="false">
      <c r="A369" s="1" t="n">
        <v>368</v>
      </c>
      <c r="B369" s="7" t="str">
        <f aca="false">HYPERLINK("https://mncourtfraud.com/file/27-CR-22-7520.pdf","27-CR-22-7520")</f>
        <v>27-CR-22-7520</v>
      </c>
      <c r="C369" s="1" t="n">
        <v>5</v>
      </c>
      <c r="D369" s="2" t="s">
        <v>267</v>
      </c>
      <c r="E369" s="8" t="n">
        <v>44873</v>
      </c>
      <c r="F369" s="2" t="s">
        <v>15</v>
      </c>
      <c r="G369" s="7" t="str">
        <f aca="false">HYPERLINK("https://mncourtfraud.com/file/MCRO_27-CR-22-7520_Order-Evaluation for Competency to Proceed (Rule 20.01)_2022-11-08_20251126170532.pdf","MCRO_27-CR-22-7520_Order-Evaluation for Competency to Proceed (Rule 20.01)_2022-11-08_20251126170532.pdf")</f>
        <v>MCRO_27-CR-22-7520_Order-Evaluation for Competency to Proceed (Rule 20.01)_2022-11-08_20251126170532.pdf</v>
      </c>
      <c r="H369" s="1" t="s">
        <v>1362</v>
      </c>
      <c r="I369" s="1" t="n">
        <v>20251126170532</v>
      </c>
      <c r="J369" s="1" t="s">
        <v>3338</v>
      </c>
      <c r="K369" s="9" t="s">
        <v>2895</v>
      </c>
      <c r="L369" s="2" t="s">
        <v>2731</v>
      </c>
    </row>
    <row r="370" customFormat="false" ht="18.7" hidden="false" customHeight="true" outlineLevel="0" collapsed="false">
      <c r="A370" s="1" t="n">
        <v>369</v>
      </c>
      <c r="B370" s="7" t="str">
        <f aca="false">HYPERLINK("https://mncourtfraud.com/file/27-CR-22-7520.pdf","27-CR-22-7520")</f>
        <v>27-CR-22-7520</v>
      </c>
      <c r="C370" s="1" t="n">
        <v>5</v>
      </c>
      <c r="D370" s="2" t="s">
        <v>267</v>
      </c>
      <c r="E370" s="8" t="n">
        <v>45023</v>
      </c>
      <c r="F370" s="2" t="s">
        <v>15</v>
      </c>
      <c r="G370" s="7" t="str">
        <f aca="false">HYPERLINK("https://mncourtfraud.com/file/MCRO_27-CR-22-7520_Order-Evaluation for Competency to Proceed (Rule 20.01)_2023-04-07_20251126170542.pdf","MCRO_27-CR-22-7520_Order-Evaluation for Competency to Proceed (Rule 20.01)_2023-04-07_20251126170542.pdf")</f>
        <v>MCRO_27-CR-22-7520_Order-Evaluation for Competency to Proceed (Rule 20.01)_2023-04-07_20251126170542.pdf</v>
      </c>
      <c r="H370" s="1" t="s">
        <v>1362</v>
      </c>
      <c r="I370" s="1" t="n">
        <v>20251126170542</v>
      </c>
      <c r="J370" s="1" t="s">
        <v>3339</v>
      </c>
      <c r="K370" s="9" t="s">
        <v>2896</v>
      </c>
      <c r="L370" s="2" t="s">
        <v>2897</v>
      </c>
    </row>
    <row r="371" customFormat="false" ht="18.7" hidden="false" customHeight="true" outlineLevel="0" collapsed="false">
      <c r="A371" s="1" t="n">
        <v>370</v>
      </c>
      <c r="B371" s="7" t="str">
        <f aca="false">HYPERLINK("https://mncourtfraud.com/file/27-CR-22-7520.pdf","27-CR-22-7520")</f>
        <v>27-CR-22-7520</v>
      </c>
      <c r="C371" s="1" t="n">
        <v>5</v>
      </c>
      <c r="D371" s="2" t="s">
        <v>267</v>
      </c>
      <c r="E371" s="8" t="n">
        <v>45194</v>
      </c>
      <c r="F371" s="2" t="s">
        <v>15</v>
      </c>
      <c r="G371" s="7" t="str">
        <f aca="false">HYPERLINK("https://mncourtfraud.com/file/MCRO_27-CR-22-7520_Order-Evaluation for Competency to Proceed (Rule 20.01)_2023-09-25_20251126170523.pdf","MCRO_27-CR-22-7520_Order-Evaluation for Competency to Proceed (Rule 20.01)_2023-09-25_20251126170523.pdf")</f>
        <v>MCRO_27-CR-22-7520_Order-Evaluation for Competency to Proceed (Rule 20.01)_2023-09-25_20251126170523.pdf</v>
      </c>
      <c r="H371" s="1" t="s">
        <v>1362</v>
      </c>
      <c r="I371" s="1" t="n">
        <v>20251126170523</v>
      </c>
      <c r="J371" s="1" t="s">
        <v>3340</v>
      </c>
      <c r="K371" s="9" t="s">
        <v>2898</v>
      </c>
      <c r="L371" s="2" t="s">
        <v>2866</v>
      </c>
    </row>
    <row r="372" customFormat="false" ht="18.7" hidden="false" customHeight="true" outlineLevel="0" collapsed="false">
      <c r="A372" s="1" t="n">
        <v>371</v>
      </c>
      <c r="B372" s="7" t="str">
        <f aca="false">HYPERLINK("https://mncourtfraud.com/file/27-CR-22-8126.pdf","27-CR-22-8126")</f>
        <v>27-CR-22-8126</v>
      </c>
      <c r="C372" s="1" t="n">
        <v>1</v>
      </c>
      <c r="D372" s="2" t="s">
        <v>12</v>
      </c>
      <c r="E372" s="8" t="n">
        <v>44761</v>
      </c>
      <c r="F372" s="2" t="s">
        <v>15</v>
      </c>
      <c r="G372" s="7" t="str">
        <f aca="false">HYPERLINK("https://mncourtfraud.com/file/MCRO_27-CR-22-8126_Order-Evaluation for Competency to Proceed (Rule 20.01)_2022-07-19_20251126185733.pdf","MCRO_27-CR-22-8126_Order-Evaluation for Competency to Proceed (Rule 20.01)_2022-07-19_20251126185733.pdf")</f>
        <v>MCRO_27-CR-22-8126_Order-Evaluation for Competency to Proceed (Rule 20.01)_2022-07-19_20251126185733.pdf</v>
      </c>
      <c r="H372" s="1" t="s">
        <v>1362</v>
      </c>
      <c r="I372" s="1" t="n">
        <v>20251126185733</v>
      </c>
      <c r="J372" s="1" t="s">
        <v>3341</v>
      </c>
      <c r="K372" s="9" t="s">
        <v>2906</v>
      </c>
      <c r="L372" s="2" t="s">
        <v>2832</v>
      </c>
    </row>
    <row r="373" customFormat="false" ht="18.7" hidden="false" customHeight="true" outlineLevel="0" collapsed="false">
      <c r="A373" s="1" t="n">
        <v>372</v>
      </c>
      <c r="B373" s="7" t="str">
        <f aca="false">HYPERLINK("https://mncourtfraud.com/file/27-CR-22-8126.pdf","27-CR-22-8126")</f>
        <v>27-CR-22-8126</v>
      </c>
      <c r="C373" s="1" t="n">
        <v>1</v>
      </c>
      <c r="D373" s="2" t="s">
        <v>12</v>
      </c>
      <c r="E373" s="8" t="n">
        <v>44895</v>
      </c>
      <c r="F373" s="2" t="s">
        <v>15</v>
      </c>
      <c r="G373" s="7" t="str">
        <f aca="false">HYPERLINK("https://mncourtfraud.com/file/MCRO_27-CR-22-8126_Order-Evaluation for Competency to Proceed (Rule 20.01)_2022-11-30_20251126185703.pdf","MCRO_27-CR-22-8126_Order-Evaluation for Competency to Proceed (Rule 20.01)_2022-11-30_20251126185703.pdf")</f>
        <v>MCRO_27-CR-22-8126_Order-Evaluation for Competency to Proceed (Rule 20.01)_2022-11-30_20251126185703.pdf</v>
      </c>
      <c r="H373" s="1" t="s">
        <v>1362</v>
      </c>
      <c r="I373" s="1" t="n">
        <v>20251126185703</v>
      </c>
      <c r="J373" s="1" t="s">
        <v>3342</v>
      </c>
      <c r="K373" s="9" t="s">
        <v>2907</v>
      </c>
      <c r="L373" s="2" t="s">
        <v>2659</v>
      </c>
    </row>
    <row r="374" customFormat="false" ht="18.7" hidden="false" customHeight="true" outlineLevel="0" collapsed="false">
      <c r="A374" s="1" t="n">
        <v>373</v>
      </c>
      <c r="B374" s="7" t="str">
        <f aca="false">HYPERLINK("https://mncourtfraud.com/file/27-CR-22-8126.pdf","27-CR-22-8126")</f>
        <v>27-CR-22-8126</v>
      </c>
      <c r="C374" s="1" t="n">
        <v>1</v>
      </c>
      <c r="D374" s="2" t="s">
        <v>12</v>
      </c>
      <c r="E374" s="8" t="n">
        <v>44999</v>
      </c>
      <c r="F374" s="2" t="s">
        <v>17</v>
      </c>
      <c r="G374" s="7" t="str">
        <f aca="false">HYPERLINK("https://mncourtfraud.com/file/MCRO_27-CR-22-8126_Returned Mail_2023-03-14_20251126185747.pdf","MCRO_27-CR-22-8126_Returned Mail_2023-03-14_20251126185747.pdf")</f>
        <v>MCRO_27-CR-22-8126_Returned Mail_2023-03-14_20251126185747.pdf</v>
      </c>
      <c r="H374" s="1" t="s">
        <v>1362</v>
      </c>
      <c r="I374" s="1" t="n">
        <v>20251126185747</v>
      </c>
      <c r="J374" s="1" t="s">
        <v>3343</v>
      </c>
      <c r="K374" s="9" t="s">
        <v>2911</v>
      </c>
      <c r="L374" s="2" t="s">
        <v>2912</v>
      </c>
    </row>
    <row r="375" customFormat="false" ht="18.7" hidden="false" customHeight="true" outlineLevel="0" collapsed="false">
      <c r="A375" s="1" t="n">
        <v>374</v>
      </c>
      <c r="B375" s="7" t="str">
        <f aca="false">HYPERLINK("https://mncourtfraud.com/file/27-CR-22-8126.pdf","27-CR-22-8126")</f>
        <v>27-CR-22-8126</v>
      </c>
      <c r="C375" s="1" t="n">
        <v>1</v>
      </c>
      <c r="D375" s="2" t="s">
        <v>12</v>
      </c>
      <c r="E375" s="8" t="n">
        <v>45048</v>
      </c>
      <c r="F375" s="2" t="s">
        <v>80</v>
      </c>
      <c r="G375" s="7" t="str">
        <f aca="false">HYPERLINK("https://mncourtfraud.com/file/MCRO_27-CR-22-8126_Finding of Incompetency and Order_2023-05-02_20251126185621.pdf","MCRO_27-CR-22-8126_Finding of Incompetency and Order_2023-05-02_20251126185621.pdf")</f>
        <v>MCRO_27-CR-22-8126_Finding of Incompetency and Order_2023-05-02_20251126185621.pdf</v>
      </c>
      <c r="H375" s="1" t="s">
        <v>1362</v>
      </c>
      <c r="I375" s="1" t="n">
        <v>20251126185621</v>
      </c>
      <c r="J375" s="1" t="s">
        <v>3344</v>
      </c>
      <c r="K375" s="9" t="s">
        <v>2901</v>
      </c>
      <c r="L375" s="2" t="s">
        <v>2902</v>
      </c>
    </row>
    <row r="376" customFormat="false" ht="18.7" hidden="false" customHeight="true" outlineLevel="0" collapsed="false">
      <c r="A376" s="1" t="n">
        <v>375</v>
      </c>
      <c r="B376" s="7" t="str">
        <f aca="false">HYPERLINK("https://mncourtfraud.com/file/27-CR-22-8126.pdf","27-CR-22-8126")</f>
        <v>27-CR-22-8126</v>
      </c>
      <c r="C376" s="1" t="n">
        <v>1</v>
      </c>
      <c r="D376" s="2" t="s">
        <v>12</v>
      </c>
      <c r="E376" s="8" t="n">
        <v>45093</v>
      </c>
      <c r="F376" s="2" t="s">
        <v>82</v>
      </c>
      <c r="G376" s="7" t="str">
        <f aca="false">HYPERLINK("https://mncourtfraud.com/file/MCRO_27-CR-22-8126_Notice of Case Reassignment_2023-06-16_20251126185641.pdf","MCRO_27-CR-22-8126_Notice of Case Reassignment_2023-06-16_20251126185641.pdf")</f>
        <v>MCRO_27-CR-22-8126_Notice of Case Reassignment_2023-06-16_20251126185641.pdf</v>
      </c>
      <c r="H376" s="1" t="s">
        <v>1362</v>
      </c>
      <c r="I376" s="1" t="n">
        <v>20251126185641</v>
      </c>
      <c r="J376" s="1" t="s">
        <v>3345</v>
      </c>
      <c r="K376" s="9" t="s">
        <v>2903</v>
      </c>
      <c r="L376" s="2" t="s">
        <v>2904</v>
      </c>
    </row>
    <row r="377" customFormat="false" ht="18.7" hidden="false" customHeight="true" outlineLevel="0" collapsed="false">
      <c r="A377" s="1" t="n">
        <v>376</v>
      </c>
      <c r="B377" s="7" t="str">
        <f aca="false">HYPERLINK("https://mncourtfraud.com/file/27-CR-22-8126.pdf","27-CR-22-8126")</f>
        <v>27-CR-22-8126</v>
      </c>
      <c r="C377" s="1" t="n">
        <v>1</v>
      </c>
      <c r="D377" s="2" t="s">
        <v>12</v>
      </c>
      <c r="E377" s="8" t="n">
        <v>45160</v>
      </c>
      <c r="F377" s="2" t="s">
        <v>15</v>
      </c>
      <c r="G377" s="7" t="str">
        <f aca="false">HYPERLINK("https://mncourtfraud.com/file/MCRO_27-CR-22-8126_Order-Evaluation for Competency to Proceed (Rule 20.01)_2023-08-22_20251126185711.pdf","MCRO_27-CR-22-8126_Order-Evaluation for Competency to Proceed (Rule 20.01)_2023-08-22_20251126185711.pdf")</f>
        <v>MCRO_27-CR-22-8126_Order-Evaluation for Competency to Proceed (Rule 20.01)_2023-08-22_20251126185711.pdf</v>
      </c>
      <c r="H377" s="1" t="s">
        <v>1362</v>
      </c>
      <c r="I377" s="1" t="n">
        <v>20251126185711</v>
      </c>
      <c r="J377" s="1" t="s">
        <v>3346</v>
      </c>
      <c r="K377" s="9" t="s">
        <v>2908</v>
      </c>
      <c r="L377" s="2" t="s">
        <v>2909</v>
      </c>
    </row>
    <row r="378" customFormat="false" ht="18.7" hidden="false" customHeight="true" outlineLevel="0" collapsed="false">
      <c r="A378" s="1" t="n">
        <v>377</v>
      </c>
      <c r="B378" s="7" t="str">
        <f aca="false">HYPERLINK("https://mncourtfraud.com/file/27-CR-22-8126.pdf","27-CR-22-8126")</f>
        <v>27-CR-22-8126</v>
      </c>
      <c r="C378" s="1" t="n">
        <v>1</v>
      </c>
      <c r="D378" s="2" t="s">
        <v>12</v>
      </c>
      <c r="E378" s="8" t="n">
        <v>45412</v>
      </c>
      <c r="F378" s="2" t="s">
        <v>24</v>
      </c>
      <c r="G378" s="7" t="str">
        <f aca="false">HYPERLINK("https://mncourtfraud.com/file/MCRO_27-CR-22-8126_Order for Conditional Release_2024-04-30_20251126185651.pdf","MCRO_27-CR-22-8126_Order for Conditional Release_2024-04-30_20251126185651.pdf")</f>
        <v>MCRO_27-CR-22-8126_Order for Conditional Release_2024-04-30_20251126185651.pdf</v>
      </c>
      <c r="H378" s="1" t="s">
        <v>1362</v>
      </c>
      <c r="I378" s="1" t="n">
        <v>20251126185651</v>
      </c>
      <c r="J378" s="1" t="s">
        <v>3347</v>
      </c>
      <c r="K378" s="9" t="s">
        <v>2905</v>
      </c>
      <c r="L378" s="2" t="s">
        <v>2400</v>
      </c>
    </row>
    <row r="379" customFormat="false" ht="18.7" hidden="false" customHeight="true" outlineLevel="0" collapsed="false">
      <c r="A379" s="1" t="n">
        <v>378</v>
      </c>
      <c r="B379" s="7" t="str">
        <f aca="false">HYPERLINK("https://mncourtfraud.com/file/27-CR-22-8126.pdf","27-CR-22-8126")</f>
        <v>27-CR-22-8126</v>
      </c>
      <c r="C379" s="1" t="n">
        <v>1</v>
      </c>
      <c r="D379" s="2" t="s">
        <v>12</v>
      </c>
      <c r="E379" s="8" t="n">
        <v>45412</v>
      </c>
      <c r="F379" s="2" t="s">
        <v>15</v>
      </c>
      <c r="G379" s="7" t="str">
        <f aca="false">HYPERLINK("https://mncourtfraud.com/file/MCRO_27-CR-22-8126_Order-Evaluation for Competency to Proceed (Rule 20.01)_2024-04-30_20251126185722.pdf","MCRO_27-CR-22-8126_Order-Evaluation for Competency to Proceed (Rule 20.01)_2024-04-30_20251126185722.pdf")</f>
        <v>MCRO_27-CR-22-8126_Order-Evaluation for Competency to Proceed (Rule 20.01)_2024-04-30_20251126185722.pdf</v>
      </c>
      <c r="H379" s="1" t="s">
        <v>1362</v>
      </c>
      <c r="I379" s="1" t="n">
        <v>20251126185722</v>
      </c>
      <c r="J379" s="1" t="s">
        <v>3348</v>
      </c>
      <c r="K379" s="9" t="s">
        <v>2910</v>
      </c>
      <c r="L379" s="2" t="s">
        <v>2561</v>
      </c>
    </row>
    <row r="380" customFormat="false" ht="18.7" hidden="false" customHeight="true" outlineLevel="0" collapsed="false">
      <c r="A380" s="1" t="n">
        <v>379</v>
      </c>
      <c r="B380" s="7" t="str">
        <f aca="false">HYPERLINK("https://mncourtfraud.com/file/27-CR-22-8226.pdf","27-CR-22-8226")</f>
        <v>27-CR-22-8226</v>
      </c>
      <c r="C380" s="1" t="n">
        <v>5</v>
      </c>
      <c r="D380" s="2" t="s">
        <v>267</v>
      </c>
      <c r="E380" s="8" t="n">
        <v>44837</v>
      </c>
      <c r="F380" s="2" t="s">
        <v>17</v>
      </c>
      <c r="G380" s="7" t="str">
        <f aca="false">HYPERLINK("https://mncourtfraud.com/file/MCRO_27-CR-22-8226_Returned Mail_2022-10-03_20251126170634.pdf","MCRO_27-CR-22-8226_Returned Mail_2022-10-03_20251126170634.pdf")</f>
        <v>MCRO_27-CR-22-8226_Returned Mail_2022-10-03_20251126170634.pdf</v>
      </c>
      <c r="H380" s="1" t="s">
        <v>1362</v>
      </c>
      <c r="I380" s="1" t="n">
        <v>20251126170634</v>
      </c>
      <c r="J380" s="1" t="s">
        <v>3349</v>
      </c>
      <c r="K380" s="9" t="s">
        <v>2917</v>
      </c>
      <c r="L380" s="2" t="s">
        <v>2729</v>
      </c>
    </row>
    <row r="381" customFormat="false" ht="18.7" hidden="false" customHeight="true" outlineLevel="0" collapsed="false">
      <c r="A381" s="1" t="n">
        <v>380</v>
      </c>
      <c r="B381" s="7" t="str">
        <f aca="false">HYPERLINK("https://mncourtfraud.com/file/27-CR-22-8226.pdf","27-CR-22-8226")</f>
        <v>27-CR-22-8226</v>
      </c>
      <c r="C381" s="1" t="n">
        <v>5</v>
      </c>
      <c r="D381" s="2" t="s">
        <v>267</v>
      </c>
      <c r="E381" s="8" t="n">
        <v>44873</v>
      </c>
      <c r="F381" s="2" t="s">
        <v>15</v>
      </c>
      <c r="G381" s="7" t="str">
        <f aca="false">HYPERLINK("https://mncourtfraud.com/file/MCRO_27-CR-22-8226_Order-Evaluation for Competency to Proceed (Rule 20.01)_2022-11-08_20251126170603.pdf","MCRO_27-CR-22-8226_Order-Evaluation for Competency to Proceed (Rule 20.01)_2022-11-08_20251126170603.pdf")</f>
        <v>MCRO_27-CR-22-8226_Order-Evaluation for Competency to Proceed (Rule 20.01)_2022-11-08_20251126170603.pdf</v>
      </c>
      <c r="H381" s="1" t="s">
        <v>1362</v>
      </c>
      <c r="I381" s="1" t="n">
        <v>20251126170603</v>
      </c>
      <c r="J381" s="1" t="s">
        <v>3350</v>
      </c>
      <c r="K381" s="9" t="s">
        <v>2913</v>
      </c>
      <c r="L381" s="2" t="s">
        <v>2857</v>
      </c>
    </row>
    <row r="382" customFormat="false" ht="18.7" hidden="false" customHeight="true" outlineLevel="0" collapsed="false">
      <c r="A382" s="1" t="n">
        <v>381</v>
      </c>
      <c r="B382" s="7" t="str">
        <f aca="false">HYPERLINK("https://mncourtfraud.com/file/27-CR-22-8226.pdf","27-CR-22-8226")</f>
        <v>27-CR-22-8226</v>
      </c>
      <c r="C382" s="1" t="n">
        <v>5</v>
      </c>
      <c r="D382" s="2" t="s">
        <v>267</v>
      </c>
      <c r="E382" s="8" t="n">
        <v>45023</v>
      </c>
      <c r="F382" s="2" t="s">
        <v>15</v>
      </c>
      <c r="G382" s="7" t="str">
        <f aca="false">HYPERLINK("https://mncourtfraud.com/file/MCRO_27-CR-22-8226_Order-Evaluation for Competency to Proceed (Rule 20.01)_2023-04-07_20251126170613.pdf","MCRO_27-CR-22-8226_Order-Evaluation for Competency to Proceed (Rule 20.01)_2023-04-07_20251126170613.pdf")</f>
        <v>MCRO_27-CR-22-8226_Order-Evaluation for Competency to Proceed (Rule 20.01)_2023-04-07_20251126170613.pdf</v>
      </c>
      <c r="H382" s="1" t="s">
        <v>1362</v>
      </c>
      <c r="I382" s="1" t="n">
        <v>20251126170613</v>
      </c>
      <c r="J382" s="1" t="s">
        <v>3351</v>
      </c>
      <c r="K382" s="9" t="s">
        <v>2914</v>
      </c>
      <c r="L382" s="2" t="s">
        <v>2915</v>
      </c>
    </row>
    <row r="383" customFormat="false" ht="18.7" hidden="false" customHeight="true" outlineLevel="0" collapsed="false">
      <c r="A383" s="1" t="n">
        <v>382</v>
      </c>
      <c r="B383" s="7" t="str">
        <f aca="false">HYPERLINK("https://mncourtfraud.com/file/27-CR-22-8226.pdf","27-CR-22-8226")</f>
        <v>27-CR-22-8226</v>
      </c>
      <c r="C383" s="1" t="n">
        <v>5</v>
      </c>
      <c r="D383" s="2" t="s">
        <v>267</v>
      </c>
      <c r="E383" s="8" t="n">
        <v>45194</v>
      </c>
      <c r="F383" s="2" t="s">
        <v>15</v>
      </c>
      <c r="G383" s="7" t="str">
        <f aca="false">HYPERLINK("https://mncourtfraud.com/file/MCRO_27-CR-22-8226_Order-Evaluation for Competency to Proceed (Rule 20.01)_2023-09-25_20251126170623.pdf","MCRO_27-CR-22-8226_Order-Evaluation for Competency to Proceed (Rule 20.01)_2023-09-25_20251126170623.pdf")</f>
        <v>MCRO_27-CR-22-8226_Order-Evaluation for Competency to Proceed (Rule 20.01)_2023-09-25_20251126170623.pdf</v>
      </c>
      <c r="H383" s="1" t="s">
        <v>1362</v>
      </c>
      <c r="I383" s="1" t="n">
        <v>20251126170623</v>
      </c>
      <c r="J383" s="1" t="s">
        <v>3352</v>
      </c>
      <c r="K383" s="9" t="s">
        <v>2916</v>
      </c>
      <c r="L383" s="2" t="s">
        <v>2866</v>
      </c>
    </row>
    <row r="384" customFormat="false" ht="18.7" hidden="false" customHeight="true" outlineLevel="0" collapsed="false">
      <c r="A384" s="1" t="n">
        <v>383</v>
      </c>
      <c r="B384" s="7" t="str">
        <f aca="false">HYPERLINK("https://mncourtfraud.com/file/27-CR-22-8378.pdf","27-CR-22-8378")</f>
        <v>27-CR-22-8378</v>
      </c>
      <c r="C384" s="1" t="n">
        <v>1</v>
      </c>
      <c r="D384" s="2" t="s">
        <v>12</v>
      </c>
      <c r="E384" s="8" t="n">
        <v>44761</v>
      </c>
      <c r="F384" s="2" t="s">
        <v>15</v>
      </c>
      <c r="G384" s="7" t="str">
        <f aca="false">HYPERLINK("https://mncourtfraud.com/file/MCRO_27-CR-22-8378_Order-Evaluation for Competency to Proceed (Rule 20.01)_2022-07-19_20251126185857.pdf","MCRO_27-CR-22-8378_Order-Evaluation for Competency to Proceed (Rule 20.01)_2022-07-19_20251126185857.pdf")</f>
        <v>MCRO_27-CR-22-8378_Order-Evaluation for Competency to Proceed (Rule 20.01)_2022-07-19_20251126185857.pdf</v>
      </c>
      <c r="H384" s="1" t="s">
        <v>1362</v>
      </c>
      <c r="I384" s="1" t="n">
        <v>20251126185857</v>
      </c>
      <c r="J384" s="1" t="s">
        <v>3353</v>
      </c>
      <c r="K384" s="9" t="s">
        <v>2922</v>
      </c>
      <c r="L384" s="2" t="s">
        <v>2923</v>
      </c>
    </row>
    <row r="385" customFormat="false" ht="18.7" hidden="false" customHeight="true" outlineLevel="0" collapsed="false">
      <c r="A385" s="1" t="n">
        <v>384</v>
      </c>
      <c r="B385" s="7" t="str">
        <f aca="false">HYPERLINK("https://mncourtfraud.com/file/27-CR-22-8378.pdf","27-CR-22-8378")</f>
        <v>27-CR-22-8378</v>
      </c>
      <c r="C385" s="1" t="n">
        <v>1</v>
      </c>
      <c r="D385" s="2" t="s">
        <v>12</v>
      </c>
      <c r="E385" s="8" t="n">
        <v>44895</v>
      </c>
      <c r="F385" s="2" t="s">
        <v>15</v>
      </c>
      <c r="G385" s="7" t="str">
        <f aca="false">HYPERLINK("https://mncourtfraud.com/file/MCRO_27-CR-22-8378_Order-Evaluation for Competency to Proceed (Rule 20.01)_2022-11-30_20251126185908.pdf","MCRO_27-CR-22-8378_Order-Evaluation for Competency to Proceed (Rule 20.01)_2022-11-30_20251126185908.pdf")</f>
        <v>MCRO_27-CR-22-8378_Order-Evaluation for Competency to Proceed (Rule 20.01)_2022-11-30_20251126185908.pdf</v>
      </c>
      <c r="H385" s="1" t="s">
        <v>1362</v>
      </c>
      <c r="I385" s="1" t="n">
        <v>20251126185908</v>
      </c>
      <c r="J385" s="1" t="s">
        <v>3354</v>
      </c>
      <c r="K385" s="9" t="s">
        <v>2924</v>
      </c>
      <c r="L385" s="2" t="s">
        <v>2583</v>
      </c>
    </row>
    <row r="386" customFormat="false" ht="18.7" hidden="false" customHeight="true" outlineLevel="0" collapsed="false">
      <c r="A386" s="1" t="n">
        <v>385</v>
      </c>
      <c r="B386" s="7" t="str">
        <f aca="false">HYPERLINK("https://mncourtfraud.com/file/27-CR-22-8378.pdf","27-CR-22-8378")</f>
        <v>27-CR-22-8378</v>
      </c>
      <c r="C386" s="1" t="n">
        <v>1</v>
      </c>
      <c r="D386" s="2" t="s">
        <v>12</v>
      </c>
      <c r="E386" s="8" t="n">
        <v>45048</v>
      </c>
      <c r="F386" s="2" t="s">
        <v>80</v>
      </c>
      <c r="G386" s="7" t="str">
        <f aca="false">HYPERLINK("https://mncourtfraud.com/file/MCRO_27-CR-22-8378_Finding of Incompetency and Order_2023-05-02_20251126185812.pdf","MCRO_27-CR-22-8378_Finding of Incompetency and Order_2023-05-02_20251126185812.pdf")</f>
        <v>MCRO_27-CR-22-8378_Finding of Incompetency and Order_2023-05-02_20251126185812.pdf</v>
      </c>
      <c r="H386" s="1" t="s">
        <v>1362</v>
      </c>
      <c r="I386" s="1" t="n">
        <v>20251126185812</v>
      </c>
      <c r="J386" s="1" t="s">
        <v>3355</v>
      </c>
      <c r="K386" s="9" t="s">
        <v>2918</v>
      </c>
      <c r="L386" s="2" t="s">
        <v>2919</v>
      </c>
    </row>
    <row r="387" customFormat="false" ht="18.7" hidden="false" customHeight="true" outlineLevel="0" collapsed="false">
      <c r="A387" s="1" t="n">
        <v>386</v>
      </c>
      <c r="B387" s="7" t="str">
        <f aca="false">HYPERLINK("https://mncourtfraud.com/file/27-CR-22-8378.pdf","27-CR-22-8378")</f>
        <v>27-CR-22-8378</v>
      </c>
      <c r="C387" s="1" t="n">
        <v>1</v>
      </c>
      <c r="D387" s="2" t="s">
        <v>12</v>
      </c>
      <c r="E387" s="8" t="n">
        <v>45093</v>
      </c>
      <c r="F387" s="2" t="s">
        <v>82</v>
      </c>
      <c r="G387" s="7" t="str">
        <f aca="false">HYPERLINK("https://mncourtfraud.com/file/MCRO_27-CR-22-8378_Notice of Case Reassignment_2023-06-16_20251126185824.pdf","MCRO_27-CR-22-8378_Notice of Case Reassignment_2023-06-16_20251126185824.pdf")</f>
        <v>MCRO_27-CR-22-8378_Notice of Case Reassignment_2023-06-16_20251126185824.pdf</v>
      </c>
      <c r="H387" s="1" t="s">
        <v>1362</v>
      </c>
      <c r="I387" s="1" t="n">
        <v>20251126185824</v>
      </c>
      <c r="J387" s="1" t="s">
        <v>3356</v>
      </c>
      <c r="K387" s="9" t="s">
        <v>2920</v>
      </c>
      <c r="L387" s="2" t="s">
        <v>2620</v>
      </c>
    </row>
    <row r="388" customFormat="false" ht="18.7" hidden="false" customHeight="true" outlineLevel="0" collapsed="false">
      <c r="A388" s="1" t="n">
        <v>387</v>
      </c>
      <c r="B388" s="7" t="str">
        <f aca="false">HYPERLINK("https://mncourtfraud.com/file/27-CR-22-8378.pdf","27-CR-22-8378")</f>
        <v>27-CR-22-8378</v>
      </c>
      <c r="C388" s="1" t="n">
        <v>1</v>
      </c>
      <c r="D388" s="2" t="s">
        <v>12</v>
      </c>
      <c r="E388" s="8" t="n">
        <v>45160</v>
      </c>
      <c r="F388" s="2" t="s">
        <v>15</v>
      </c>
      <c r="G388" s="7" t="str">
        <f aca="false">HYPERLINK("https://mncourtfraud.com/file/MCRO_27-CR-22-8378_Order-Evaluation for Competency to Proceed (Rule 20.01)_2023-08-22_20251126185920.pdf","MCRO_27-CR-22-8378_Order-Evaluation for Competency to Proceed (Rule 20.01)_2023-08-22_20251126185920.pdf")</f>
        <v>MCRO_27-CR-22-8378_Order-Evaluation for Competency to Proceed (Rule 20.01)_2023-08-22_20251126185920.pdf</v>
      </c>
      <c r="H388" s="1" t="s">
        <v>1362</v>
      </c>
      <c r="I388" s="1" t="n">
        <v>20251126185920</v>
      </c>
      <c r="J388" s="1" t="s">
        <v>3357</v>
      </c>
      <c r="K388" s="9" t="s">
        <v>2925</v>
      </c>
      <c r="L388" s="2" t="s">
        <v>2471</v>
      </c>
    </row>
    <row r="389" customFormat="false" ht="18.7" hidden="false" customHeight="true" outlineLevel="0" collapsed="false">
      <c r="A389" s="1" t="n">
        <v>388</v>
      </c>
      <c r="B389" s="7" t="str">
        <f aca="false">HYPERLINK("https://mncourtfraud.com/file/27-CR-22-8378.pdf","27-CR-22-8378")</f>
        <v>27-CR-22-8378</v>
      </c>
      <c r="C389" s="1" t="n">
        <v>1</v>
      </c>
      <c r="D389" s="2" t="s">
        <v>12</v>
      </c>
      <c r="E389" s="8" t="n">
        <v>45412</v>
      </c>
      <c r="F389" s="2" t="s">
        <v>24</v>
      </c>
      <c r="G389" s="7" t="str">
        <f aca="false">HYPERLINK("https://mncourtfraud.com/file/MCRO_27-CR-22-8378_Order for Conditional Release_2024-04-30_20251126185838.pdf","MCRO_27-CR-22-8378_Order for Conditional Release_2024-04-30_20251126185838.pdf")</f>
        <v>MCRO_27-CR-22-8378_Order for Conditional Release_2024-04-30_20251126185838.pdf</v>
      </c>
      <c r="H389" s="1" t="s">
        <v>1362</v>
      </c>
      <c r="I389" s="1" t="n">
        <v>20251126185838</v>
      </c>
      <c r="J389" s="1" t="s">
        <v>3358</v>
      </c>
      <c r="K389" s="9" t="s">
        <v>2921</v>
      </c>
      <c r="L389" s="2" t="s">
        <v>2524</v>
      </c>
    </row>
    <row r="390" customFormat="false" ht="18.7" hidden="false" customHeight="true" outlineLevel="0" collapsed="false">
      <c r="A390" s="1" t="n">
        <v>389</v>
      </c>
      <c r="B390" s="7" t="str">
        <f aca="false">HYPERLINK("https://mncourtfraud.com/file/27-CR-22-8378.pdf","27-CR-22-8378")</f>
        <v>27-CR-22-8378</v>
      </c>
      <c r="C390" s="1" t="n">
        <v>1</v>
      </c>
      <c r="D390" s="2" t="s">
        <v>12</v>
      </c>
      <c r="E390" s="8" t="n">
        <v>45412</v>
      </c>
      <c r="F390" s="2" t="s">
        <v>15</v>
      </c>
      <c r="G390" s="7" t="str">
        <f aca="false">HYPERLINK("https://mncourtfraud.com/file/MCRO_27-CR-22-8378_Order-Evaluation for Competency to Proceed (Rule 20.01)_2024-04-30_20251126185849.pdf","MCRO_27-CR-22-8378_Order-Evaluation for Competency to Proceed (Rule 20.01)_2024-04-30_20251126185849.pdf")</f>
        <v>MCRO_27-CR-22-8378_Order-Evaluation for Competency to Proceed (Rule 20.01)_2024-04-30_20251126185849.pdf</v>
      </c>
      <c r="H390" s="1" t="s">
        <v>1362</v>
      </c>
      <c r="I390" s="1" t="n">
        <v>20251126185849</v>
      </c>
      <c r="J390" s="1" t="s">
        <v>3359</v>
      </c>
      <c r="K390" s="9" t="s">
        <v>2926</v>
      </c>
      <c r="L390" s="2" t="s">
        <v>2771</v>
      </c>
    </row>
    <row r="391" customFormat="false" ht="18.7" hidden="false" customHeight="true" outlineLevel="0" collapsed="false">
      <c r="A391" s="1" t="n">
        <v>390</v>
      </c>
      <c r="B391" s="7" t="str">
        <f aca="false">HYPERLINK("https://mncourtfraud.com/file/27-CR-22-9930.pdf","27-CR-22-9930")</f>
        <v>27-CR-22-9930</v>
      </c>
      <c r="C391" s="1" t="n">
        <v>1</v>
      </c>
      <c r="D391" s="2" t="s">
        <v>12</v>
      </c>
      <c r="E391" s="8" t="n">
        <v>44761</v>
      </c>
      <c r="F391" s="2" t="s">
        <v>15</v>
      </c>
      <c r="G391" s="7" t="str">
        <f aca="false">HYPERLINK("https://mncourtfraud.com/file/MCRO_27-CR-22-9930_Order-Evaluation for Competency to Proceed (Rule 20.01)_2022-07-19_20251126190007.pdf","MCRO_27-CR-22-9930_Order-Evaluation for Competency to Proceed (Rule 20.01)_2022-07-19_20251126190007.pdf")</f>
        <v>MCRO_27-CR-22-9930_Order-Evaluation for Competency to Proceed (Rule 20.01)_2022-07-19_20251126190007.pdf</v>
      </c>
      <c r="H391" s="1" t="s">
        <v>1362</v>
      </c>
      <c r="I391" s="1" t="n">
        <v>20251126190007</v>
      </c>
      <c r="J391" s="1" t="s">
        <v>3360</v>
      </c>
      <c r="K391" s="9" t="s">
        <v>2929</v>
      </c>
      <c r="L391" s="2" t="s">
        <v>2923</v>
      </c>
    </row>
    <row r="392" customFormat="false" ht="18.7" hidden="false" customHeight="true" outlineLevel="0" collapsed="false">
      <c r="A392" s="1" t="n">
        <v>391</v>
      </c>
      <c r="B392" s="7" t="str">
        <f aca="false">HYPERLINK("https://mncourtfraud.com/file/27-CR-22-9930.pdf","27-CR-22-9930")</f>
        <v>27-CR-22-9930</v>
      </c>
      <c r="C392" s="1" t="n">
        <v>1</v>
      </c>
      <c r="D392" s="2" t="s">
        <v>12</v>
      </c>
      <c r="E392" s="8" t="n">
        <v>44895</v>
      </c>
      <c r="F392" s="2" t="s">
        <v>15</v>
      </c>
      <c r="G392" s="7" t="str">
        <f aca="false">HYPERLINK("https://mncourtfraud.com/file/MCRO_27-CR-22-9930_Order-Evaluation for Competency to Proceed (Rule 20.01)_2022-11-30_20251126185959.pdf","MCRO_27-CR-22-9930_Order-Evaluation for Competency to Proceed (Rule 20.01)_2022-11-30_20251126185959.pdf")</f>
        <v>MCRO_27-CR-22-9930_Order-Evaluation for Competency to Proceed (Rule 20.01)_2022-11-30_20251126185959.pdf</v>
      </c>
      <c r="H392" s="1" t="s">
        <v>1362</v>
      </c>
      <c r="I392" s="1" t="n">
        <v>20251126185959</v>
      </c>
      <c r="J392" s="1" t="s">
        <v>3361</v>
      </c>
      <c r="K392" s="9" t="s">
        <v>2930</v>
      </c>
      <c r="L392" s="2" t="s">
        <v>2469</v>
      </c>
    </row>
    <row r="393" customFormat="false" ht="18.7" hidden="false" customHeight="true" outlineLevel="0" collapsed="false">
      <c r="A393" s="1" t="n">
        <v>392</v>
      </c>
      <c r="B393" s="7" t="str">
        <f aca="false">HYPERLINK("https://mncourtfraud.com/file/27-CR-22-9930.pdf","27-CR-22-9930")</f>
        <v>27-CR-22-9930</v>
      </c>
      <c r="C393" s="1" t="n">
        <v>1</v>
      </c>
      <c r="D393" s="2" t="s">
        <v>12</v>
      </c>
      <c r="E393" s="8" t="n">
        <v>45048</v>
      </c>
      <c r="F393" s="2" t="s">
        <v>80</v>
      </c>
      <c r="G393" s="7" t="str">
        <f aca="false">HYPERLINK("https://mncourtfraud.com/file/MCRO_27-CR-22-9930_Finding of Incompetency and Order_2023-05-02_20251126185948.pdf","MCRO_27-CR-22-9930_Finding of Incompetency and Order_2023-05-02_20251126185948.pdf")</f>
        <v>MCRO_27-CR-22-9930_Finding of Incompetency and Order_2023-05-02_20251126185948.pdf</v>
      </c>
      <c r="H393" s="1" t="s">
        <v>1362</v>
      </c>
      <c r="I393" s="1" t="n">
        <v>20251126185948</v>
      </c>
      <c r="J393" s="1" t="s">
        <v>3362</v>
      </c>
      <c r="K393" s="9" t="s">
        <v>2927</v>
      </c>
      <c r="L393" s="2" t="s">
        <v>2928</v>
      </c>
    </row>
    <row r="394" customFormat="false" ht="18.7" hidden="false" customHeight="true" outlineLevel="0" collapsed="false">
      <c r="A394" s="1" t="n">
        <v>393</v>
      </c>
      <c r="B394" s="7" t="str">
        <f aca="false">HYPERLINK("https://mncourtfraud.com/file/27-CR-23-1583.pdf","27-CR-23-1583")</f>
        <v>27-CR-23-1583</v>
      </c>
      <c r="C394" s="1" t="n">
        <v>1</v>
      </c>
      <c r="D394" s="2" t="s">
        <v>12</v>
      </c>
      <c r="E394" s="8" t="n">
        <v>45048</v>
      </c>
      <c r="F394" s="2" t="s">
        <v>80</v>
      </c>
      <c r="G394" s="7" t="str">
        <f aca="false">HYPERLINK("https://mncourtfraud.com/file/MCRO_27-CR-23-1583_Finding of Incompetency and Order_2023-05-02_20251126190033.pdf","MCRO_27-CR-23-1583_Finding of Incompetency and Order_2023-05-02_20251126190033.pdf")</f>
        <v>MCRO_27-CR-23-1583_Finding of Incompetency and Order_2023-05-02_20251126190033.pdf</v>
      </c>
      <c r="H394" s="1" t="s">
        <v>1362</v>
      </c>
      <c r="I394" s="1" t="n">
        <v>20251126190033</v>
      </c>
      <c r="J394" s="1" t="s">
        <v>3363</v>
      </c>
      <c r="K394" s="9" t="s">
        <v>2931</v>
      </c>
      <c r="L394" s="2" t="s">
        <v>2870</v>
      </c>
    </row>
    <row r="395" customFormat="false" ht="18.7" hidden="false" customHeight="true" outlineLevel="0" collapsed="false">
      <c r="A395" s="1" t="n">
        <v>394</v>
      </c>
      <c r="B395" s="7" t="str">
        <f aca="false">HYPERLINK("https://mncourtfraud.com/file/27-CR-23-1583.pdf","27-CR-23-1583")</f>
        <v>27-CR-23-1583</v>
      </c>
      <c r="C395" s="1" t="n">
        <v>1</v>
      </c>
      <c r="D395" s="2" t="s">
        <v>12</v>
      </c>
      <c r="E395" s="8" t="n">
        <v>45093</v>
      </c>
      <c r="F395" s="2" t="s">
        <v>82</v>
      </c>
      <c r="G395" s="7" t="str">
        <f aca="false">HYPERLINK("https://mncourtfraud.com/file/MCRO_27-CR-23-1583_Notice of Case Reassignment_2023-06-16_20251126190045.pdf","MCRO_27-CR-23-1583_Notice of Case Reassignment_2023-06-16_20251126190045.pdf")</f>
        <v>MCRO_27-CR-23-1583_Notice of Case Reassignment_2023-06-16_20251126190045.pdf</v>
      </c>
      <c r="H395" s="1" t="s">
        <v>1362</v>
      </c>
      <c r="I395" s="1" t="n">
        <v>20251126190045</v>
      </c>
      <c r="J395" s="1" t="s">
        <v>3364</v>
      </c>
      <c r="K395" s="9" t="s">
        <v>2932</v>
      </c>
      <c r="L395" s="2" t="s">
        <v>2694</v>
      </c>
    </row>
    <row r="396" customFormat="false" ht="18.7" hidden="false" customHeight="true" outlineLevel="0" collapsed="false">
      <c r="A396" s="1" t="n">
        <v>395</v>
      </c>
      <c r="B396" s="7" t="str">
        <f aca="false">HYPERLINK("https://mncourtfraud.com/file/27-CR-23-1583.pdf","27-CR-23-1583")</f>
        <v>27-CR-23-1583</v>
      </c>
      <c r="C396" s="1" t="n">
        <v>1</v>
      </c>
      <c r="D396" s="2" t="s">
        <v>12</v>
      </c>
      <c r="E396" s="8" t="n">
        <v>45160</v>
      </c>
      <c r="F396" s="2" t="s">
        <v>15</v>
      </c>
      <c r="G396" s="7" t="str">
        <f aca="false">HYPERLINK("https://mncourtfraud.com/file/MCRO_27-CR-23-1583_Order-Evaluation for Competency to Proceed (Rule 20.01)_2023-08-22_20251126190123.pdf","MCRO_27-CR-23-1583_Order-Evaluation for Competency to Proceed (Rule 20.01)_2023-08-22_20251126190123.pdf")</f>
        <v>MCRO_27-CR-23-1583_Order-Evaluation for Competency to Proceed (Rule 20.01)_2023-08-22_20251126190123.pdf</v>
      </c>
      <c r="H396" s="1" t="s">
        <v>1362</v>
      </c>
      <c r="I396" s="1" t="n">
        <v>20251126190123</v>
      </c>
      <c r="J396" s="1" t="s">
        <v>3365</v>
      </c>
      <c r="K396" s="9" t="s">
        <v>2934</v>
      </c>
      <c r="L396" s="2" t="s">
        <v>2471</v>
      </c>
    </row>
    <row r="397" customFormat="false" ht="18.7" hidden="false" customHeight="true" outlineLevel="0" collapsed="false">
      <c r="A397" s="1" t="n">
        <v>396</v>
      </c>
      <c r="B397" s="7" t="str">
        <f aca="false">HYPERLINK("https://mncourtfraud.com/file/27-CR-23-1583.pdf","27-CR-23-1583")</f>
        <v>27-CR-23-1583</v>
      </c>
      <c r="C397" s="1" t="n">
        <v>1</v>
      </c>
      <c r="D397" s="2" t="s">
        <v>12</v>
      </c>
      <c r="E397" s="8" t="n">
        <v>45412</v>
      </c>
      <c r="F397" s="2" t="s">
        <v>24</v>
      </c>
      <c r="G397" s="7" t="str">
        <f aca="false">HYPERLINK("https://mncourtfraud.com/file/MCRO_27-CR-23-1583_Order for Conditional Release_2024-04-30_20251126190100.pdf","MCRO_27-CR-23-1583_Order for Conditional Release_2024-04-30_20251126190100.pdf")</f>
        <v>MCRO_27-CR-23-1583_Order for Conditional Release_2024-04-30_20251126190100.pdf</v>
      </c>
      <c r="H397" s="1" t="s">
        <v>1362</v>
      </c>
      <c r="I397" s="1" t="n">
        <v>20251126190100</v>
      </c>
      <c r="J397" s="1" t="s">
        <v>3366</v>
      </c>
      <c r="K397" s="9" t="s">
        <v>2933</v>
      </c>
      <c r="L397" s="2" t="s">
        <v>2400</v>
      </c>
    </row>
    <row r="398" customFormat="false" ht="18.7" hidden="false" customHeight="true" outlineLevel="0" collapsed="false">
      <c r="A398" s="1" t="n">
        <v>397</v>
      </c>
      <c r="B398" s="7" t="str">
        <f aca="false">HYPERLINK("https://mncourtfraud.com/file/27-CR-23-1583.pdf","27-CR-23-1583")</f>
        <v>27-CR-23-1583</v>
      </c>
      <c r="C398" s="1" t="n">
        <v>1</v>
      </c>
      <c r="D398" s="2" t="s">
        <v>12</v>
      </c>
      <c r="E398" s="8" t="n">
        <v>45412</v>
      </c>
      <c r="F398" s="2" t="s">
        <v>15</v>
      </c>
      <c r="G398" s="7" t="str">
        <f aca="false">HYPERLINK("https://mncourtfraud.com/file/MCRO_27-CR-23-1583_Order-Evaluation for Competency to Proceed (Rule 20.01)_2024-04-30_20251126190111.pdf","MCRO_27-CR-23-1583_Order-Evaluation for Competency to Proceed (Rule 20.01)_2024-04-30_20251126190111.pdf")</f>
        <v>MCRO_27-CR-23-1583_Order-Evaluation for Competency to Proceed (Rule 20.01)_2024-04-30_20251126190111.pdf</v>
      </c>
      <c r="H398" s="1" t="s">
        <v>1362</v>
      </c>
      <c r="I398" s="1" t="n">
        <v>20251126190111</v>
      </c>
      <c r="J398" s="1" t="s">
        <v>3367</v>
      </c>
      <c r="K398" s="9" t="s">
        <v>2935</v>
      </c>
      <c r="L398" s="2" t="s">
        <v>2709</v>
      </c>
    </row>
    <row r="399" customFormat="false" ht="18.7" hidden="false" customHeight="true" outlineLevel="0" collapsed="false">
      <c r="A399" s="1" t="n">
        <v>398</v>
      </c>
      <c r="B399" s="7" t="str">
        <f aca="false">HYPERLINK("https://mncourtfraud.com/file/27-CR-23-4900.pdf","27-CR-23-4900")</f>
        <v>27-CR-23-4900</v>
      </c>
      <c r="C399" s="1" t="n">
        <v>1</v>
      </c>
      <c r="D399" s="2" t="s">
        <v>12</v>
      </c>
      <c r="E399" s="8" t="n">
        <v>45048</v>
      </c>
      <c r="F399" s="2" t="s">
        <v>80</v>
      </c>
      <c r="G399" s="7" t="str">
        <f aca="false">HYPERLINK("https://mncourtfraud.com/file/MCRO_27-CR-23-4900_Finding of Incompetency and Order_2023-05-02_20251126190145.pdf","MCRO_27-CR-23-4900_Finding of Incompetency and Order_2023-05-02_20251126190145.pdf")</f>
        <v>MCRO_27-CR-23-4900_Finding of Incompetency and Order_2023-05-02_20251126190145.pdf</v>
      </c>
      <c r="H399" s="1" t="s">
        <v>1362</v>
      </c>
      <c r="I399" s="1" t="n">
        <v>20251126190145</v>
      </c>
      <c r="J399" s="1" t="s">
        <v>3368</v>
      </c>
      <c r="K399" s="9" t="s">
        <v>2936</v>
      </c>
      <c r="L399" s="2" t="s">
        <v>2937</v>
      </c>
    </row>
    <row r="400" customFormat="false" ht="18.7" hidden="false" customHeight="true" outlineLevel="0" collapsed="false">
      <c r="A400" s="1" t="n">
        <v>399</v>
      </c>
      <c r="B400" s="7" t="str">
        <f aca="false">HYPERLINK("https://mncourtfraud.com/file/27-CR-23-4900.pdf","27-CR-23-4900")</f>
        <v>27-CR-23-4900</v>
      </c>
      <c r="C400" s="1" t="n">
        <v>1</v>
      </c>
      <c r="D400" s="2" t="s">
        <v>12</v>
      </c>
      <c r="E400" s="8" t="n">
        <v>45093</v>
      </c>
      <c r="F400" s="2" t="s">
        <v>82</v>
      </c>
      <c r="G400" s="7" t="str">
        <f aca="false">HYPERLINK("https://mncourtfraud.com/file/MCRO_27-CR-23-4900_Notice of Case Reassignment_2023-06-16_20251126190156.pdf","MCRO_27-CR-23-4900_Notice of Case Reassignment_2023-06-16_20251126190156.pdf")</f>
        <v>MCRO_27-CR-23-4900_Notice of Case Reassignment_2023-06-16_20251126190156.pdf</v>
      </c>
      <c r="H400" s="1" t="s">
        <v>1362</v>
      </c>
      <c r="I400" s="1" t="n">
        <v>20251126190156</v>
      </c>
      <c r="J400" s="1" t="s">
        <v>3369</v>
      </c>
      <c r="K400" s="9" t="s">
        <v>2938</v>
      </c>
      <c r="L400" s="2" t="s">
        <v>2694</v>
      </c>
    </row>
    <row r="401" customFormat="false" ht="18.7" hidden="false" customHeight="true" outlineLevel="0" collapsed="false">
      <c r="A401" s="1" t="n">
        <v>400</v>
      </c>
      <c r="B401" s="7" t="str">
        <f aca="false">HYPERLINK("https://mncourtfraud.com/file/27-CR-23-4900.pdf","27-CR-23-4900")</f>
        <v>27-CR-23-4900</v>
      </c>
      <c r="C401" s="1" t="n">
        <v>1</v>
      </c>
      <c r="D401" s="2" t="s">
        <v>12</v>
      </c>
      <c r="E401" s="8" t="n">
        <v>45160</v>
      </c>
      <c r="F401" s="2" t="s">
        <v>15</v>
      </c>
      <c r="G401" s="7" t="str">
        <f aca="false">HYPERLINK("https://mncourtfraud.com/file/MCRO_27-CR-23-4900_Order-Evaluation for Competency to Proceed (Rule 20.01)_2023-08-22_20251126190217.pdf","MCRO_27-CR-23-4900_Order-Evaluation for Competency to Proceed (Rule 20.01)_2023-08-22_20251126190217.pdf")</f>
        <v>MCRO_27-CR-23-4900_Order-Evaluation for Competency to Proceed (Rule 20.01)_2023-08-22_20251126190217.pdf</v>
      </c>
      <c r="H401" s="1" t="s">
        <v>1362</v>
      </c>
      <c r="I401" s="1" t="n">
        <v>20251126190217</v>
      </c>
      <c r="J401" s="1" t="s">
        <v>3370</v>
      </c>
      <c r="K401" s="9" t="s">
        <v>2940</v>
      </c>
      <c r="L401" s="2" t="s">
        <v>2471</v>
      </c>
    </row>
    <row r="402" customFormat="false" ht="18.7" hidden="false" customHeight="true" outlineLevel="0" collapsed="false">
      <c r="A402" s="1" t="n">
        <v>401</v>
      </c>
      <c r="B402" s="7" t="str">
        <f aca="false">HYPERLINK("https://mncourtfraud.com/file/27-CR-23-4900.pdf","27-CR-23-4900")</f>
        <v>27-CR-23-4900</v>
      </c>
      <c r="C402" s="1" t="n">
        <v>1</v>
      </c>
      <c r="D402" s="2" t="s">
        <v>12</v>
      </c>
      <c r="E402" s="8" t="n">
        <v>45412</v>
      </c>
      <c r="F402" s="2" t="s">
        <v>24</v>
      </c>
      <c r="G402" s="7" t="str">
        <f aca="false">HYPERLINK("https://mncourtfraud.com/file/MCRO_27-CR-23-4900_Order for Conditional Release_2024-04-30_20251126190206.pdf","MCRO_27-CR-23-4900_Order for Conditional Release_2024-04-30_20251126190206.pdf")</f>
        <v>MCRO_27-CR-23-4900_Order for Conditional Release_2024-04-30_20251126190206.pdf</v>
      </c>
      <c r="H402" s="1" t="s">
        <v>1362</v>
      </c>
      <c r="I402" s="1" t="n">
        <v>20251126190206</v>
      </c>
      <c r="J402" s="1" t="s">
        <v>3371</v>
      </c>
      <c r="K402" s="9" t="s">
        <v>2939</v>
      </c>
      <c r="L402" s="2" t="s">
        <v>2524</v>
      </c>
    </row>
    <row r="403" customFormat="false" ht="18.7" hidden="false" customHeight="true" outlineLevel="0" collapsed="false">
      <c r="A403" s="1" t="n">
        <v>402</v>
      </c>
      <c r="B403" s="7" t="str">
        <f aca="false">HYPERLINK("https://mncourtfraud.com/file/27-CR-23-4900.pdf","27-CR-23-4900")</f>
        <v>27-CR-23-4900</v>
      </c>
      <c r="C403" s="1" t="n">
        <v>1</v>
      </c>
      <c r="D403" s="2" t="s">
        <v>12</v>
      </c>
      <c r="E403" s="8" t="n">
        <v>45412</v>
      </c>
      <c r="F403" s="2" t="s">
        <v>15</v>
      </c>
      <c r="G403" s="7" t="str">
        <f aca="false">HYPERLINK("https://mncourtfraud.com/file/MCRO_27-CR-23-4900_Order-Evaluation for Competency to Proceed (Rule 20.01)_2024-04-30_20251126190224.pdf","MCRO_27-CR-23-4900_Order-Evaluation for Competency to Proceed (Rule 20.01)_2024-04-30_20251126190224.pdf")</f>
        <v>MCRO_27-CR-23-4900_Order-Evaluation for Competency to Proceed (Rule 20.01)_2024-04-30_20251126190224.pdf</v>
      </c>
      <c r="H403" s="1" t="s">
        <v>1362</v>
      </c>
      <c r="I403" s="1" t="n">
        <v>20251126190224</v>
      </c>
      <c r="J403" s="1" t="s">
        <v>3372</v>
      </c>
      <c r="K403" s="9" t="s">
        <v>2941</v>
      </c>
      <c r="L403" s="2" t="s">
        <v>2415</v>
      </c>
    </row>
    <row r="404" customFormat="false" ht="18.7" hidden="false" customHeight="true" outlineLevel="0" collapsed="false">
      <c r="A404" s="1" t="n">
        <v>403</v>
      </c>
      <c r="B404" s="7" t="str">
        <f aca="false">HYPERLINK("https://mncourtfraud.com/file/27-CR-23-4904.pdf","27-CR-23-4904")</f>
        <v>27-CR-23-4904</v>
      </c>
      <c r="C404" s="1" t="n">
        <v>1</v>
      </c>
      <c r="D404" s="2" t="s">
        <v>12</v>
      </c>
      <c r="E404" s="8" t="n">
        <v>45048</v>
      </c>
      <c r="F404" s="2" t="s">
        <v>80</v>
      </c>
      <c r="G404" s="7" t="str">
        <f aca="false">HYPERLINK("https://mncourtfraud.com/file/MCRO_27-CR-23-4904_Finding of Incompetency and Order_2023-05-02_20251126190244.pdf","MCRO_27-CR-23-4904_Finding of Incompetency and Order_2023-05-02_20251126190244.pdf")</f>
        <v>MCRO_27-CR-23-4904_Finding of Incompetency and Order_2023-05-02_20251126190244.pdf</v>
      </c>
      <c r="H404" s="1" t="s">
        <v>1362</v>
      </c>
      <c r="I404" s="1" t="n">
        <v>20251126190244</v>
      </c>
      <c r="J404" s="1" t="s">
        <v>3373</v>
      </c>
      <c r="K404" s="9" t="s">
        <v>2942</v>
      </c>
      <c r="L404" s="2" t="s">
        <v>2819</v>
      </c>
    </row>
    <row r="405" customFormat="false" ht="18.7" hidden="false" customHeight="true" outlineLevel="0" collapsed="false">
      <c r="A405" s="1" t="n">
        <v>404</v>
      </c>
      <c r="B405" s="7" t="str">
        <f aca="false">HYPERLINK("https://mncourtfraud.com/file/27-CR-23-4904.pdf","27-CR-23-4904")</f>
        <v>27-CR-23-4904</v>
      </c>
      <c r="C405" s="1" t="n">
        <v>1</v>
      </c>
      <c r="D405" s="2" t="s">
        <v>12</v>
      </c>
      <c r="E405" s="8" t="n">
        <v>45093</v>
      </c>
      <c r="F405" s="2" t="s">
        <v>82</v>
      </c>
      <c r="G405" s="7" t="str">
        <f aca="false">HYPERLINK("https://mncourtfraud.com/file/MCRO_27-CR-23-4904_Notice of Case Reassignment_2023-06-16_20251126190256.pdf","MCRO_27-CR-23-4904_Notice of Case Reassignment_2023-06-16_20251126190256.pdf")</f>
        <v>MCRO_27-CR-23-4904_Notice of Case Reassignment_2023-06-16_20251126190256.pdf</v>
      </c>
      <c r="H405" s="1" t="s">
        <v>1362</v>
      </c>
      <c r="I405" s="1" t="n">
        <v>20251126190256</v>
      </c>
      <c r="J405" s="1" t="s">
        <v>3374</v>
      </c>
      <c r="K405" s="9" t="s">
        <v>2943</v>
      </c>
      <c r="L405" s="2" t="s">
        <v>2596</v>
      </c>
    </row>
    <row r="406" customFormat="false" ht="18.7" hidden="false" customHeight="true" outlineLevel="0" collapsed="false">
      <c r="A406" s="1" t="n">
        <v>405</v>
      </c>
      <c r="B406" s="7" t="str">
        <f aca="false">HYPERLINK("https://mncourtfraud.com/file/27-CR-23-4904.pdf","27-CR-23-4904")</f>
        <v>27-CR-23-4904</v>
      </c>
      <c r="C406" s="1" t="n">
        <v>1</v>
      </c>
      <c r="D406" s="2" t="s">
        <v>12</v>
      </c>
      <c r="E406" s="8" t="n">
        <v>45160</v>
      </c>
      <c r="F406" s="2" t="s">
        <v>15</v>
      </c>
      <c r="G406" s="7" t="str">
        <f aca="false">HYPERLINK("https://mncourtfraud.com/file/MCRO_27-CR-23-4904_Order-Evaluation for Competency to Proceed (Rule 20.01)_2023-08-22_20251126190323.pdf","MCRO_27-CR-23-4904_Order-Evaluation for Competency to Proceed (Rule 20.01)_2023-08-22_20251126190323.pdf")</f>
        <v>MCRO_27-CR-23-4904_Order-Evaluation for Competency to Proceed (Rule 20.01)_2023-08-22_20251126190323.pdf</v>
      </c>
      <c r="H406" s="1" t="s">
        <v>1362</v>
      </c>
      <c r="I406" s="1" t="n">
        <v>20251126190323</v>
      </c>
      <c r="J406" s="1" t="s">
        <v>3375</v>
      </c>
      <c r="K406" s="9" t="s">
        <v>2946</v>
      </c>
      <c r="L406" s="2" t="s">
        <v>2947</v>
      </c>
    </row>
    <row r="407" customFormat="false" ht="18.7" hidden="false" customHeight="true" outlineLevel="0" collapsed="false">
      <c r="A407" s="1" t="n">
        <v>406</v>
      </c>
      <c r="B407" s="7" t="str">
        <f aca="false">HYPERLINK("https://mncourtfraud.com/file/27-CR-23-4904.pdf","27-CR-23-4904")</f>
        <v>27-CR-23-4904</v>
      </c>
      <c r="C407" s="1" t="n">
        <v>1</v>
      </c>
      <c r="D407" s="2" t="s">
        <v>12</v>
      </c>
      <c r="E407" s="8" t="n">
        <v>45412</v>
      </c>
      <c r="F407" s="2" t="s">
        <v>24</v>
      </c>
      <c r="G407" s="7" t="str">
        <f aca="false">HYPERLINK("https://mncourtfraud.com/file/MCRO_27-CR-23-4904_Order for Conditional Release_2024-04-30_20251126190306.pdf","MCRO_27-CR-23-4904_Order for Conditional Release_2024-04-30_20251126190306.pdf")</f>
        <v>MCRO_27-CR-23-4904_Order for Conditional Release_2024-04-30_20251126190306.pdf</v>
      </c>
      <c r="H407" s="1" t="s">
        <v>1362</v>
      </c>
      <c r="I407" s="1" t="n">
        <v>20251126190306</v>
      </c>
      <c r="J407" s="1" t="s">
        <v>3376</v>
      </c>
      <c r="K407" s="9" t="s">
        <v>2944</v>
      </c>
      <c r="L407" s="2" t="s">
        <v>2945</v>
      </c>
    </row>
    <row r="408" customFormat="false" ht="18.7" hidden="false" customHeight="true" outlineLevel="0" collapsed="false">
      <c r="A408" s="1" t="n">
        <v>407</v>
      </c>
      <c r="B408" s="7" t="str">
        <f aca="false">HYPERLINK("https://mncourtfraud.com/file/27-CR-23-4904.pdf","27-CR-23-4904")</f>
        <v>27-CR-23-4904</v>
      </c>
      <c r="C408" s="1" t="n">
        <v>1</v>
      </c>
      <c r="D408" s="2" t="s">
        <v>12</v>
      </c>
      <c r="E408" s="8" t="n">
        <v>45412</v>
      </c>
      <c r="F408" s="2" t="s">
        <v>15</v>
      </c>
      <c r="G408" s="7" t="str">
        <f aca="false">HYPERLINK("https://mncourtfraud.com/file/MCRO_27-CR-23-4904_Order-Evaluation for Competency to Proceed (Rule 20.01)_2024-04-30_20251126190319.pdf","MCRO_27-CR-23-4904_Order-Evaluation for Competency to Proceed (Rule 20.01)_2024-04-30_20251126190319.pdf")</f>
        <v>MCRO_27-CR-23-4904_Order-Evaluation for Competency to Proceed (Rule 20.01)_2024-04-30_20251126190319.pdf</v>
      </c>
      <c r="H408" s="1" t="s">
        <v>1362</v>
      </c>
      <c r="I408" s="1" t="n">
        <v>20251126190319</v>
      </c>
      <c r="J408" s="1" t="s">
        <v>3377</v>
      </c>
      <c r="K408" s="9" t="s">
        <v>2948</v>
      </c>
      <c r="L408" s="2" t="s">
        <v>2709</v>
      </c>
    </row>
    <row r="409" customFormat="false" ht="18.7" hidden="false" customHeight="true" outlineLevel="0" collapsed="false">
      <c r="A409" s="1" t="n">
        <v>408</v>
      </c>
      <c r="B409" s="7" t="str">
        <f aca="false">HYPERLINK("https://mncourtfraud.com/file/27-CR-23-7087.pdf","27-CR-23-7087")</f>
        <v>27-CR-23-7087</v>
      </c>
      <c r="C409" s="1" t="n">
        <v>1</v>
      </c>
      <c r="D409" s="2" t="s">
        <v>12</v>
      </c>
      <c r="E409" s="8" t="n">
        <v>45048</v>
      </c>
      <c r="F409" s="2" t="s">
        <v>80</v>
      </c>
      <c r="G409" s="7" t="str">
        <f aca="false">HYPERLINK("https://mncourtfraud.com/file/MCRO_27-CR-23-7087_Finding of Incompetency and Order_2023-05-02_20251126190352.pdf","MCRO_27-CR-23-7087_Finding of Incompetency and Order_2023-05-02_20251126190352.pdf")</f>
        <v>MCRO_27-CR-23-7087_Finding of Incompetency and Order_2023-05-02_20251126190352.pdf</v>
      </c>
      <c r="H409" s="1" t="s">
        <v>1362</v>
      </c>
      <c r="I409" s="1" t="n">
        <v>20251126190352</v>
      </c>
      <c r="J409" s="1" t="s">
        <v>3378</v>
      </c>
      <c r="K409" s="9" t="s">
        <v>2949</v>
      </c>
      <c r="L409" s="2" t="s">
        <v>2419</v>
      </c>
    </row>
    <row r="410" customFormat="false" ht="18.7" hidden="false" customHeight="true" outlineLevel="0" collapsed="false">
      <c r="A410" s="1" t="n">
        <v>409</v>
      </c>
      <c r="B410" s="7" t="str">
        <f aca="false">HYPERLINK("https://mncourtfraud.com/file/27-CR-23-7087.pdf","27-CR-23-7087")</f>
        <v>27-CR-23-7087</v>
      </c>
      <c r="C410" s="1" t="n">
        <v>1</v>
      </c>
      <c r="D410" s="2" t="s">
        <v>12</v>
      </c>
      <c r="E410" s="8" t="n">
        <v>45160</v>
      </c>
      <c r="F410" s="2" t="s">
        <v>15</v>
      </c>
      <c r="G410" s="7" t="str">
        <f aca="false">HYPERLINK("https://mncourtfraud.com/file/MCRO_27-CR-23-7087_Order-Evaluation for Competency to Proceed (Rule 20.01)_2023-08-22_20251126190421.pdf","MCRO_27-CR-23-7087_Order-Evaluation for Competency to Proceed (Rule 20.01)_2023-08-22_20251126190421.pdf")</f>
        <v>MCRO_27-CR-23-7087_Order-Evaluation for Competency to Proceed (Rule 20.01)_2023-08-22_20251126190421.pdf</v>
      </c>
      <c r="H410" s="1" t="s">
        <v>1362</v>
      </c>
      <c r="I410" s="1" t="n">
        <v>20251126190421</v>
      </c>
      <c r="J410" s="1" t="s">
        <v>3379</v>
      </c>
      <c r="K410" s="9" t="s">
        <v>2951</v>
      </c>
      <c r="L410" s="2" t="s">
        <v>2471</v>
      </c>
    </row>
    <row r="411" customFormat="false" ht="18.7" hidden="false" customHeight="true" outlineLevel="0" collapsed="false">
      <c r="A411" s="1" t="n">
        <v>410</v>
      </c>
      <c r="B411" s="7" t="str">
        <f aca="false">HYPERLINK("https://mncourtfraud.com/file/27-CR-23-7087.pdf","27-CR-23-7087")</f>
        <v>27-CR-23-7087</v>
      </c>
      <c r="C411" s="1" t="n">
        <v>1</v>
      </c>
      <c r="D411" s="2" t="s">
        <v>12</v>
      </c>
      <c r="E411" s="8" t="n">
        <v>45412</v>
      </c>
      <c r="F411" s="2" t="s">
        <v>24</v>
      </c>
      <c r="G411" s="7" t="str">
        <f aca="false">HYPERLINK("https://mncourtfraud.com/file/MCRO_27-CR-23-7087_Order for Conditional Release_2024-04-30_20251126190403.pdf","MCRO_27-CR-23-7087_Order for Conditional Release_2024-04-30_20251126190403.pdf")</f>
        <v>MCRO_27-CR-23-7087_Order for Conditional Release_2024-04-30_20251126190403.pdf</v>
      </c>
      <c r="H411" s="1" t="s">
        <v>1362</v>
      </c>
      <c r="I411" s="1" t="n">
        <v>20251126190403</v>
      </c>
      <c r="J411" s="1" t="s">
        <v>3380</v>
      </c>
      <c r="K411" s="9" t="s">
        <v>2950</v>
      </c>
      <c r="L411" s="2" t="s">
        <v>2945</v>
      </c>
    </row>
    <row r="412" customFormat="false" ht="18.7" hidden="false" customHeight="true" outlineLevel="0" collapsed="false">
      <c r="A412" s="1" t="n">
        <v>411</v>
      </c>
      <c r="B412" s="7" t="str">
        <f aca="false">HYPERLINK("https://mncourtfraud.com/file/27-CR-23-7087.pdf","27-CR-23-7087")</f>
        <v>27-CR-23-7087</v>
      </c>
      <c r="C412" s="1" t="n">
        <v>1</v>
      </c>
      <c r="D412" s="2" t="s">
        <v>12</v>
      </c>
      <c r="E412" s="8" t="n">
        <v>45412</v>
      </c>
      <c r="F412" s="2" t="s">
        <v>15</v>
      </c>
      <c r="G412" s="7" t="str">
        <f aca="false">HYPERLINK("https://mncourtfraud.com/file/MCRO_27-CR-23-7087_Order-Evaluation for Competency to Proceed (Rule 20.01)_2024-04-30_20251126190428.pdf","MCRO_27-CR-23-7087_Order-Evaluation for Competency to Proceed (Rule 20.01)_2024-04-30_20251126190428.pdf")</f>
        <v>MCRO_27-CR-23-7087_Order-Evaluation for Competency to Proceed (Rule 20.01)_2024-04-30_20251126190428.pdf</v>
      </c>
      <c r="H412" s="1" t="s">
        <v>1362</v>
      </c>
      <c r="I412" s="1" t="n">
        <v>20251126190428</v>
      </c>
      <c r="J412" s="1" t="s">
        <v>3381</v>
      </c>
      <c r="K412" s="9" t="s">
        <v>2952</v>
      </c>
      <c r="L412" s="2" t="s">
        <v>2953</v>
      </c>
    </row>
    <row r="413" customFormat="false" ht="18.7" hidden="false" customHeight="true" outlineLevel="0" collapsed="false">
      <c r="A413" s="1" t="n">
        <v>412</v>
      </c>
      <c r="B413" s="7" t="str">
        <f aca="false">HYPERLINK("https://mncourtfraud.com/file/27-CR-23-7088.pdf","27-CR-23-7088")</f>
        <v>27-CR-23-7088</v>
      </c>
      <c r="C413" s="1" t="n">
        <v>1</v>
      </c>
      <c r="D413" s="2" t="s">
        <v>12</v>
      </c>
      <c r="E413" s="8" t="n">
        <v>45048</v>
      </c>
      <c r="F413" s="2" t="s">
        <v>80</v>
      </c>
      <c r="G413" s="7" t="str">
        <f aca="false">HYPERLINK("https://mncourtfraud.com/file/MCRO_27-CR-23-7088_Finding of Incompetency and Order_2023-05-02_20251126190457.pdf","MCRO_27-CR-23-7088_Finding of Incompetency and Order_2023-05-02_20251126190457.pdf")</f>
        <v>MCRO_27-CR-23-7088_Finding of Incompetency and Order_2023-05-02_20251126190457.pdf</v>
      </c>
      <c r="H413" s="1" t="s">
        <v>1362</v>
      </c>
      <c r="I413" s="1" t="n">
        <v>20251126190457</v>
      </c>
      <c r="J413" s="1" t="s">
        <v>3382</v>
      </c>
      <c r="K413" s="9" t="s">
        <v>2954</v>
      </c>
      <c r="L413" s="2" t="s">
        <v>2955</v>
      </c>
    </row>
    <row r="414" customFormat="false" ht="18.7" hidden="false" customHeight="true" outlineLevel="0" collapsed="false">
      <c r="A414" s="1" t="n">
        <v>413</v>
      </c>
      <c r="B414" s="7" t="str">
        <f aca="false">HYPERLINK("https://mncourtfraud.com/file/27-CR-23-7088.pdf","27-CR-23-7088")</f>
        <v>27-CR-23-7088</v>
      </c>
      <c r="C414" s="1" t="n">
        <v>1</v>
      </c>
      <c r="D414" s="2" t="s">
        <v>12</v>
      </c>
      <c r="E414" s="8" t="n">
        <v>45160</v>
      </c>
      <c r="F414" s="2" t="s">
        <v>15</v>
      </c>
      <c r="G414" s="7" t="str">
        <f aca="false">HYPERLINK("https://mncourtfraud.com/file/MCRO_27-CR-23-7088_Order-Evaluation for Competency to Proceed (Rule 20.01)_2023-08-22_20251126190533.pdf","MCRO_27-CR-23-7088_Order-Evaluation for Competency to Proceed (Rule 20.01)_2023-08-22_20251126190533.pdf")</f>
        <v>MCRO_27-CR-23-7088_Order-Evaluation for Competency to Proceed (Rule 20.01)_2023-08-22_20251126190533.pdf</v>
      </c>
      <c r="H414" s="1" t="s">
        <v>1362</v>
      </c>
      <c r="I414" s="1" t="n">
        <v>20251126190533</v>
      </c>
      <c r="J414" s="1" t="s">
        <v>3383</v>
      </c>
      <c r="K414" s="9" t="s">
        <v>2957</v>
      </c>
      <c r="L414" s="2" t="s">
        <v>2947</v>
      </c>
    </row>
    <row r="415" customFormat="false" ht="18.7" hidden="false" customHeight="true" outlineLevel="0" collapsed="false">
      <c r="A415" s="1" t="n">
        <v>414</v>
      </c>
      <c r="B415" s="7" t="str">
        <f aca="false">HYPERLINK("https://mncourtfraud.com/file/27-CR-23-7088.pdf","27-CR-23-7088")</f>
        <v>27-CR-23-7088</v>
      </c>
      <c r="C415" s="1" t="n">
        <v>1</v>
      </c>
      <c r="D415" s="2" t="s">
        <v>12</v>
      </c>
      <c r="E415" s="8" t="n">
        <v>45412</v>
      </c>
      <c r="F415" s="2" t="s">
        <v>24</v>
      </c>
      <c r="G415" s="7" t="str">
        <f aca="false">HYPERLINK("https://mncourtfraud.com/file/MCRO_27-CR-23-7088_Order for Conditional Release_2024-04-30_20251126190516.pdf","MCRO_27-CR-23-7088_Order for Conditional Release_2024-04-30_20251126190516.pdf")</f>
        <v>MCRO_27-CR-23-7088_Order for Conditional Release_2024-04-30_20251126190516.pdf</v>
      </c>
      <c r="H415" s="1" t="s">
        <v>1362</v>
      </c>
      <c r="I415" s="1" t="n">
        <v>20251126190516</v>
      </c>
      <c r="J415" s="1" t="s">
        <v>3384</v>
      </c>
      <c r="K415" s="9" t="s">
        <v>2956</v>
      </c>
      <c r="L415" s="2" t="s">
        <v>2400</v>
      </c>
    </row>
    <row r="416" customFormat="false" ht="18.7" hidden="false" customHeight="true" outlineLevel="0" collapsed="false">
      <c r="A416" s="1" t="n">
        <v>415</v>
      </c>
      <c r="B416" s="7" t="str">
        <f aca="false">HYPERLINK("https://mncourtfraud.com/file/27-CR-23-7088.pdf","27-CR-23-7088")</f>
        <v>27-CR-23-7088</v>
      </c>
      <c r="C416" s="1" t="n">
        <v>1</v>
      </c>
      <c r="D416" s="2" t="s">
        <v>12</v>
      </c>
      <c r="E416" s="8" t="n">
        <v>45412</v>
      </c>
      <c r="F416" s="2" t="s">
        <v>15</v>
      </c>
      <c r="G416" s="7" t="str">
        <f aca="false">HYPERLINK("https://mncourtfraud.com/file/MCRO_27-CR-23-7088_Order-Evaluation for Competency to Proceed (Rule 20.01)_2024-04-30_20251126190522.pdf","MCRO_27-CR-23-7088_Order-Evaluation for Competency to Proceed (Rule 20.01)_2024-04-30_20251126190522.pdf")</f>
        <v>MCRO_27-CR-23-7088_Order-Evaluation for Competency to Proceed (Rule 20.01)_2024-04-30_20251126190522.pdf</v>
      </c>
      <c r="H416" s="1" t="s">
        <v>1362</v>
      </c>
      <c r="I416" s="1" t="n">
        <v>20251126190522</v>
      </c>
      <c r="J416" s="1" t="s">
        <v>3385</v>
      </c>
      <c r="K416" s="9" t="s">
        <v>2958</v>
      </c>
      <c r="L416" s="2" t="s">
        <v>2587</v>
      </c>
    </row>
    <row r="417" customFormat="false" ht="18.7" hidden="false" customHeight="true" outlineLevel="0" collapsed="false">
      <c r="A417" s="1" t="n">
        <v>416</v>
      </c>
      <c r="B417" s="7" t="str">
        <f aca="false">HYPERLINK("https://mncourtfraud.com/file/27-CR-23-7089.pdf","27-CR-23-7089")</f>
        <v>27-CR-23-7089</v>
      </c>
      <c r="C417" s="1" t="n">
        <v>1</v>
      </c>
      <c r="D417" s="2" t="s">
        <v>12</v>
      </c>
      <c r="E417" s="8" t="n">
        <v>45048</v>
      </c>
      <c r="F417" s="2" t="s">
        <v>80</v>
      </c>
      <c r="G417" s="7" t="str">
        <f aca="false">HYPERLINK("https://mncourtfraud.com/file/MCRO_27-CR-23-7089_Finding of Incompetency and Order_2023-05-02_20251126190557.pdf","MCRO_27-CR-23-7089_Finding of Incompetency and Order_2023-05-02_20251126190557.pdf")</f>
        <v>MCRO_27-CR-23-7089_Finding of Incompetency and Order_2023-05-02_20251126190557.pdf</v>
      </c>
      <c r="H417" s="1" t="s">
        <v>1362</v>
      </c>
      <c r="I417" s="1" t="n">
        <v>20251126190557</v>
      </c>
      <c r="J417" s="1" t="s">
        <v>3386</v>
      </c>
      <c r="K417" s="9" t="s">
        <v>2959</v>
      </c>
      <c r="L417" s="2" t="s">
        <v>2446</v>
      </c>
    </row>
    <row r="418" customFormat="false" ht="18.7" hidden="false" customHeight="true" outlineLevel="0" collapsed="false">
      <c r="A418" s="1" t="n">
        <v>417</v>
      </c>
      <c r="B418" s="7" t="str">
        <f aca="false">HYPERLINK("https://mncourtfraud.com/file/27-CR-23-7089.pdf","27-CR-23-7089")</f>
        <v>27-CR-23-7089</v>
      </c>
      <c r="C418" s="1" t="n">
        <v>1</v>
      </c>
      <c r="D418" s="2" t="s">
        <v>12</v>
      </c>
      <c r="E418" s="8" t="n">
        <v>45160</v>
      </c>
      <c r="F418" s="2" t="s">
        <v>15</v>
      </c>
      <c r="G418" s="7" t="str">
        <f aca="false">HYPERLINK("https://mncourtfraud.com/file/MCRO_27-CR-23-7089_Order-Evaluation for Competency to Proceed (Rule 20.01)_2023-08-22_20251126190622.pdf","MCRO_27-CR-23-7089_Order-Evaluation for Competency to Proceed (Rule 20.01)_2023-08-22_20251126190622.pdf")</f>
        <v>MCRO_27-CR-23-7089_Order-Evaluation for Competency to Proceed (Rule 20.01)_2023-08-22_20251126190622.pdf</v>
      </c>
      <c r="H418" s="1" t="s">
        <v>1362</v>
      </c>
      <c r="I418" s="1" t="n">
        <v>20251126190622</v>
      </c>
      <c r="J418" s="1" t="s">
        <v>3387</v>
      </c>
      <c r="K418" s="9" t="s">
        <v>2961</v>
      </c>
      <c r="L418" s="2" t="s">
        <v>2962</v>
      </c>
    </row>
    <row r="419" customFormat="false" ht="18.7" hidden="false" customHeight="true" outlineLevel="0" collapsed="false">
      <c r="A419" s="1" t="n">
        <v>418</v>
      </c>
      <c r="B419" s="7" t="str">
        <f aca="false">HYPERLINK("https://mncourtfraud.com/file/27-CR-23-7089.pdf","27-CR-23-7089")</f>
        <v>27-CR-23-7089</v>
      </c>
      <c r="C419" s="1" t="n">
        <v>1</v>
      </c>
      <c r="D419" s="2" t="s">
        <v>12</v>
      </c>
      <c r="E419" s="8" t="n">
        <v>45412</v>
      </c>
      <c r="F419" s="2" t="s">
        <v>24</v>
      </c>
      <c r="G419" s="7" t="str">
        <f aca="false">HYPERLINK("https://mncourtfraud.com/file/MCRO_27-CR-23-7089_Order for Conditional Release_2024-04-30_20251126190607.pdf","MCRO_27-CR-23-7089_Order for Conditional Release_2024-04-30_20251126190607.pdf")</f>
        <v>MCRO_27-CR-23-7089_Order for Conditional Release_2024-04-30_20251126190607.pdf</v>
      </c>
      <c r="H419" s="1" t="s">
        <v>1362</v>
      </c>
      <c r="I419" s="1" t="n">
        <v>20251126190607</v>
      </c>
      <c r="J419" s="1" t="s">
        <v>3388</v>
      </c>
      <c r="K419" s="9" t="s">
        <v>2960</v>
      </c>
      <c r="L419" s="2" t="s">
        <v>2400</v>
      </c>
    </row>
    <row r="420" customFormat="false" ht="18.7" hidden="false" customHeight="true" outlineLevel="0" collapsed="false">
      <c r="A420" s="1" t="n">
        <v>419</v>
      </c>
      <c r="B420" s="7" t="str">
        <f aca="false">HYPERLINK("https://mncourtfraud.com/file/27-CR-23-7089.pdf","27-CR-23-7089")</f>
        <v>27-CR-23-7089</v>
      </c>
      <c r="C420" s="1" t="n">
        <v>1</v>
      </c>
      <c r="D420" s="2" t="s">
        <v>12</v>
      </c>
      <c r="E420" s="8" t="n">
        <v>45412</v>
      </c>
      <c r="F420" s="2" t="s">
        <v>15</v>
      </c>
      <c r="G420" s="7" t="str">
        <f aca="false">HYPERLINK("https://mncourtfraud.com/file/MCRO_27-CR-23-7089_Order-Evaluation for Competency to Proceed (Rule 20.01)_2024-04-30_20251126190615.pdf","MCRO_27-CR-23-7089_Order-Evaluation for Competency to Proceed (Rule 20.01)_2024-04-30_20251126190615.pdf")</f>
        <v>MCRO_27-CR-23-7089_Order-Evaluation for Competency to Proceed (Rule 20.01)_2024-04-30_20251126190615.pdf</v>
      </c>
      <c r="H420" s="1" t="s">
        <v>1362</v>
      </c>
      <c r="I420" s="1" t="n">
        <v>20251126190615</v>
      </c>
      <c r="J420" s="1" t="s">
        <v>3389</v>
      </c>
      <c r="K420" s="9" t="s">
        <v>2963</v>
      </c>
      <c r="L420" s="2" t="s">
        <v>2587</v>
      </c>
    </row>
    <row r="421" customFormat="false" ht="18.7" hidden="false" customHeight="true" outlineLevel="0" collapsed="false">
      <c r="A421" s="1" t="n">
        <v>420</v>
      </c>
      <c r="B421" s="7" t="str">
        <f aca="false">HYPERLINK("https://mncourtfraud.com/file/27-CR-23-7275.pdf","27-CR-23-7275")</f>
        <v>27-CR-23-7275</v>
      </c>
      <c r="C421" s="1" t="n">
        <v>1</v>
      </c>
      <c r="D421" s="2" t="s">
        <v>12</v>
      </c>
      <c r="E421" s="8" t="n">
        <v>45048</v>
      </c>
      <c r="F421" s="2" t="s">
        <v>80</v>
      </c>
      <c r="G421" s="7" t="str">
        <f aca="false">HYPERLINK("https://mncourtfraud.com/file/MCRO_27-CR-23-7275_Finding of Incompetency and Order_2023-05-02_20251126190643.pdf","MCRO_27-CR-23-7275_Finding of Incompetency and Order_2023-05-02_20251126190643.pdf")</f>
        <v>MCRO_27-CR-23-7275_Finding of Incompetency and Order_2023-05-02_20251126190643.pdf</v>
      </c>
      <c r="H421" s="1" t="s">
        <v>1362</v>
      </c>
      <c r="I421" s="1" t="n">
        <v>20251126190643</v>
      </c>
      <c r="J421" s="1" t="s">
        <v>3390</v>
      </c>
      <c r="K421" s="9" t="s">
        <v>2964</v>
      </c>
      <c r="L421" s="2" t="s">
        <v>2965</v>
      </c>
    </row>
    <row r="422" customFormat="false" ht="18.7" hidden="false" customHeight="true" outlineLevel="0" collapsed="false">
      <c r="A422" s="1" t="n">
        <v>421</v>
      </c>
      <c r="B422" s="7" t="str">
        <f aca="false">HYPERLINK("https://mncourtfraud.com/file/27-CR-23-7275.pdf","27-CR-23-7275")</f>
        <v>27-CR-23-7275</v>
      </c>
      <c r="C422" s="1" t="n">
        <v>1</v>
      </c>
      <c r="D422" s="2" t="s">
        <v>12</v>
      </c>
      <c r="E422" s="8" t="n">
        <v>45160</v>
      </c>
      <c r="F422" s="2" t="s">
        <v>15</v>
      </c>
      <c r="G422" s="7" t="str">
        <f aca="false">HYPERLINK("https://mncourtfraud.com/file/MCRO_27-CR-23-7275_Order-Evaluation for Competency to Proceed (Rule 20.01)_2023-08-22_20251126190704.pdf","MCRO_27-CR-23-7275_Order-Evaluation for Competency to Proceed (Rule 20.01)_2023-08-22_20251126190704.pdf")</f>
        <v>MCRO_27-CR-23-7275_Order-Evaluation for Competency to Proceed (Rule 20.01)_2023-08-22_20251126190704.pdf</v>
      </c>
      <c r="H422" s="1" t="s">
        <v>1362</v>
      </c>
      <c r="I422" s="1" t="n">
        <v>20251126190704</v>
      </c>
      <c r="J422" s="1" t="s">
        <v>3391</v>
      </c>
      <c r="K422" s="9" t="s">
        <v>2967</v>
      </c>
      <c r="L422" s="2" t="s">
        <v>2707</v>
      </c>
    </row>
    <row r="423" customFormat="false" ht="18.7" hidden="false" customHeight="true" outlineLevel="0" collapsed="false">
      <c r="A423" s="1" t="n">
        <v>422</v>
      </c>
      <c r="B423" s="7" t="str">
        <f aca="false">HYPERLINK("https://mncourtfraud.com/file/27-CR-23-7275.pdf","27-CR-23-7275")</f>
        <v>27-CR-23-7275</v>
      </c>
      <c r="C423" s="1" t="n">
        <v>1</v>
      </c>
      <c r="D423" s="2" t="s">
        <v>12</v>
      </c>
      <c r="E423" s="8" t="n">
        <v>45412</v>
      </c>
      <c r="F423" s="2" t="s">
        <v>24</v>
      </c>
      <c r="G423" s="7" t="str">
        <f aca="false">HYPERLINK("https://mncourtfraud.com/file/MCRO_27-CR-23-7275_Order for Conditional Release_2024-04-30_20251126190652.pdf","MCRO_27-CR-23-7275_Order for Conditional Release_2024-04-30_20251126190652.pdf")</f>
        <v>MCRO_27-CR-23-7275_Order for Conditional Release_2024-04-30_20251126190652.pdf</v>
      </c>
      <c r="H423" s="1" t="s">
        <v>1362</v>
      </c>
      <c r="I423" s="1" t="n">
        <v>20251126190652</v>
      </c>
      <c r="J423" s="1" t="s">
        <v>3392</v>
      </c>
      <c r="K423" s="9" t="s">
        <v>2966</v>
      </c>
      <c r="L423" s="2" t="s">
        <v>2400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U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9.72"/>
    <col collapsed="false" customWidth="true" hidden="false" outlineLevel="0" max="2" min="2" style="2" width="22.36"/>
    <col collapsed="false" customWidth="true" hidden="false" outlineLevel="0" max="3" min="3" style="1" width="14.31"/>
    <col collapsed="false" customWidth="true" hidden="false" outlineLevel="0" max="4" min="4" style="2" width="27.23"/>
    <col collapsed="false" customWidth="true" hidden="false" outlineLevel="0" max="5" min="5" style="1" width="18.76"/>
    <col collapsed="false" customWidth="true" hidden="false" outlineLevel="0" max="6" min="6" style="2" width="69.88"/>
    <col collapsed="false" customWidth="true" hidden="false" outlineLevel="0" max="7" min="7" style="2" width="124.35"/>
    <col collapsed="false" customWidth="true" hidden="false" outlineLevel="0" max="8" min="8" style="2" width="84.23"/>
    <col collapsed="false" customWidth="true" hidden="false" outlineLevel="0" max="9" min="9" style="1" width="17.09"/>
    <col collapsed="false" customWidth="true" hidden="false" outlineLevel="0" max="10" min="10" style="2" width="46.27"/>
    <col collapsed="false" customWidth="true" hidden="false" outlineLevel="0" max="11" min="11" style="2" width="57.8"/>
    <col collapsed="false" customWidth="true" hidden="false" outlineLevel="0" max="12" min="12" style="2" width="31.68"/>
    <col collapsed="false" customWidth="true" hidden="false" outlineLevel="0" max="13" min="13" style="2" width="24.45"/>
    <col collapsed="false" customWidth="true" hidden="false" outlineLevel="0" max="14" min="14" style="2" width="26.81"/>
    <col collapsed="false" customWidth="true" hidden="false" outlineLevel="0" max="15" min="15" style="2" width="28.2"/>
    <col collapsed="false" customWidth="true" hidden="false" outlineLevel="0" max="16" min="16" style="2" width="25.14"/>
    <col collapsed="false" customWidth="true" hidden="false" outlineLevel="0" max="17" min="17" style="2" width="17.22"/>
    <col collapsed="false" customWidth="true" hidden="false" outlineLevel="0" max="18" min="18" style="2" width="18.89"/>
    <col collapsed="false" customWidth="true" hidden="false" outlineLevel="0" max="19" min="19" style="2" width="24.31"/>
    <col collapsed="false" customWidth="true" hidden="false" outlineLevel="0" max="20" min="20" style="2" width="25.14"/>
    <col collapsed="false" customWidth="false" hidden="false" outlineLevel="0" max="1023" min="22" style="2" width="11.52"/>
  </cols>
  <sheetData>
    <row r="1" customFormat="false" ht="23.05" hidden="false" customHeight="true" outlineLevel="0" collapsed="false">
      <c r="A1" s="3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3393</v>
      </c>
      <c r="I1" s="3" t="s">
        <v>3394</v>
      </c>
      <c r="J1" s="3" t="s">
        <v>3395</v>
      </c>
      <c r="K1" s="4" t="s">
        <v>3396</v>
      </c>
      <c r="L1" s="4" t="s">
        <v>3397</v>
      </c>
      <c r="M1" s="4" t="s">
        <v>3398</v>
      </c>
      <c r="N1" s="4" t="s">
        <v>3399</v>
      </c>
      <c r="O1" s="4" t="s">
        <v>3400</v>
      </c>
      <c r="P1" s="4" t="s">
        <v>3401</v>
      </c>
      <c r="Q1" s="4" t="s">
        <v>3402</v>
      </c>
      <c r="R1" s="4" t="s">
        <v>3403</v>
      </c>
      <c r="S1" s="4" t="s">
        <v>3404</v>
      </c>
      <c r="T1" s="4" t="s">
        <v>3405</v>
      </c>
      <c r="U1" s="2"/>
    </row>
    <row r="2" customFormat="false" ht="18.7" hidden="false" customHeight="true" outlineLevel="0" collapsed="false">
      <c r="A2" s="1" t="n">
        <v>1</v>
      </c>
      <c r="B2" s="7" t="str">
        <f aca="false">HYPERLINK("https://mncourtfraud.com/file/27-CR-19-26893.pdf","27-CR-19-26893")</f>
        <v>27-CR-19-26893</v>
      </c>
      <c r="C2" s="1" t="n">
        <v>1</v>
      </c>
      <c r="D2" s="2" t="s">
        <v>12</v>
      </c>
      <c r="E2" s="8" t="n">
        <v>43844</v>
      </c>
      <c r="F2" s="2" t="s">
        <v>13</v>
      </c>
      <c r="G2" s="7" t="str">
        <f aca="false">HYPERLINK("https://mncourtfraud.com/file/MCRO_27-CR-19-26893_Find of Fact-Order, Pet Commitment-Dfd Found Incompetent_2020-01-14_20251126174653.pdf","MCRO_27-CR-19-26893_Find of Fact-Order, Pet Commitment-Dfd Found Incompetent_2020-01-14_20251126174653.pdf")</f>
        <v>MCRO_27-CR-19-26893_Find of Fact-Order, Pet Commitment-Dfd Found Incompetent_2020-01-14_20251126174653.pdf</v>
      </c>
      <c r="H2" s="7" t="str">
        <f aca="false">HYPERLINK("https://mncourtfraud.com/file/350ddf62c48ced6e54e313834eab69eb8202f31b56b93be3090612a901b85e01.png","350ddf62c48ced6e54e313834eab69eb8202f31b56b93be3090612a901b85e01")</f>
        <v>350ddf62c48ced6e54e313834eab69eb8202f31b56b93be3090612a901b85e01</v>
      </c>
      <c r="I2" s="1" t="s">
        <v>3406</v>
      </c>
      <c r="K2" s="2" t="s">
        <v>3407</v>
      </c>
      <c r="L2" s="2" t="s">
        <v>3408</v>
      </c>
      <c r="M2" s="2" t="n">
        <v>12893</v>
      </c>
      <c r="O2" s="2" t="s">
        <v>3409</v>
      </c>
      <c r="P2" s="2" t="s">
        <v>3410</v>
      </c>
      <c r="S2" s="2" t="n">
        <v>782</v>
      </c>
      <c r="T2" s="2" t="n">
        <v>300</v>
      </c>
    </row>
    <row r="3" customFormat="false" ht="18.7" hidden="false" customHeight="true" outlineLevel="0" collapsed="false">
      <c r="A3" s="1" t="n">
        <v>2</v>
      </c>
      <c r="B3" s="7" t="str">
        <f aca="false">HYPERLINK("https://mncourtfraud.com/file/27-CR-19-26893.pdf","27-CR-19-26893")</f>
        <v>27-CR-19-26893</v>
      </c>
      <c r="C3" s="1" t="n">
        <v>1</v>
      </c>
      <c r="D3" s="2" t="s">
        <v>12</v>
      </c>
      <c r="E3" s="8" t="n">
        <v>43844</v>
      </c>
      <c r="F3" s="2" t="s">
        <v>13</v>
      </c>
      <c r="G3" s="7" t="str">
        <f aca="false">HYPERLINK("https://mncourtfraud.com/file/MCRO_27-CR-19-26893_Find of Fact-Order, Pet Commitment-Dfd Found Incompetent_2020-01-14_20251126174653.pdf","MCRO_27-CR-19-26893_Find of Fact-Order, Pet Commitment-Dfd Found Incompetent_2020-01-14_20251126174653.pdf")</f>
        <v>MCRO_27-CR-19-26893_Find of Fact-Order, Pet Commitment-Dfd Found Incompetent_2020-01-14_20251126174653.pdf</v>
      </c>
      <c r="H3" s="7" t="str">
        <f aca="false">HYPERLINK("https://mncourtfraud.com/file/75e21fa9a9bdc384542bd50e00c9b7f4860cc0b38dfe58cd2d38855996a77889.png","75e21fa9a9bdc384542bd50e00c9b7f4860cc0b38dfe58cd2d38855996a77889")</f>
        <v>75e21fa9a9bdc384542bd50e00c9b7f4860cc0b38dfe58cd2d38855996a77889</v>
      </c>
      <c r="I3" s="1" t="s">
        <v>3406</v>
      </c>
      <c r="K3" s="2" t="s">
        <v>3411</v>
      </c>
      <c r="L3" s="2" t="s">
        <v>3412</v>
      </c>
      <c r="M3" s="2" t="n">
        <v>1341</v>
      </c>
      <c r="S3" s="2" t="n">
        <v>782</v>
      </c>
      <c r="T3" s="2" t="n">
        <v>300</v>
      </c>
    </row>
    <row r="4" customFormat="false" ht="18.7" hidden="false" customHeight="true" outlineLevel="0" collapsed="false">
      <c r="A4" s="1" t="n">
        <v>3</v>
      </c>
      <c r="B4" s="7" t="str">
        <f aca="false">HYPERLINK("https://mncourtfraud.com/file/27-CR-19-26893.pdf","27-CR-19-26893")</f>
        <v>27-CR-19-26893</v>
      </c>
      <c r="C4" s="1" t="n">
        <v>1</v>
      </c>
      <c r="D4" s="2" t="s">
        <v>12</v>
      </c>
      <c r="E4" s="8" t="n">
        <v>43844</v>
      </c>
      <c r="F4" s="2" t="s">
        <v>13</v>
      </c>
      <c r="G4" s="7" t="str">
        <f aca="false">HYPERLINK("https://mncourtfraud.com/file/MCRO_27-CR-19-26893_Find of Fact-Order, Pet Commitment-Dfd Found Incompetent_2020-01-14_20251126174653.pdf","MCRO_27-CR-19-26893_Find of Fact-Order, Pet Commitment-Dfd Found Incompetent_2020-01-14_20251126174653.pdf")</f>
        <v>MCRO_27-CR-19-26893_Find of Fact-Order, Pet Commitment-Dfd Found Incompetent_2020-01-14_20251126174653.pdf</v>
      </c>
      <c r="H4" s="7" t="str">
        <f aca="false">HYPERLINK("https://mncourtfraud.com/file/95e6865b2beecf994b6b3b3be604e2d4cce8ab9b21659c9bcdb841e9cac71015.ttf","95e6865b2beecf994b6b3b3be604e2d4cce8ab9b21659c9bcdb841e9cac71015")</f>
        <v>95e6865b2beecf994b6b3b3be604e2d4cce8ab9b21659c9bcdb841e9cac71015</v>
      </c>
      <c r="I4" s="1" t="s">
        <v>3413</v>
      </c>
      <c r="J4" s="2" t="s">
        <v>3414</v>
      </c>
      <c r="K4" s="2" t="s">
        <v>3414</v>
      </c>
      <c r="L4" s="2" t="s">
        <v>3415</v>
      </c>
      <c r="M4" s="2" t="n">
        <v>64488</v>
      </c>
    </row>
    <row r="5" customFormat="false" ht="18.7" hidden="false" customHeight="true" outlineLevel="0" collapsed="false">
      <c r="A5" s="1" t="n">
        <v>4</v>
      </c>
      <c r="B5" s="7" t="str">
        <f aca="false">HYPERLINK("https://mncourtfraud.com/file/27-CR-19-26893.pdf","27-CR-19-26893")</f>
        <v>27-CR-19-26893</v>
      </c>
      <c r="C5" s="1" t="n">
        <v>1</v>
      </c>
      <c r="D5" s="2" t="s">
        <v>12</v>
      </c>
      <c r="E5" s="8" t="n">
        <v>43844</v>
      </c>
      <c r="F5" s="2" t="s">
        <v>13</v>
      </c>
      <c r="G5" s="7" t="str">
        <f aca="false">HYPERLINK("https://mncourtfraud.com/file/MCRO_27-CR-19-26893_Find of Fact-Order, Pet Commitment-Dfd Found Incompetent_2020-01-14_20251126174653.pdf","MCRO_27-CR-19-26893_Find of Fact-Order, Pet Commitment-Dfd Found Incompetent_2020-01-14_20251126174653.pdf")</f>
        <v>MCRO_27-CR-19-26893_Find of Fact-Order, Pet Commitment-Dfd Found Incompetent_2020-01-14_20251126174653.pdf</v>
      </c>
      <c r="H5" s="7" t="str">
        <f aca="false">HYPERLINK("https://mncourtfraud.com/file/d85226137c53579f37f2c87321a4ff209a309a82330591d9457774d7d697befc.ttf","d85226137c53579f37f2c87321a4ff209a309a82330591d9457774d7d697befc")</f>
        <v>d85226137c53579f37f2c87321a4ff209a309a82330591d9457774d7d697befc</v>
      </c>
      <c r="I5" s="1" t="s">
        <v>3413</v>
      </c>
      <c r="J5" s="2" t="s">
        <v>3414</v>
      </c>
      <c r="K5" s="2" t="s">
        <v>3416</v>
      </c>
      <c r="L5" s="2" t="s">
        <v>3415</v>
      </c>
      <c r="M5" s="2" t="n">
        <v>49992</v>
      </c>
    </row>
    <row r="6" customFormat="false" ht="18.7" hidden="false" customHeight="true" outlineLevel="0" collapsed="false">
      <c r="A6" s="1" t="n">
        <v>5</v>
      </c>
      <c r="B6" s="7" t="str">
        <f aca="false">HYPERLINK("https://mncourtfraud.com/file/27-CR-19-26893.pdf","27-CR-19-26893")</f>
        <v>27-CR-19-26893</v>
      </c>
      <c r="C6" s="1" t="n">
        <v>1</v>
      </c>
      <c r="D6" s="2" t="s">
        <v>12</v>
      </c>
      <c r="E6" s="8" t="n">
        <v>43902</v>
      </c>
      <c r="F6" s="2" t="s">
        <v>15</v>
      </c>
      <c r="G6" s="7" t="str">
        <f aca="false">HYPERLINK("https://mncourtfraud.com/file/MCRO_27-CR-19-26893_Order-Evaluation for Competency to Proceed (Rule 20.01)_2020-03-12_20251126174914.pdf","MCRO_27-CR-19-26893_Order-Evaluation for Competency to Proceed (Rule 20.01)_2020-03-12_20251126174914.pdf")</f>
        <v>MCRO_27-CR-19-26893_Order-Evaluation for Competency to Proceed (Rule 20.01)_2020-03-12_20251126174914.pdf</v>
      </c>
      <c r="H6" s="7" t="str">
        <f aca="false">HYPERLINK("https://mncourtfraud.com/file/49e7c869e6b42c8f889e03cbaecdadd98fe807d59fa9db51c6c17b48cefb1416.ttf","49e7c869e6b42c8f889e03cbaecdadd98fe807d59fa9db51c6c17b48cefb1416")</f>
        <v>49e7c869e6b42c8f889e03cbaecdadd98fe807d59fa9db51c6c17b48cefb1416</v>
      </c>
      <c r="I6" s="1" t="s">
        <v>3413</v>
      </c>
      <c r="L6" s="2" t="s">
        <v>3415</v>
      </c>
      <c r="M6" s="2" t="n">
        <v>12924</v>
      </c>
    </row>
    <row r="7" customFormat="false" ht="18.7" hidden="false" customHeight="true" outlineLevel="0" collapsed="false">
      <c r="A7" s="1" t="n">
        <v>6</v>
      </c>
      <c r="B7" s="7" t="str">
        <f aca="false">HYPERLINK("https://mncourtfraud.com/file/27-CR-19-26893.pdf","27-CR-19-26893")</f>
        <v>27-CR-19-26893</v>
      </c>
      <c r="C7" s="1" t="n">
        <v>1</v>
      </c>
      <c r="D7" s="2" t="s">
        <v>12</v>
      </c>
      <c r="E7" s="8" t="n">
        <v>43902</v>
      </c>
      <c r="F7" s="2" t="s">
        <v>15</v>
      </c>
      <c r="G7" s="7" t="str">
        <f aca="false">HYPERLINK("https://mncourtfraud.com/file/MCRO_27-CR-19-26893_Order-Evaluation for Competency to Proceed (Rule 20.01)_2020-03-12_20251126174914.pdf","MCRO_27-CR-19-26893_Order-Evaluation for Competency to Proceed (Rule 20.01)_2020-03-12_20251126174914.pdf")</f>
        <v>MCRO_27-CR-19-26893_Order-Evaluation for Competency to Proceed (Rule 20.01)_2020-03-12_20251126174914.pdf</v>
      </c>
      <c r="H7" s="7" t="str">
        <f aca="false">HYPERLINK("https://mncourtfraud.com/file/74f8979d320f411bca90943f4d96f825d010e8e269a6dd3e7f5606799cdf1dae.jpg","74f8979d320f411bca90943f4d96f825d010e8e269a6dd3e7f5606799cdf1dae")</f>
        <v>74f8979d320f411bca90943f4d96f825d010e8e269a6dd3e7f5606799cdf1dae</v>
      </c>
      <c r="I7" s="1" t="s">
        <v>3417</v>
      </c>
      <c r="L7" s="2" t="s">
        <v>3418</v>
      </c>
      <c r="M7" s="2" t="n">
        <v>639820</v>
      </c>
      <c r="S7" s="2" t="n">
        <v>2550</v>
      </c>
      <c r="T7" s="2" t="n">
        <v>3300</v>
      </c>
    </row>
    <row r="8" customFormat="false" ht="18.7" hidden="false" customHeight="true" outlineLevel="0" collapsed="false">
      <c r="A8" s="1" t="n">
        <v>7</v>
      </c>
      <c r="B8" s="7" t="str">
        <f aca="false">HYPERLINK("https://mncourtfraud.com/file/27-CR-19-26893.pdf","27-CR-19-26893")</f>
        <v>27-CR-19-26893</v>
      </c>
      <c r="C8" s="1" t="n">
        <v>1</v>
      </c>
      <c r="D8" s="2" t="s">
        <v>12</v>
      </c>
      <c r="E8" s="8" t="n">
        <v>43902</v>
      </c>
      <c r="F8" s="2" t="s">
        <v>15</v>
      </c>
      <c r="G8" s="7" t="str">
        <f aca="false">HYPERLINK("https://mncourtfraud.com/file/MCRO_27-CR-19-26893_Order-Evaluation for Competency to Proceed (Rule 20.01)_2020-03-12_20251126174914.pdf","MCRO_27-CR-19-26893_Order-Evaluation for Competency to Proceed (Rule 20.01)_2020-03-12_20251126174914.pdf")</f>
        <v>MCRO_27-CR-19-26893_Order-Evaluation for Competency to Proceed (Rule 20.01)_2020-03-12_20251126174914.pdf</v>
      </c>
      <c r="H8" s="7" t="str">
        <f aca="false">HYPERLINK("https://mncourtfraud.com/file/8aad93b2f1e73ea65cb4f05e3bd73b2052cc97b6915d5f5f79ae843fe276644c.jpg","8aad93b2f1e73ea65cb4f05e3bd73b2052cc97b6915d5f5f79ae843fe276644c")</f>
        <v>8aad93b2f1e73ea65cb4f05e3bd73b2052cc97b6915d5f5f79ae843fe276644c</v>
      </c>
      <c r="I8" s="1" t="s">
        <v>3417</v>
      </c>
      <c r="L8" s="2" t="s">
        <v>3418</v>
      </c>
      <c r="M8" s="2" t="n">
        <v>569066</v>
      </c>
      <c r="S8" s="2" t="n">
        <v>2550</v>
      </c>
      <c r="T8" s="2" t="n">
        <v>3300</v>
      </c>
    </row>
    <row r="9" customFormat="false" ht="18.7" hidden="false" customHeight="true" outlineLevel="0" collapsed="false">
      <c r="A9" s="1" t="n">
        <v>8</v>
      </c>
      <c r="B9" s="7" t="str">
        <f aca="false">HYPERLINK("https://mncourtfraud.com/file/27-CR-19-26893.pdf","27-CR-19-26893")</f>
        <v>27-CR-19-26893</v>
      </c>
      <c r="C9" s="1" t="n">
        <v>1</v>
      </c>
      <c r="D9" s="2" t="s">
        <v>12</v>
      </c>
      <c r="E9" s="8" t="n">
        <v>43970</v>
      </c>
      <c r="F9" s="2" t="s">
        <v>17</v>
      </c>
      <c r="G9" s="7" t="str">
        <f aca="false">HYPERLINK("https://mncourtfraud.com/file/MCRO_27-CR-19-26893_Returned Mail_2020-05-19_20251126174953.pdf","MCRO_27-CR-19-26893_Returned Mail_2020-05-19_20251126174953.pdf")</f>
        <v>MCRO_27-CR-19-26893_Returned Mail_2020-05-19_20251126174953.pdf</v>
      </c>
      <c r="H9" s="7" t="str">
        <f aca="false">HYPERLINK("https://mncourtfraud.com/file/0a6d95d1becdf9eb6c58da13b100362792caefda72d549096c0bda16a04654ea.ttf","0a6d95d1becdf9eb6c58da13b100362792caefda72d549096c0bda16a04654ea")</f>
        <v>0a6d95d1becdf9eb6c58da13b100362792caefda72d549096c0bda16a04654ea</v>
      </c>
      <c r="I9" s="1" t="s">
        <v>3413</v>
      </c>
      <c r="L9" s="2" t="s">
        <v>3415</v>
      </c>
      <c r="M9" s="2" t="n">
        <v>8220</v>
      </c>
    </row>
    <row r="10" customFormat="false" ht="18.7" hidden="false" customHeight="true" outlineLevel="0" collapsed="false">
      <c r="A10" s="1" t="n">
        <v>9</v>
      </c>
      <c r="B10" s="7" t="str">
        <f aca="false">HYPERLINK("https://mncourtfraud.com/file/27-CR-19-26893.pdf","27-CR-19-26893")</f>
        <v>27-CR-19-26893</v>
      </c>
      <c r="C10" s="1" t="n">
        <v>1</v>
      </c>
      <c r="D10" s="2" t="s">
        <v>12</v>
      </c>
      <c r="E10" s="8" t="n">
        <v>43970</v>
      </c>
      <c r="F10" s="2" t="s">
        <v>17</v>
      </c>
      <c r="G10" s="7" t="str">
        <f aca="false">HYPERLINK("https://mncourtfraud.com/file/MCRO_27-CR-19-26893_Returned Mail_2020-05-19_20251126174953.pdf","MCRO_27-CR-19-26893_Returned Mail_2020-05-19_20251126174953.pdf")</f>
        <v>MCRO_27-CR-19-26893_Returned Mail_2020-05-19_20251126174953.pdf</v>
      </c>
      <c r="H10" s="7" t="str">
        <f aca="false">HYPERLINK("https://mncourtfraud.com/file/30bceaaafce4807fd93a4b01e1c63e9a3e3333311b6902c72e7c6066ebd12d80.jpg","30bceaaafce4807fd93a4b01e1c63e9a3e3333311b6902c72e7c6066ebd12d80")</f>
        <v>30bceaaafce4807fd93a4b01e1c63e9a3e3333311b6902c72e7c6066ebd12d80</v>
      </c>
      <c r="I10" s="1" t="s">
        <v>3417</v>
      </c>
      <c r="L10" s="2" t="s">
        <v>3419</v>
      </c>
      <c r="M10" s="2" t="n">
        <v>198731</v>
      </c>
      <c r="S10" s="2" t="n">
        <v>2552</v>
      </c>
      <c r="T10" s="2" t="n">
        <v>3300</v>
      </c>
    </row>
    <row r="11" customFormat="false" ht="18.7" hidden="false" customHeight="true" outlineLevel="0" collapsed="false">
      <c r="A11" s="1" t="n">
        <v>10</v>
      </c>
      <c r="B11" s="7" t="str">
        <f aca="false">HYPERLINK("https://mncourtfraud.com/file/27-CR-19-26893.pdf","27-CR-19-26893")</f>
        <v>27-CR-19-26893</v>
      </c>
      <c r="C11" s="1" t="n">
        <v>1</v>
      </c>
      <c r="D11" s="2" t="s">
        <v>12</v>
      </c>
      <c r="E11" s="8" t="n">
        <v>44103</v>
      </c>
      <c r="F11" s="2" t="s">
        <v>19</v>
      </c>
      <c r="G11" s="7" t="str">
        <f aca="false">HYPERLINK("https://mncourtfraud.com/file/MCRO_27-CR-19-26893_Findings and Order_2020-09-29_20251126174721.pdf","MCRO_27-CR-19-26893_Findings and Order_2020-09-29_20251126174721.pdf")</f>
        <v>MCRO_27-CR-19-26893_Findings and Order_2020-09-29_20251126174721.pdf</v>
      </c>
      <c r="H11" s="7" t="str">
        <f aca="false">HYPERLINK("https://mncourtfraud.com/file/07e316fd6acde14e6752ac35fdb3665e9ff5ef9e00e600946974d23aa824e93e.png","07e316fd6acde14e6752ac35fdb3665e9ff5ef9e00e600946974d23aa824e93e")</f>
        <v>07e316fd6acde14e6752ac35fdb3665e9ff5ef9e00e600946974d23aa824e93e</v>
      </c>
      <c r="I11" s="1" t="s">
        <v>3406</v>
      </c>
      <c r="L11" s="2" t="s">
        <v>3412</v>
      </c>
      <c r="M11" s="2" t="n">
        <v>111400</v>
      </c>
      <c r="S11" s="2" t="n">
        <v>2560</v>
      </c>
      <c r="T11" s="2" t="n">
        <v>3300</v>
      </c>
    </row>
    <row r="12" customFormat="false" ht="18.7" hidden="false" customHeight="true" outlineLevel="0" collapsed="false">
      <c r="A12" s="1" t="n">
        <v>11</v>
      </c>
      <c r="B12" s="7" t="str">
        <f aca="false">HYPERLINK("https://mncourtfraud.com/file/27-CR-19-26893.pdf","27-CR-19-26893")</f>
        <v>27-CR-19-26893</v>
      </c>
      <c r="C12" s="1" t="n">
        <v>1</v>
      </c>
      <c r="D12" s="2" t="s">
        <v>12</v>
      </c>
      <c r="E12" s="8" t="n">
        <v>44103</v>
      </c>
      <c r="F12" s="2" t="s">
        <v>19</v>
      </c>
      <c r="G12" s="7" t="str">
        <f aca="false">HYPERLINK("https://mncourtfraud.com/file/MCRO_27-CR-19-26893_Findings and Order_2020-09-29_20251126174721.pdf","MCRO_27-CR-19-26893_Findings and Order_2020-09-29_20251126174721.pdf")</f>
        <v>MCRO_27-CR-19-26893_Findings and Order_2020-09-29_20251126174721.pdf</v>
      </c>
      <c r="H12" s="7" t="str">
        <f aca="false">HYPERLINK("https://mncourtfraud.com/file/11d6853f752025b4a249aab4251b562f847a3e41fb629b4cbcb4ec8dff13315a.png","11d6853f752025b4a249aab4251b562f847a3e41fb629b4cbcb4ec8dff13315a")</f>
        <v>11d6853f752025b4a249aab4251b562f847a3e41fb629b4cbcb4ec8dff13315a</v>
      </c>
      <c r="I12" s="1" t="s">
        <v>3406</v>
      </c>
      <c r="L12" s="2" t="s">
        <v>3412</v>
      </c>
      <c r="M12" s="2" t="n">
        <v>112047</v>
      </c>
      <c r="S12" s="2" t="n">
        <v>2560</v>
      </c>
      <c r="T12" s="2" t="n">
        <v>3300</v>
      </c>
    </row>
    <row r="13" customFormat="false" ht="18.7" hidden="false" customHeight="true" outlineLevel="0" collapsed="false">
      <c r="A13" s="1" t="n">
        <v>12</v>
      </c>
      <c r="B13" s="7" t="str">
        <f aca="false">HYPERLINK("https://mncourtfraud.com/file/27-CR-19-26893.pdf","27-CR-19-26893")</f>
        <v>27-CR-19-26893</v>
      </c>
      <c r="C13" s="1" t="n">
        <v>1</v>
      </c>
      <c r="D13" s="2" t="s">
        <v>12</v>
      </c>
      <c r="E13" s="8" t="n">
        <v>44103</v>
      </c>
      <c r="F13" s="2" t="s">
        <v>19</v>
      </c>
      <c r="G13" s="7" t="str">
        <f aca="false">HYPERLINK("https://mncourtfraud.com/file/MCRO_27-CR-19-26893_Findings and Order_2020-09-29_20251126174721.pdf","MCRO_27-CR-19-26893_Findings and Order_2020-09-29_20251126174721.pdf")</f>
        <v>MCRO_27-CR-19-26893_Findings and Order_2020-09-29_20251126174721.pdf</v>
      </c>
      <c r="H13" s="7" t="str">
        <f aca="false">HYPERLINK("https://mncourtfraud.com/file/127cb2cdb982ab960ee2d2f125b54b1d346457e50895c842b62b1be6393cf7ea.png","127cb2cdb982ab960ee2d2f125b54b1d346457e50895c842b62b1be6393cf7ea")</f>
        <v>127cb2cdb982ab960ee2d2f125b54b1d346457e50895c842b62b1be6393cf7ea</v>
      </c>
      <c r="I13" s="1" t="s">
        <v>3406</v>
      </c>
      <c r="L13" s="2" t="s">
        <v>3412</v>
      </c>
      <c r="M13" s="2" t="n">
        <v>128592</v>
      </c>
      <c r="S13" s="2" t="n">
        <v>2560</v>
      </c>
      <c r="T13" s="2" t="n">
        <v>3300</v>
      </c>
    </row>
    <row r="14" customFormat="false" ht="18.7" hidden="false" customHeight="true" outlineLevel="0" collapsed="false">
      <c r="A14" s="1" t="n">
        <v>13</v>
      </c>
      <c r="B14" s="7" t="str">
        <f aca="false">HYPERLINK("https://mncourtfraud.com/file/27-CR-19-26893.pdf","27-CR-19-26893")</f>
        <v>27-CR-19-26893</v>
      </c>
      <c r="C14" s="1" t="n">
        <v>1</v>
      </c>
      <c r="D14" s="2" t="s">
        <v>12</v>
      </c>
      <c r="E14" s="8" t="n">
        <v>44103</v>
      </c>
      <c r="F14" s="2" t="s">
        <v>19</v>
      </c>
      <c r="G14" s="7" t="str">
        <f aca="false">HYPERLINK("https://mncourtfraud.com/file/MCRO_27-CR-19-26893_Findings and Order_2020-09-29_20251126174721.pdf","MCRO_27-CR-19-26893_Findings and Order_2020-09-29_20251126174721.pdf")</f>
        <v>MCRO_27-CR-19-26893_Findings and Order_2020-09-29_20251126174721.pdf</v>
      </c>
      <c r="H14" s="7" t="str">
        <f aca="false">HYPERLINK("https://mncourtfraud.com/file/5ee07b0391e4f938d4624dade86775142f093b69d44110679cb386a9fcdb51dc.png","5ee07b0391e4f938d4624dade86775142f093b69d44110679cb386a9fcdb51dc")</f>
        <v>5ee07b0391e4f938d4624dade86775142f093b69d44110679cb386a9fcdb51dc</v>
      </c>
      <c r="I14" s="1" t="s">
        <v>3406</v>
      </c>
      <c r="L14" s="2" t="s">
        <v>3412</v>
      </c>
      <c r="M14" s="2" t="n">
        <v>141864</v>
      </c>
      <c r="S14" s="2" t="n">
        <v>2560</v>
      </c>
      <c r="T14" s="2" t="n">
        <v>3300</v>
      </c>
    </row>
    <row r="15" customFormat="false" ht="18.7" hidden="false" customHeight="true" outlineLevel="0" collapsed="false">
      <c r="A15" s="1" t="n">
        <v>14</v>
      </c>
      <c r="B15" s="7" t="str">
        <f aca="false">HYPERLINK("https://mncourtfraud.com/file/27-CR-19-26893.pdf","27-CR-19-26893")</f>
        <v>27-CR-19-26893</v>
      </c>
      <c r="C15" s="1" t="n">
        <v>1</v>
      </c>
      <c r="D15" s="2" t="s">
        <v>12</v>
      </c>
      <c r="E15" s="8" t="n">
        <v>44103</v>
      </c>
      <c r="F15" s="2" t="s">
        <v>19</v>
      </c>
      <c r="G15" s="7" t="str">
        <f aca="false">HYPERLINK("https://mncourtfraud.com/file/MCRO_27-CR-19-26893_Findings and Order_2020-09-29_20251126174721.pdf","MCRO_27-CR-19-26893_Findings and Order_2020-09-29_20251126174721.pdf")</f>
        <v>MCRO_27-CR-19-26893_Findings and Order_2020-09-29_20251126174721.pdf</v>
      </c>
      <c r="H15" s="7" t="str">
        <f aca="false">HYPERLINK("https://mncourtfraud.com/file/9298e052f4612cb0f1a6b3a16e09a68c67c5100b302cdb5815615d0bef9cb57b.png","9298e052f4612cb0f1a6b3a16e09a68c67c5100b302cdb5815615d0bef9cb57b")</f>
        <v>9298e052f4612cb0f1a6b3a16e09a68c67c5100b302cdb5815615d0bef9cb57b</v>
      </c>
      <c r="I15" s="1" t="s">
        <v>3406</v>
      </c>
      <c r="L15" s="2" t="s">
        <v>3412</v>
      </c>
      <c r="M15" s="2" t="n">
        <v>132457</v>
      </c>
      <c r="S15" s="2" t="n">
        <v>2560</v>
      </c>
      <c r="T15" s="2" t="n">
        <v>3300</v>
      </c>
    </row>
    <row r="16" customFormat="false" ht="18.7" hidden="false" customHeight="true" outlineLevel="0" collapsed="false">
      <c r="A16" s="1" t="n">
        <v>15</v>
      </c>
      <c r="B16" s="7" t="str">
        <f aca="false">HYPERLINK("https://mncourtfraud.com/file/27-CR-19-26893.pdf","27-CR-19-26893")</f>
        <v>27-CR-19-26893</v>
      </c>
      <c r="C16" s="1" t="n">
        <v>1</v>
      </c>
      <c r="D16" s="2" t="s">
        <v>12</v>
      </c>
      <c r="E16" s="8" t="n">
        <v>44103</v>
      </c>
      <c r="F16" s="2" t="s">
        <v>19</v>
      </c>
      <c r="G16" s="7" t="str">
        <f aca="false">HYPERLINK("https://mncourtfraud.com/file/MCRO_27-CR-19-26893_Findings and Order_2020-09-29_20251126174721.pdf","MCRO_27-CR-19-26893_Findings and Order_2020-09-29_20251126174721.pdf")</f>
        <v>MCRO_27-CR-19-26893_Findings and Order_2020-09-29_20251126174721.pdf</v>
      </c>
      <c r="H16" s="7" t="str">
        <f aca="false">HYPERLINK("https://mncourtfraud.com/file/ed475875d3636fc55785bfc0d90873f236925934528f91fa7187443759c8d7a9.ttf","ed475875d3636fc55785bfc0d90873f236925934528f91fa7187443759c8d7a9")</f>
        <v>ed475875d3636fc55785bfc0d90873f236925934528f91fa7187443759c8d7a9</v>
      </c>
      <c r="I16" s="1" t="s">
        <v>3413</v>
      </c>
      <c r="L16" s="2" t="s">
        <v>3415</v>
      </c>
      <c r="M16" s="2" t="n">
        <v>12924</v>
      </c>
    </row>
    <row r="17" customFormat="false" ht="18.7" hidden="false" customHeight="true" outlineLevel="0" collapsed="false">
      <c r="A17" s="1" t="n">
        <v>16</v>
      </c>
      <c r="B17" s="7" t="str">
        <f aca="false">HYPERLINK("https://mncourtfraud.com/file/27-CR-19-26893.pdf","27-CR-19-26893")</f>
        <v>27-CR-19-26893</v>
      </c>
      <c r="C17" s="1" t="n">
        <v>1</v>
      </c>
      <c r="D17" s="2" t="s">
        <v>12</v>
      </c>
      <c r="E17" s="8" t="n">
        <v>44225</v>
      </c>
      <c r="F17" s="2" t="s">
        <v>15</v>
      </c>
      <c r="G17" s="7" t="str">
        <f aca="false">HYPERLINK("https://mncourtfraud.com/file/MCRO_27-CR-19-26893_Order-Evaluation for Competency to Proceed (Rule 20.01)_2021-01-29_20251126174927.pdf","MCRO_27-CR-19-26893_Order-Evaluation for Competency to Proceed (Rule 20.01)_2021-01-29_20251126174927.pdf")</f>
        <v>MCRO_27-CR-19-26893_Order-Evaluation for Competency to Proceed (Rule 20.01)_2021-01-29_20251126174927.pdf</v>
      </c>
      <c r="H17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7" s="1" t="s">
        <v>3406</v>
      </c>
      <c r="K17" s="2" t="s">
        <v>3420</v>
      </c>
      <c r="L17" s="2" t="s">
        <v>3408</v>
      </c>
      <c r="M17" s="2" t="n">
        <v>7306</v>
      </c>
      <c r="O17" s="2" t="s">
        <v>3409</v>
      </c>
      <c r="P17" s="2" t="s">
        <v>3410</v>
      </c>
      <c r="S17" s="2" t="n">
        <v>319</v>
      </c>
      <c r="T17" s="2" t="n">
        <v>105</v>
      </c>
    </row>
    <row r="18" customFormat="false" ht="18.7" hidden="false" customHeight="true" outlineLevel="0" collapsed="false">
      <c r="A18" s="1" t="n">
        <v>17</v>
      </c>
      <c r="B18" s="7" t="str">
        <f aca="false">HYPERLINK("https://mncourtfraud.com/file/27-CR-19-26893.pdf","27-CR-19-26893")</f>
        <v>27-CR-19-26893</v>
      </c>
      <c r="C18" s="1" t="n">
        <v>1</v>
      </c>
      <c r="D18" s="2" t="s">
        <v>12</v>
      </c>
      <c r="E18" s="8" t="n">
        <v>44225</v>
      </c>
      <c r="F18" s="2" t="s">
        <v>15</v>
      </c>
      <c r="G18" s="7" t="str">
        <f aca="false">HYPERLINK("https://mncourtfraud.com/file/MCRO_27-CR-19-26893_Order-Evaluation for Competency to Proceed (Rule 20.01)_2021-01-29_20251126174927.pdf","MCRO_27-CR-19-26893_Order-Evaluation for Competency to Proceed (Rule 20.01)_2021-01-29_20251126174927.pdf")</f>
        <v>MCRO_27-CR-19-26893_Order-Evaluation for Competency to Proceed (Rule 20.01)_2021-01-29_20251126174927.pdf</v>
      </c>
      <c r="H18" s="7" t="str">
        <f aca="false">HYPERLINK("https://mncourtfraud.com/file/546304e2050278ff497f628e7aee653da606219dd05bf0397179732462a20afc.ttf","546304e2050278ff497f628e7aee653da606219dd05bf0397179732462a20afc")</f>
        <v>546304e2050278ff497f628e7aee653da606219dd05bf0397179732462a20afc</v>
      </c>
      <c r="I18" s="1" t="s">
        <v>3413</v>
      </c>
      <c r="J18" s="2" t="s">
        <v>3421</v>
      </c>
      <c r="K18" s="2" t="s">
        <v>3421</v>
      </c>
      <c r="L18" s="2" t="s">
        <v>3415</v>
      </c>
      <c r="M18" s="2" t="n">
        <v>399420</v>
      </c>
    </row>
    <row r="19" customFormat="false" ht="18.7" hidden="false" customHeight="true" outlineLevel="0" collapsed="false">
      <c r="A19" s="1" t="n">
        <v>18</v>
      </c>
      <c r="B19" s="7" t="str">
        <f aca="false">HYPERLINK("https://mncourtfraud.com/file/27-CR-19-26893.pdf","27-CR-19-26893")</f>
        <v>27-CR-19-26893</v>
      </c>
      <c r="C19" s="1" t="n">
        <v>1</v>
      </c>
      <c r="D19" s="2" t="s">
        <v>12</v>
      </c>
      <c r="E19" s="8" t="n">
        <v>44225</v>
      </c>
      <c r="F19" s="2" t="s">
        <v>15</v>
      </c>
      <c r="G19" s="7" t="str">
        <f aca="false">HYPERLINK("https://mncourtfraud.com/file/MCRO_27-CR-19-26893_Order-Evaluation for Competency to Proceed (Rule 20.01)_2021-01-29_20251126174927.pdf","MCRO_27-CR-19-26893_Order-Evaluation for Competency to Proceed (Rule 20.01)_2021-01-29_20251126174927.pdf")</f>
        <v>MCRO_27-CR-19-26893_Order-Evaluation for Competency to Proceed (Rule 20.01)_2021-01-29_20251126174927.pdf</v>
      </c>
      <c r="H19" s="7" t="str">
        <f aca="false">HYPERLINK("https://mncourtfraud.com/file/5fe279e2bb67346d4b9382b6d426f3b2037a8a7faa39183d4cc98bf1b3eac581.ttf","5fe279e2bb67346d4b9382b6d426f3b2037a8a7faa39183d4cc98bf1b3eac581")</f>
        <v>5fe279e2bb67346d4b9382b6d426f3b2037a8a7faa39183d4cc98bf1b3eac581</v>
      </c>
      <c r="I19" s="1" t="s">
        <v>3413</v>
      </c>
      <c r="J19" s="2" t="s">
        <v>3422</v>
      </c>
      <c r="K19" s="2" t="s">
        <v>3422</v>
      </c>
      <c r="L19" s="2" t="s">
        <v>3415</v>
      </c>
      <c r="M19" s="2" t="n">
        <v>584320</v>
      </c>
    </row>
    <row r="20" customFormat="false" ht="18.7" hidden="false" customHeight="true" outlineLevel="0" collapsed="false">
      <c r="A20" s="1" t="n">
        <v>19</v>
      </c>
      <c r="B20" s="7" t="str">
        <f aca="false">HYPERLINK("https://mncourtfraud.com/file/27-CR-19-26893.pdf","27-CR-19-26893")</f>
        <v>27-CR-19-26893</v>
      </c>
      <c r="C20" s="1" t="n">
        <v>1</v>
      </c>
      <c r="D20" s="2" t="s">
        <v>12</v>
      </c>
      <c r="E20" s="8" t="n">
        <v>44225</v>
      </c>
      <c r="F20" s="2" t="s">
        <v>15</v>
      </c>
      <c r="G20" s="7" t="str">
        <f aca="false">HYPERLINK("https://mncourtfraud.com/file/MCRO_27-CR-19-26893_Order-Evaluation for Competency to Proceed (Rule 20.01)_2021-01-29_20251126174927.pdf","MCRO_27-CR-19-26893_Order-Evaluation for Competency to Proceed (Rule 20.01)_2021-01-29_20251126174927.pdf")</f>
        <v>MCRO_27-CR-19-26893_Order-Evaluation for Competency to Proceed (Rule 20.01)_2021-01-29_20251126174927.pdf</v>
      </c>
      <c r="H20" s="7" t="str">
        <f aca="false">HYPERLINK("https://mncourtfraud.com/file/b1c2362109b3c1555dd5946549cada931b8066060cb7036e6b0b500de41c44e8.ttf","b1c2362109b3c1555dd5946549cada931b8066060cb7036e6b0b500de41c44e8")</f>
        <v>b1c2362109b3c1555dd5946549cada931b8066060cb7036e6b0b500de41c44e8</v>
      </c>
      <c r="I20" s="1" t="s">
        <v>3413</v>
      </c>
      <c r="J20" s="2" t="s">
        <v>3423</v>
      </c>
      <c r="K20" s="2" t="s">
        <v>3423</v>
      </c>
      <c r="L20" s="2" t="s">
        <v>3415</v>
      </c>
      <c r="M20" s="2" t="n">
        <v>25228</v>
      </c>
    </row>
    <row r="21" customFormat="false" ht="18.7" hidden="false" customHeight="true" outlineLevel="0" collapsed="false">
      <c r="A21" s="1" t="n">
        <v>20</v>
      </c>
      <c r="B21" s="7" t="str">
        <f aca="false">HYPERLINK("https://mncourtfraud.com/file/27-CR-19-26893.pdf","27-CR-19-26893")</f>
        <v>27-CR-19-26893</v>
      </c>
      <c r="C21" s="1" t="n">
        <v>1</v>
      </c>
      <c r="D21" s="2" t="s">
        <v>12</v>
      </c>
      <c r="E21" s="8" t="n">
        <v>44225</v>
      </c>
      <c r="F21" s="2" t="s">
        <v>15</v>
      </c>
      <c r="G21" s="7" t="str">
        <f aca="false">HYPERLINK("https://mncourtfraud.com/file/MCRO_27-CR-19-26893_Order-Evaluation for Competency to Proceed (Rule 20.01)_2021-01-29_20251126174927.pdf","MCRO_27-CR-19-26893_Order-Evaluation for Competency to Proceed (Rule 20.01)_2021-01-29_20251126174927.pdf")</f>
        <v>MCRO_27-CR-19-26893_Order-Evaluation for Competency to Proceed (Rule 20.01)_2021-01-29_20251126174927.pdf</v>
      </c>
      <c r="H21" s="7" t="str">
        <f aca="false">HYPERLINK("https://mncourtfraud.com/file/d2c62141a1ec41646c92beed2b2984b9af228aca51b9dba5d40aa343c9c7fc50.ttf","d2c62141a1ec41646c92beed2b2984b9af228aca51b9dba5d40aa343c9c7fc50")</f>
        <v>d2c62141a1ec41646c92beed2b2984b9af228aca51b9dba5d40aa343c9c7fc50</v>
      </c>
      <c r="I21" s="1" t="s">
        <v>3413</v>
      </c>
      <c r="J21" s="2" t="s">
        <v>3424</v>
      </c>
      <c r="K21" s="2" t="s">
        <v>3424</v>
      </c>
      <c r="L21" s="2" t="s">
        <v>3415</v>
      </c>
      <c r="M21" s="2" t="n">
        <v>29188</v>
      </c>
    </row>
    <row r="22" customFormat="false" ht="18.7" hidden="false" customHeight="true" outlineLevel="0" collapsed="false">
      <c r="A22" s="1" t="n">
        <v>21</v>
      </c>
      <c r="B22" s="7" t="str">
        <f aca="false">HYPERLINK("https://mncourtfraud.com/file/27-CR-19-26893.pdf","27-CR-19-26893")</f>
        <v>27-CR-19-26893</v>
      </c>
      <c r="C22" s="1" t="n">
        <v>1</v>
      </c>
      <c r="D22" s="2" t="s">
        <v>12</v>
      </c>
      <c r="E22" s="8" t="n">
        <v>44225</v>
      </c>
      <c r="F22" s="2" t="s">
        <v>15</v>
      </c>
      <c r="G22" s="7" t="str">
        <f aca="false">HYPERLINK("https://mncourtfraud.com/file/MCRO_27-CR-19-26893_Order-Evaluation for Competency to Proceed (Rule 20.01)_2021-01-29_20251126174927.pdf","MCRO_27-CR-19-26893_Order-Evaluation for Competency to Proceed (Rule 20.01)_2021-01-29_20251126174927.pdf")</f>
        <v>MCRO_27-CR-19-26893_Order-Evaluation for Competency to Proceed (Rule 20.01)_2021-01-29_20251126174927.pdf</v>
      </c>
      <c r="H22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22" s="1" t="s">
        <v>3406</v>
      </c>
      <c r="K22" s="2" t="s">
        <v>3425</v>
      </c>
      <c r="L22" s="2" t="s">
        <v>3408</v>
      </c>
      <c r="M22" s="2" t="n">
        <v>21225</v>
      </c>
      <c r="O22" s="2" t="s">
        <v>3409</v>
      </c>
      <c r="P22" s="2" t="s">
        <v>3410</v>
      </c>
      <c r="S22" s="2" t="n">
        <v>319</v>
      </c>
      <c r="T22" s="2" t="n">
        <v>105</v>
      </c>
    </row>
    <row r="23" customFormat="false" ht="18.7" hidden="false" customHeight="true" outlineLevel="0" collapsed="false">
      <c r="A23" s="1" t="n">
        <v>22</v>
      </c>
      <c r="B23" s="7" t="str">
        <f aca="false">HYPERLINK("https://mncourtfraud.com/file/27-CR-19-26893.pdf","27-CR-19-26893")</f>
        <v>27-CR-19-26893</v>
      </c>
      <c r="C23" s="1" t="n">
        <v>1</v>
      </c>
      <c r="D23" s="2" t="s">
        <v>12</v>
      </c>
      <c r="E23" s="8" t="n">
        <v>44396</v>
      </c>
      <c r="F23" s="2" t="s">
        <v>15</v>
      </c>
      <c r="G23" s="7" t="str">
        <f aca="false">HYPERLINK("https://mncourtfraud.com/file/MCRO_27-CR-19-26893_Order-Evaluation for Competency to Proceed (Rule 20.01)_2021-07-19_20251126174939.pdf","MCRO_27-CR-19-26893_Order-Evaluation for Competency to Proceed (Rule 20.01)_2021-07-19_20251126174939.pdf")</f>
        <v>MCRO_27-CR-19-26893_Order-Evaluation for Competency to Proceed (Rule 20.01)_2021-07-19_20251126174939.pdf</v>
      </c>
      <c r="H23" s="7" t="str">
        <f aca="false">HYPERLINK("https://mncourtfraud.com/file/17cade59c7bfe81b752ed84e754fbc42fa4674d9c207da8db1c117955bc4c41b.png","17cade59c7bfe81b752ed84e754fbc42fa4674d9c207da8db1c117955bc4c41b")</f>
        <v>17cade59c7bfe81b752ed84e754fbc42fa4674d9c207da8db1c117955bc4c41b</v>
      </c>
      <c r="I23" s="1" t="s">
        <v>3406</v>
      </c>
      <c r="L23" s="2" t="s">
        <v>3412</v>
      </c>
      <c r="M23" s="2" t="n">
        <v>155559</v>
      </c>
      <c r="S23" s="2" t="n">
        <v>2550</v>
      </c>
      <c r="T23" s="2" t="n">
        <v>3300</v>
      </c>
    </row>
    <row r="24" customFormat="false" ht="18.7" hidden="false" customHeight="true" outlineLevel="0" collapsed="false">
      <c r="A24" s="1" t="n">
        <v>23</v>
      </c>
      <c r="B24" s="7" t="str">
        <f aca="false">HYPERLINK("https://mncourtfraud.com/file/27-CR-19-26893.pdf","27-CR-19-26893")</f>
        <v>27-CR-19-26893</v>
      </c>
      <c r="C24" s="1" t="n">
        <v>1</v>
      </c>
      <c r="D24" s="2" t="s">
        <v>12</v>
      </c>
      <c r="E24" s="8" t="n">
        <v>44396</v>
      </c>
      <c r="F24" s="2" t="s">
        <v>15</v>
      </c>
      <c r="G24" s="7" t="str">
        <f aca="false">HYPERLINK("https://mncourtfraud.com/file/MCRO_27-CR-19-26893_Order-Evaluation for Competency to Proceed (Rule 20.01)_2021-07-19_20251126174939.pdf","MCRO_27-CR-19-26893_Order-Evaluation for Competency to Proceed (Rule 20.01)_2021-07-19_20251126174939.pdf")</f>
        <v>MCRO_27-CR-19-26893_Order-Evaluation for Competency to Proceed (Rule 20.01)_2021-07-19_20251126174939.pdf</v>
      </c>
      <c r="H24" s="7" t="str">
        <f aca="false">HYPERLINK("https://mncourtfraud.com/file/1e38fdb6870eb29f8826fbb50237ad00512d40248747fa9fd91f024d0603f14a.ttf","1e38fdb6870eb29f8826fbb50237ad00512d40248747fa9fd91f024d0603f14a")</f>
        <v>1e38fdb6870eb29f8826fbb50237ad00512d40248747fa9fd91f024d0603f14a</v>
      </c>
      <c r="I24" s="1" t="s">
        <v>3413</v>
      </c>
      <c r="L24" s="2" t="s">
        <v>3415</v>
      </c>
      <c r="M24" s="2" t="n">
        <v>333576</v>
      </c>
    </row>
    <row r="25" customFormat="false" ht="18.7" hidden="false" customHeight="true" outlineLevel="0" collapsed="false">
      <c r="A25" s="1" t="n">
        <v>24</v>
      </c>
      <c r="B25" s="7" t="str">
        <f aca="false">HYPERLINK("https://mncourtfraud.com/file/27-CR-19-26893.pdf","27-CR-19-26893")</f>
        <v>27-CR-19-26893</v>
      </c>
      <c r="C25" s="1" t="n">
        <v>1</v>
      </c>
      <c r="D25" s="2" t="s">
        <v>12</v>
      </c>
      <c r="E25" s="8" t="n">
        <v>44396</v>
      </c>
      <c r="F25" s="2" t="s">
        <v>15</v>
      </c>
      <c r="G25" s="7" t="str">
        <f aca="false">HYPERLINK("https://mncourtfraud.com/file/MCRO_27-CR-19-26893_Order-Evaluation for Competency to Proceed (Rule 20.01)_2021-07-19_20251126174939.pdf","MCRO_27-CR-19-26893_Order-Evaluation for Competency to Proceed (Rule 20.01)_2021-07-19_20251126174939.pdf")</f>
        <v>MCRO_27-CR-19-26893_Order-Evaluation for Competency to Proceed (Rule 20.01)_2021-07-19_20251126174939.pdf</v>
      </c>
      <c r="H25" s="7" t="str">
        <f aca="false">HYPERLINK("https://mncourtfraud.com/file/d6b16f171afeb4d5fca16c6252ccdc35807ddf87d6f80b711bf8867826c8b83e.png","d6b16f171afeb4d5fca16c6252ccdc35807ddf87d6f80b711bf8867826c8b83e")</f>
        <v>d6b16f171afeb4d5fca16c6252ccdc35807ddf87d6f80b711bf8867826c8b83e</v>
      </c>
      <c r="I25" s="1" t="s">
        <v>3406</v>
      </c>
      <c r="L25" s="2" t="s">
        <v>3412</v>
      </c>
      <c r="M25" s="2" t="n">
        <v>146715</v>
      </c>
      <c r="S25" s="2" t="n">
        <v>2550</v>
      </c>
      <c r="T25" s="2" t="n">
        <v>3300</v>
      </c>
    </row>
    <row r="26" customFormat="false" ht="18.7" hidden="false" customHeight="true" outlineLevel="0" collapsed="false">
      <c r="A26" s="1" t="n">
        <v>25</v>
      </c>
      <c r="B26" s="7" t="str">
        <f aca="false">HYPERLINK("https://mncourtfraud.com/file/27-CR-19-26893.pdf","27-CR-19-26893")</f>
        <v>27-CR-19-26893</v>
      </c>
      <c r="C26" s="1" t="n">
        <v>1</v>
      </c>
      <c r="D26" s="2" t="s">
        <v>12</v>
      </c>
      <c r="E26" s="8" t="n">
        <v>44439</v>
      </c>
      <c r="F26" s="2" t="s">
        <v>19</v>
      </c>
      <c r="G26" s="7" t="str">
        <f aca="false">HYPERLINK("https://mncourtfraud.com/file/MCRO_27-CR-19-26893_Findings and Order_2021-08-31_20251126174732.pdf","MCRO_27-CR-19-26893_Findings and Order_2021-08-31_20251126174732.pdf")</f>
        <v>MCRO_27-CR-19-26893_Findings and Order_2021-08-31_20251126174732.pdf</v>
      </c>
      <c r="H26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26" s="1" t="s">
        <v>3413</v>
      </c>
      <c r="J26" s="2" t="s">
        <v>3426</v>
      </c>
      <c r="K26" s="2" t="s">
        <v>3426</v>
      </c>
      <c r="L26" s="2" t="s">
        <v>3415</v>
      </c>
      <c r="M26" s="2" t="n">
        <v>74997</v>
      </c>
      <c r="N26" s="2" t="s">
        <v>3427</v>
      </c>
    </row>
    <row r="27" customFormat="false" ht="18.7" hidden="false" customHeight="true" outlineLevel="0" collapsed="false">
      <c r="A27" s="1" t="n">
        <v>26</v>
      </c>
      <c r="B27" s="7" t="str">
        <f aca="false">HYPERLINK("https://mncourtfraud.com/file/27-CR-19-26893.pdf","27-CR-19-26893")</f>
        <v>27-CR-19-26893</v>
      </c>
      <c r="C27" s="1" t="n">
        <v>1</v>
      </c>
      <c r="D27" s="2" t="s">
        <v>12</v>
      </c>
      <c r="E27" s="8" t="n">
        <v>44439</v>
      </c>
      <c r="F27" s="2" t="s">
        <v>19</v>
      </c>
      <c r="G27" s="7" t="str">
        <f aca="false">HYPERLINK("https://mncourtfraud.com/file/MCRO_27-CR-19-26893_Findings and Order_2021-08-31_20251126174732.pdf","MCRO_27-CR-19-26893_Findings and Order_2021-08-31_20251126174732.pdf")</f>
        <v>MCRO_27-CR-19-26893_Findings and Order_2021-08-31_20251126174732.pdf</v>
      </c>
      <c r="H27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27" s="1" t="s">
        <v>3413</v>
      </c>
      <c r="J27" s="2" t="s">
        <v>3414</v>
      </c>
      <c r="K27" s="2" t="s">
        <v>3414</v>
      </c>
      <c r="L27" s="2" t="s">
        <v>3415</v>
      </c>
      <c r="M27" s="2" t="n">
        <v>65384</v>
      </c>
    </row>
    <row r="28" customFormat="false" ht="18.7" hidden="false" customHeight="true" outlineLevel="0" collapsed="false">
      <c r="A28" s="1" t="n">
        <v>27</v>
      </c>
      <c r="B28" s="7" t="str">
        <f aca="false">HYPERLINK("https://mncourtfraud.com/file/27-CR-19-26893.pdf","27-CR-19-26893")</f>
        <v>27-CR-19-26893</v>
      </c>
      <c r="C28" s="1" t="n">
        <v>1</v>
      </c>
      <c r="D28" s="2" t="s">
        <v>12</v>
      </c>
      <c r="E28" s="8" t="n">
        <v>44439</v>
      </c>
      <c r="F28" s="2" t="s">
        <v>19</v>
      </c>
      <c r="G28" s="7" t="str">
        <f aca="false">HYPERLINK("https://mncourtfraud.com/file/MCRO_27-CR-19-26893_Findings and Order_2021-08-31_20251126174732.pdf","MCRO_27-CR-19-26893_Findings and Order_2021-08-31_20251126174732.pdf")</f>
        <v>MCRO_27-CR-19-26893_Findings and Order_2021-08-31_20251126174732.pdf</v>
      </c>
      <c r="H28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28" s="1" t="s">
        <v>3413</v>
      </c>
      <c r="J28" s="2" t="s">
        <v>3414</v>
      </c>
      <c r="K28" s="2" t="s">
        <v>3414</v>
      </c>
      <c r="L28" s="2" t="s">
        <v>3415</v>
      </c>
      <c r="M28" s="2" t="n">
        <v>65384</v>
      </c>
    </row>
    <row r="29" customFormat="false" ht="18.7" hidden="false" customHeight="true" outlineLevel="0" collapsed="false">
      <c r="A29" s="1" t="n">
        <v>28</v>
      </c>
      <c r="B29" s="7" t="str">
        <f aca="false">HYPERLINK("https://mncourtfraud.com/file/27-CR-19-26893.pdf","27-CR-19-26893")</f>
        <v>27-CR-19-26893</v>
      </c>
      <c r="C29" s="1" t="n">
        <v>1</v>
      </c>
      <c r="D29" s="2" t="s">
        <v>12</v>
      </c>
      <c r="E29" s="8" t="n">
        <v>44439</v>
      </c>
      <c r="F29" s="2" t="s">
        <v>19</v>
      </c>
      <c r="G29" s="7" t="str">
        <f aca="false">HYPERLINK("https://mncourtfraud.com/file/MCRO_27-CR-19-26893_Findings and Order_2021-08-31_20251126174732.pdf","MCRO_27-CR-19-26893_Findings and Order_2021-08-31_20251126174732.pdf")</f>
        <v>MCRO_27-CR-19-26893_Findings and Order_2021-08-31_20251126174732.pdf</v>
      </c>
      <c r="H29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29" s="1" t="s">
        <v>3428</v>
      </c>
      <c r="J29" s="2" t="s">
        <v>3429</v>
      </c>
      <c r="K29" s="2" t="s">
        <v>3429</v>
      </c>
      <c r="L29" s="2" t="s">
        <v>3415</v>
      </c>
      <c r="M29" s="2" t="n">
        <v>86093</v>
      </c>
    </row>
    <row r="30" customFormat="false" ht="18.7" hidden="false" customHeight="true" outlineLevel="0" collapsed="false">
      <c r="A30" s="1" t="n">
        <v>29</v>
      </c>
      <c r="B30" s="7" t="str">
        <f aca="false">HYPERLINK("https://mncourtfraud.com/file/27-CR-19-26893.pdf","27-CR-19-26893")</f>
        <v>27-CR-19-26893</v>
      </c>
      <c r="C30" s="1" t="n">
        <v>1</v>
      </c>
      <c r="D30" s="2" t="s">
        <v>12</v>
      </c>
      <c r="E30" s="8" t="n">
        <v>44439</v>
      </c>
      <c r="F30" s="2" t="s">
        <v>19</v>
      </c>
      <c r="G30" s="7" t="str">
        <f aca="false">HYPERLINK("https://mncourtfraud.com/file/MCRO_27-CR-19-26893_Findings and Order_2021-08-31_20251126174732.pdf","MCRO_27-CR-19-26893_Findings and Order_2021-08-31_20251126174732.pdf")</f>
        <v>MCRO_27-CR-19-26893_Findings and Order_2021-08-31_20251126174732.pdf</v>
      </c>
      <c r="H30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30" s="1" t="s">
        <v>3406</v>
      </c>
      <c r="K30" s="2" t="s">
        <v>3430</v>
      </c>
      <c r="L30" s="2" t="s">
        <v>3408</v>
      </c>
      <c r="M30" s="2" t="n">
        <v>28069</v>
      </c>
      <c r="O30" s="2" t="s">
        <v>3409</v>
      </c>
      <c r="P30" s="2" t="s">
        <v>3410</v>
      </c>
      <c r="S30" s="2" t="n">
        <v>448</v>
      </c>
      <c r="T30" s="2" t="n">
        <v>128</v>
      </c>
    </row>
    <row r="31" customFormat="false" ht="18.7" hidden="false" customHeight="true" outlineLevel="0" collapsed="false">
      <c r="A31" s="1" t="n">
        <v>30</v>
      </c>
      <c r="B31" s="7" t="str">
        <f aca="false">HYPERLINK("https://mncourtfraud.com/file/27-CR-19-26893.pdf","27-CR-19-26893")</f>
        <v>27-CR-19-26893</v>
      </c>
      <c r="C31" s="1" t="n">
        <v>1</v>
      </c>
      <c r="D31" s="2" t="s">
        <v>12</v>
      </c>
      <c r="E31" s="8" t="n">
        <v>44439</v>
      </c>
      <c r="F31" s="2" t="s">
        <v>19</v>
      </c>
      <c r="G31" s="7" t="str">
        <f aca="false">HYPERLINK("https://mncourtfraud.com/file/MCRO_27-CR-19-26893_Findings and Order_2021-08-31_20251126174732.pdf","MCRO_27-CR-19-26893_Findings and Order_2021-08-31_20251126174732.pdf")</f>
        <v>MCRO_27-CR-19-26893_Findings and Order_2021-08-31_20251126174732.pdf</v>
      </c>
      <c r="H31" s="7" t="str">
        <f aca="false">HYPERLINK("https://mncourtfraud.com/file/d85226137c53579f37f2c87321a4ff209a309a82330591d9457774d7d697befc.ttf","d85226137c53579f37f2c87321a4ff209a309a82330591d9457774d7d697befc")</f>
        <v>d85226137c53579f37f2c87321a4ff209a309a82330591d9457774d7d697befc</v>
      </c>
      <c r="I31" s="1" t="s">
        <v>3413</v>
      </c>
      <c r="J31" s="2" t="s">
        <v>3414</v>
      </c>
      <c r="K31" s="2" t="s">
        <v>3416</v>
      </c>
      <c r="L31" s="2" t="s">
        <v>3415</v>
      </c>
      <c r="M31" s="2" t="n">
        <v>49992</v>
      </c>
    </row>
    <row r="32" customFormat="false" ht="18.7" hidden="false" customHeight="true" outlineLevel="0" collapsed="false">
      <c r="A32" s="1" t="n">
        <v>31</v>
      </c>
      <c r="B32" s="7" t="str">
        <f aca="false">HYPERLINK("https://mncourtfraud.com/file/27-CR-19-26893.pdf","27-CR-19-26893")</f>
        <v>27-CR-19-26893</v>
      </c>
      <c r="C32" s="1" t="n">
        <v>1</v>
      </c>
      <c r="D32" s="2" t="s">
        <v>12</v>
      </c>
      <c r="E32" s="8" t="n">
        <v>44460</v>
      </c>
      <c r="F32" s="2" t="s">
        <v>24</v>
      </c>
      <c r="G32" s="7" t="str">
        <f aca="false">HYPERLINK("https://mncourtfraud.com/file/MCRO_27-CR-19-26893_Order for Conditional Release_2021-09-21_20251126174758.pdf","MCRO_27-CR-19-26893_Order for Conditional Release_2021-09-21_20251126174758.pdf")</f>
        <v>MCRO_27-CR-19-26893_Order for Conditional Release_2021-09-21_20251126174758.pdf</v>
      </c>
      <c r="H32" s="7" t="str">
        <f aca="false">HYPERLINK("https://mncourtfraud.com/file/02dfb6e08fd11b3563d1b9b621b56dbf2dc11acbd85e42bfd83f728fb300bef2.ttf","02dfb6e08fd11b3563d1b9b621b56dbf2dc11acbd85e42bfd83f728fb300bef2")</f>
        <v>02dfb6e08fd11b3563d1b9b621b56dbf2dc11acbd85e42bfd83f728fb300bef2</v>
      </c>
      <c r="I32" s="1" t="s">
        <v>3413</v>
      </c>
      <c r="L32" s="2" t="s">
        <v>3415</v>
      </c>
      <c r="M32" s="2" t="n">
        <v>333576</v>
      </c>
    </row>
    <row r="33" customFormat="false" ht="18.7" hidden="false" customHeight="true" outlineLevel="0" collapsed="false">
      <c r="A33" s="1" t="n">
        <v>32</v>
      </c>
      <c r="B33" s="7" t="str">
        <f aca="false">HYPERLINK("https://mncourtfraud.com/file/27-CR-19-26893.pdf","27-CR-19-26893")</f>
        <v>27-CR-19-26893</v>
      </c>
      <c r="C33" s="1" t="n">
        <v>1</v>
      </c>
      <c r="D33" s="2" t="s">
        <v>12</v>
      </c>
      <c r="E33" s="8" t="n">
        <v>44460</v>
      </c>
      <c r="F33" s="2" t="s">
        <v>24</v>
      </c>
      <c r="G33" s="7" t="str">
        <f aca="false">HYPERLINK("https://mncourtfraud.com/file/MCRO_27-CR-19-26893_Order for Conditional Release_2021-09-21_20251126174758.pdf","MCRO_27-CR-19-26893_Order for Conditional Release_2021-09-21_20251126174758.pdf")</f>
        <v>MCRO_27-CR-19-26893_Order for Conditional Release_2021-09-21_20251126174758.pdf</v>
      </c>
      <c r="H33" s="7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33" s="1" t="s">
        <v>3406</v>
      </c>
      <c r="L33" s="2" t="s">
        <v>3412</v>
      </c>
      <c r="M33" s="2" t="n">
        <v>152962</v>
      </c>
      <c r="S33" s="2" t="n">
        <v>2560</v>
      </c>
      <c r="T33" s="2" t="n">
        <v>3300</v>
      </c>
    </row>
    <row r="34" customFormat="false" ht="18.7" hidden="false" customHeight="true" outlineLevel="0" collapsed="false">
      <c r="A34" s="1" t="n">
        <v>33</v>
      </c>
      <c r="B34" s="7" t="str">
        <f aca="false">HYPERLINK("https://mncourtfraud.com/file/27-CR-19-26893.pdf","27-CR-19-26893")</f>
        <v>27-CR-19-26893</v>
      </c>
      <c r="C34" s="1" t="n">
        <v>1</v>
      </c>
      <c r="D34" s="2" t="s">
        <v>12</v>
      </c>
      <c r="E34" s="8" t="n">
        <v>44468</v>
      </c>
      <c r="F34" s="2" t="s">
        <v>24</v>
      </c>
      <c r="G34" s="7" t="str">
        <f aca="false">HYPERLINK("https://mncourtfraud.com/file/MCRO_27-CR-19-26893_Order for Conditional Release_2021-09-29_20251126174746.pdf","MCRO_27-CR-19-26893_Order for Conditional Release_2021-09-29_20251126174746.pdf")</f>
        <v>MCRO_27-CR-19-26893_Order for Conditional Release_2021-09-29_20251126174746.pdf</v>
      </c>
      <c r="H34" s="7" t="str">
        <f aca="false">HYPERLINK("https://mncourtfraud.com/file/29d541cb6920f2a0815a72232c8164e19ffda7ff89f025261d343aef97d55c23.png","29d541cb6920f2a0815a72232c8164e19ffda7ff89f025261d343aef97d55c23")</f>
        <v>29d541cb6920f2a0815a72232c8164e19ffda7ff89f025261d343aef97d55c23</v>
      </c>
      <c r="I34" s="1" t="s">
        <v>3406</v>
      </c>
      <c r="L34" s="2" t="s">
        <v>3412</v>
      </c>
      <c r="M34" s="2" t="n">
        <v>104</v>
      </c>
      <c r="S34" s="2" t="n">
        <v>5</v>
      </c>
      <c r="T34" s="2" t="n">
        <v>75</v>
      </c>
    </row>
    <row r="35" customFormat="false" ht="18.7" hidden="false" customHeight="true" outlineLevel="0" collapsed="false">
      <c r="A35" s="1" t="n">
        <v>34</v>
      </c>
      <c r="B35" s="7" t="str">
        <f aca="false">HYPERLINK("https://mncourtfraud.com/file/27-CR-19-26893.pdf","27-CR-19-26893")</f>
        <v>27-CR-19-26893</v>
      </c>
      <c r="C35" s="1" t="n">
        <v>1</v>
      </c>
      <c r="D35" s="2" t="s">
        <v>12</v>
      </c>
      <c r="E35" s="8" t="n">
        <v>44468</v>
      </c>
      <c r="F35" s="2" t="s">
        <v>24</v>
      </c>
      <c r="G35" s="7" t="str">
        <f aca="false">HYPERLINK("https://mncourtfraud.com/file/MCRO_27-CR-19-26893_Order for Conditional Release_2021-09-29_20251126174746.pdf","MCRO_27-CR-19-26893_Order for Conditional Release_2021-09-29_20251126174746.pdf")</f>
        <v>MCRO_27-CR-19-26893_Order for Conditional Release_2021-09-29_20251126174746.pdf</v>
      </c>
      <c r="H35" s="7" t="str">
        <f aca="false">HYPERLINK("https://mncourtfraud.com/file/3d978c70f8a4a91fd25d0f653c2931516767fdd837fcadff75a8c3cd2ba3a28e.png","3d978c70f8a4a91fd25d0f653c2931516767fdd837fcadff75a8c3cd2ba3a28e")</f>
        <v>3d978c70f8a4a91fd25d0f653c2931516767fdd837fcadff75a8c3cd2ba3a28e</v>
      </c>
      <c r="I35" s="1" t="s">
        <v>3406</v>
      </c>
      <c r="L35" s="2" t="s">
        <v>3412</v>
      </c>
      <c r="M35" s="2" t="n">
        <v>2435</v>
      </c>
      <c r="S35" s="2" t="n">
        <v>1069</v>
      </c>
      <c r="T35" s="2" t="n">
        <v>679</v>
      </c>
    </row>
    <row r="36" customFormat="false" ht="18.7" hidden="false" customHeight="true" outlineLevel="0" collapsed="false">
      <c r="A36" s="1" t="n">
        <v>35</v>
      </c>
      <c r="B36" s="7" t="str">
        <f aca="false">HYPERLINK("https://mncourtfraud.com/file/27-CR-19-26893.pdf","27-CR-19-26893")</f>
        <v>27-CR-19-26893</v>
      </c>
      <c r="C36" s="1" t="n">
        <v>1</v>
      </c>
      <c r="D36" s="2" t="s">
        <v>12</v>
      </c>
      <c r="E36" s="8" t="n">
        <v>44468</v>
      </c>
      <c r="F36" s="2" t="s">
        <v>24</v>
      </c>
      <c r="G36" s="7" t="str">
        <f aca="false">HYPERLINK("https://mncourtfraud.com/file/MCRO_27-CR-19-26893_Order for Conditional Release_2021-09-29_20251126174746.pdf","MCRO_27-CR-19-26893_Order for Conditional Release_2021-09-29_20251126174746.pdf")</f>
        <v>MCRO_27-CR-19-26893_Order for Conditional Release_2021-09-29_20251126174746.pdf</v>
      </c>
      <c r="H36" s="7" t="str">
        <f aca="false">HYPERLINK("https://mncourtfraud.com/file/3f202249d41f264cabf7a4fd2c634829df7886c25cb759658f06c1a8bca28360.cid","3f202249d41f264cabf7a4fd2c634829df7886c25cb759658f06c1a8bca28360")</f>
        <v>3f202249d41f264cabf7a4fd2c634829df7886c25cb759658f06c1a8bca28360</v>
      </c>
      <c r="I36" s="1" t="s">
        <v>3431</v>
      </c>
      <c r="L36" s="2" t="s">
        <v>3415</v>
      </c>
      <c r="M36" s="2" t="n">
        <v>1397</v>
      </c>
    </row>
    <row r="37" customFormat="false" ht="18.7" hidden="false" customHeight="true" outlineLevel="0" collapsed="false">
      <c r="A37" s="1" t="n">
        <v>36</v>
      </c>
      <c r="B37" s="7" t="str">
        <f aca="false">HYPERLINK("https://mncourtfraud.com/file/27-CR-19-26893.pdf","27-CR-19-26893")</f>
        <v>27-CR-19-26893</v>
      </c>
      <c r="C37" s="1" t="n">
        <v>1</v>
      </c>
      <c r="D37" s="2" t="s">
        <v>12</v>
      </c>
      <c r="E37" s="8" t="n">
        <v>44468</v>
      </c>
      <c r="F37" s="2" t="s">
        <v>24</v>
      </c>
      <c r="G37" s="7" t="str">
        <f aca="false">HYPERLINK("https://mncourtfraud.com/file/MCRO_27-CR-19-26893_Order for Conditional Release_2021-09-29_20251126174746.pdf","MCRO_27-CR-19-26893_Order for Conditional Release_2021-09-29_20251126174746.pdf")</f>
        <v>MCRO_27-CR-19-26893_Order for Conditional Release_2021-09-29_20251126174746.pdf</v>
      </c>
      <c r="H37" s="7" t="str">
        <f aca="false">HYPERLINK("https://mncourtfraud.com/file/425a64ecdc19aa0c86b927b2be8980d179c92ac4af2a49d3c3ad0aa278728c52.png","425a64ecdc19aa0c86b927b2be8980d179c92ac4af2a49d3c3ad0aa278728c52")</f>
        <v>425a64ecdc19aa0c86b927b2be8980d179c92ac4af2a49d3c3ad0aa278728c52</v>
      </c>
      <c r="I37" s="1" t="s">
        <v>3406</v>
      </c>
      <c r="L37" s="2" t="s">
        <v>3412</v>
      </c>
      <c r="M37" s="2" t="n">
        <v>520</v>
      </c>
      <c r="S37" s="2" t="n">
        <v>126</v>
      </c>
      <c r="T37" s="2" t="n">
        <v>150</v>
      </c>
    </row>
    <row r="38" customFormat="false" ht="18.7" hidden="false" customHeight="true" outlineLevel="0" collapsed="false">
      <c r="A38" s="1" t="n">
        <v>37</v>
      </c>
      <c r="B38" s="7" t="str">
        <f aca="false">HYPERLINK("https://mncourtfraud.com/file/27-CR-19-26893.pdf","27-CR-19-26893")</f>
        <v>27-CR-19-26893</v>
      </c>
      <c r="C38" s="1" t="n">
        <v>1</v>
      </c>
      <c r="D38" s="2" t="s">
        <v>12</v>
      </c>
      <c r="E38" s="8" t="n">
        <v>44468</v>
      </c>
      <c r="F38" s="2" t="s">
        <v>24</v>
      </c>
      <c r="G38" s="7" t="str">
        <f aca="false">HYPERLINK("https://mncourtfraud.com/file/MCRO_27-CR-19-26893_Order for Conditional Release_2021-09-29_20251126174746.pdf","MCRO_27-CR-19-26893_Order for Conditional Release_2021-09-29_20251126174746.pdf")</f>
        <v>MCRO_27-CR-19-26893_Order for Conditional Release_2021-09-29_20251126174746.pdf</v>
      </c>
      <c r="H38" s="7" t="str">
        <f aca="false">HYPERLINK("https://mncourtfraud.com/file/4458a2b033c8132fd890227750c1df180ec4563b9dc0a6394b3691240425c9b3.cid","4458a2b033c8132fd890227750c1df180ec4563b9dc0a6394b3691240425c9b3")</f>
        <v>4458a2b033c8132fd890227750c1df180ec4563b9dc0a6394b3691240425c9b3</v>
      </c>
      <c r="I38" s="1" t="s">
        <v>3431</v>
      </c>
      <c r="L38" s="2" t="s">
        <v>3415</v>
      </c>
      <c r="M38" s="2" t="n">
        <v>3580</v>
      </c>
    </row>
    <row r="39" customFormat="false" ht="18.7" hidden="false" customHeight="true" outlineLevel="0" collapsed="false">
      <c r="A39" s="1" t="n">
        <v>38</v>
      </c>
      <c r="B39" s="7" t="str">
        <f aca="false">HYPERLINK("https://mncourtfraud.com/file/27-CR-19-26893.pdf","27-CR-19-26893")</f>
        <v>27-CR-19-26893</v>
      </c>
      <c r="C39" s="1" t="n">
        <v>1</v>
      </c>
      <c r="D39" s="2" t="s">
        <v>12</v>
      </c>
      <c r="E39" s="8" t="n">
        <v>44468</v>
      </c>
      <c r="F39" s="2" t="s">
        <v>24</v>
      </c>
      <c r="G39" s="7" t="str">
        <f aca="false">HYPERLINK("https://mncourtfraud.com/file/MCRO_27-CR-19-26893_Order for Conditional Release_2021-09-29_20251126174746.pdf","MCRO_27-CR-19-26893_Order for Conditional Release_2021-09-29_20251126174746.pdf")</f>
        <v>MCRO_27-CR-19-26893_Order for Conditional Release_2021-09-29_20251126174746.pdf</v>
      </c>
      <c r="H39" s="7" t="str">
        <f aca="false">HYPERLINK("https://mncourtfraud.com/file/45a9f49ddf96d4a4dcf4561d2702204f448986045babf3fdd52fa18200557e31.png","45a9f49ddf96d4a4dcf4561d2702204f448986045babf3fdd52fa18200557e31")</f>
        <v>45a9f49ddf96d4a4dcf4561d2702204f448986045babf3fdd52fa18200557e31</v>
      </c>
      <c r="I39" s="1" t="s">
        <v>3406</v>
      </c>
      <c r="L39" s="2" t="s">
        <v>3412</v>
      </c>
      <c r="M39" s="2" t="n">
        <v>97</v>
      </c>
      <c r="S39" s="2" t="n">
        <v>3</v>
      </c>
      <c r="T39" s="2" t="n">
        <v>4</v>
      </c>
    </row>
    <row r="40" customFormat="false" ht="18.7" hidden="false" customHeight="true" outlineLevel="0" collapsed="false">
      <c r="A40" s="1" t="n">
        <v>39</v>
      </c>
      <c r="B40" s="7" t="str">
        <f aca="false">HYPERLINK("https://mncourtfraud.com/file/27-CR-19-26893.pdf","27-CR-19-26893")</f>
        <v>27-CR-19-26893</v>
      </c>
      <c r="C40" s="1" t="n">
        <v>1</v>
      </c>
      <c r="D40" s="2" t="s">
        <v>12</v>
      </c>
      <c r="E40" s="8" t="n">
        <v>44468</v>
      </c>
      <c r="F40" s="2" t="s">
        <v>24</v>
      </c>
      <c r="G40" s="7" t="str">
        <f aca="false">HYPERLINK("https://mncourtfraud.com/file/MCRO_27-CR-19-26893_Order for Conditional Release_2021-09-29_20251126174746.pdf","MCRO_27-CR-19-26893_Order for Conditional Release_2021-09-29_20251126174746.pdf")</f>
        <v>MCRO_27-CR-19-26893_Order for Conditional Release_2021-09-29_20251126174746.pdf</v>
      </c>
      <c r="H40" s="7" t="str">
        <f aca="false">HYPERLINK("https://mncourtfraud.com/file/50457dc3e0bb6204f128f3222c76884dffaf132a86395902e3967a44a5d511ed.cid","50457dc3e0bb6204f128f3222c76884dffaf132a86395902e3967a44a5d511ed")</f>
        <v>50457dc3e0bb6204f128f3222c76884dffaf132a86395902e3967a44a5d511ed</v>
      </c>
      <c r="I40" s="1" t="s">
        <v>3431</v>
      </c>
      <c r="L40" s="2" t="s">
        <v>3415</v>
      </c>
      <c r="M40" s="2" t="n">
        <v>2839</v>
      </c>
    </row>
    <row r="41" customFormat="false" ht="18.7" hidden="false" customHeight="true" outlineLevel="0" collapsed="false">
      <c r="A41" s="1" t="n">
        <v>40</v>
      </c>
      <c r="B41" s="7" t="str">
        <f aca="false">HYPERLINK("https://mncourtfraud.com/file/27-CR-19-26893.pdf","27-CR-19-26893")</f>
        <v>27-CR-19-26893</v>
      </c>
      <c r="C41" s="1" t="n">
        <v>1</v>
      </c>
      <c r="D41" s="2" t="s">
        <v>12</v>
      </c>
      <c r="E41" s="8" t="n">
        <v>44468</v>
      </c>
      <c r="F41" s="2" t="s">
        <v>24</v>
      </c>
      <c r="G41" s="7" t="str">
        <f aca="false">HYPERLINK("https://mncourtfraud.com/file/MCRO_27-CR-19-26893_Order for Conditional Release_2021-09-29_20251126174746.pdf","MCRO_27-CR-19-26893_Order for Conditional Release_2021-09-29_20251126174746.pdf")</f>
        <v>MCRO_27-CR-19-26893_Order for Conditional Release_2021-09-29_20251126174746.pdf</v>
      </c>
      <c r="H41" s="7" t="str">
        <f aca="false">HYPERLINK("https://mncourtfraud.com/file/52f2827f81e9a21813e5089396a7afa6accf4023998e877d3b9460283e0bb9a5.cid","52f2827f81e9a21813e5089396a7afa6accf4023998e877d3b9460283e0bb9a5")</f>
        <v>52f2827f81e9a21813e5089396a7afa6accf4023998e877d3b9460283e0bb9a5</v>
      </c>
      <c r="I41" s="1" t="s">
        <v>3431</v>
      </c>
      <c r="L41" s="2" t="s">
        <v>3415</v>
      </c>
      <c r="M41" s="2" t="n">
        <v>381</v>
      </c>
    </row>
    <row r="42" customFormat="false" ht="18.7" hidden="false" customHeight="true" outlineLevel="0" collapsed="false">
      <c r="A42" s="1" t="n">
        <v>41</v>
      </c>
      <c r="B42" s="7" t="str">
        <f aca="false">HYPERLINK("https://mncourtfraud.com/file/27-CR-19-26893.pdf","27-CR-19-26893")</f>
        <v>27-CR-19-26893</v>
      </c>
      <c r="C42" s="1" t="n">
        <v>1</v>
      </c>
      <c r="D42" s="2" t="s">
        <v>12</v>
      </c>
      <c r="E42" s="8" t="n">
        <v>44468</v>
      </c>
      <c r="F42" s="2" t="s">
        <v>24</v>
      </c>
      <c r="G42" s="7" t="str">
        <f aca="false">HYPERLINK("https://mncourtfraud.com/file/MCRO_27-CR-19-26893_Order for Conditional Release_2021-09-29_20251126174746.pdf","MCRO_27-CR-19-26893_Order for Conditional Release_2021-09-29_20251126174746.pdf")</f>
        <v>MCRO_27-CR-19-26893_Order for Conditional Release_2021-09-29_20251126174746.pdf</v>
      </c>
      <c r="H42" s="7" t="str">
        <f aca="false">HYPERLINK("https://mncourtfraud.com/file/5bf127b8427f0831bc8864aa549643604be6b63d8ca96ff1ba7182ccec9bc2ad.cid","5bf127b8427f0831bc8864aa549643604be6b63d8ca96ff1ba7182ccec9bc2ad")</f>
        <v>5bf127b8427f0831bc8864aa549643604be6b63d8ca96ff1ba7182ccec9bc2ad</v>
      </c>
      <c r="I42" s="1" t="s">
        <v>3431</v>
      </c>
      <c r="L42" s="2" t="s">
        <v>3415</v>
      </c>
      <c r="M42" s="2" t="n">
        <v>7990</v>
      </c>
    </row>
    <row r="43" customFormat="false" ht="18.7" hidden="false" customHeight="true" outlineLevel="0" collapsed="false">
      <c r="A43" s="1" t="n">
        <v>42</v>
      </c>
      <c r="B43" s="7" t="str">
        <f aca="false">HYPERLINK("https://mncourtfraud.com/file/27-CR-19-26893.pdf","27-CR-19-26893")</f>
        <v>27-CR-19-26893</v>
      </c>
      <c r="C43" s="1" t="n">
        <v>1</v>
      </c>
      <c r="D43" s="2" t="s">
        <v>12</v>
      </c>
      <c r="E43" s="8" t="n">
        <v>44468</v>
      </c>
      <c r="F43" s="2" t="s">
        <v>24</v>
      </c>
      <c r="G43" s="7" t="str">
        <f aca="false">HYPERLINK("https://mncourtfraud.com/file/MCRO_27-CR-19-26893_Order for Conditional Release_2021-09-29_20251126174746.pdf","MCRO_27-CR-19-26893_Order for Conditional Release_2021-09-29_20251126174746.pdf")</f>
        <v>MCRO_27-CR-19-26893_Order for Conditional Release_2021-09-29_20251126174746.pdf</v>
      </c>
      <c r="H43" s="7" t="str">
        <f aca="false">HYPERLINK("https://mncourtfraud.com/file/614121b29b009262816a5b70532c1a04ec73c5d83786c4500719e9e7d614a562.cid","614121b29b009262816a5b70532c1a04ec73c5d83786c4500719e9e7d614a562")</f>
        <v>614121b29b009262816a5b70532c1a04ec73c5d83786c4500719e9e7d614a562</v>
      </c>
      <c r="I43" s="1" t="s">
        <v>3431</v>
      </c>
      <c r="L43" s="2" t="s">
        <v>3415</v>
      </c>
      <c r="M43" s="2" t="n">
        <v>5970</v>
      </c>
    </row>
    <row r="44" customFormat="false" ht="18.7" hidden="false" customHeight="true" outlineLevel="0" collapsed="false">
      <c r="A44" s="1" t="n">
        <v>43</v>
      </c>
      <c r="B44" s="7" t="str">
        <f aca="false">HYPERLINK("https://mncourtfraud.com/file/27-CR-19-26893.pdf","27-CR-19-26893")</f>
        <v>27-CR-19-26893</v>
      </c>
      <c r="C44" s="1" t="n">
        <v>1</v>
      </c>
      <c r="D44" s="2" t="s">
        <v>12</v>
      </c>
      <c r="E44" s="8" t="n">
        <v>44468</v>
      </c>
      <c r="F44" s="2" t="s">
        <v>24</v>
      </c>
      <c r="G44" s="7" t="str">
        <f aca="false">HYPERLINK("https://mncourtfraud.com/file/MCRO_27-CR-19-26893_Order for Conditional Release_2021-09-29_20251126174746.pdf","MCRO_27-CR-19-26893_Order for Conditional Release_2021-09-29_20251126174746.pdf")</f>
        <v>MCRO_27-CR-19-26893_Order for Conditional Release_2021-09-29_20251126174746.pdf</v>
      </c>
      <c r="H44" s="7" t="str">
        <f aca="false">HYPERLINK("https://mncourtfraud.com/file/7e14169e8fd6eddddd43bc2fc14557202f527587078dd29e867ad63570714e07.png","7e14169e8fd6eddddd43bc2fc14557202f527587078dd29e867ad63570714e07")</f>
        <v>7e14169e8fd6eddddd43bc2fc14557202f527587078dd29e867ad63570714e07</v>
      </c>
      <c r="I44" s="1" t="s">
        <v>3406</v>
      </c>
      <c r="L44" s="2" t="s">
        <v>3412</v>
      </c>
      <c r="M44" s="2" t="n">
        <v>100</v>
      </c>
      <c r="S44" s="2" t="n">
        <v>5</v>
      </c>
      <c r="T44" s="2" t="n">
        <v>5</v>
      </c>
    </row>
    <row r="45" customFormat="false" ht="18.7" hidden="false" customHeight="true" outlineLevel="0" collapsed="false">
      <c r="A45" s="1" t="n">
        <v>44</v>
      </c>
      <c r="B45" s="7" t="str">
        <f aca="false">HYPERLINK("https://mncourtfraud.com/file/27-CR-19-26893.pdf","27-CR-19-26893")</f>
        <v>27-CR-19-26893</v>
      </c>
      <c r="C45" s="1" t="n">
        <v>1</v>
      </c>
      <c r="D45" s="2" t="s">
        <v>12</v>
      </c>
      <c r="E45" s="8" t="n">
        <v>44468</v>
      </c>
      <c r="F45" s="2" t="s">
        <v>24</v>
      </c>
      <c r="G45" s="7" t="str">
        <f aca="false">HYPERLINK("https://mncourtfraud.com/file/MCRO_27-CR-19-26893_Order for Conditional Release_2021-09-29_20251126174746.pdf","MCRO_27-CR-19-26893_Order for Conditional Release_2021-09-29_20251126174746.pdf")</f>
        <v>MCRO_27-CR-19-26893_Order for Conditional Release_2021-09-29_20251126174746.pdf</v>
      </c>
      <c r="H45" s="7" t="str">
        <f aca="false">HYPERLINK("https://mncourtfraud.com/file/8198df5372238cac138bb64883627cf42bfc08ac483ff14b35858ae098fa3e09.cid","8198df5372238cac138bb64883627cf42bfc08ac483ff14b35858ae098fa3e09")</f>
        <v>8198df5372238cac138bb64883627cf42bfc08ac483ff14b35858ae098fa3e09</v>
      </c>
      <c r="I45" s="1" t="s">
        <v>3431</v>
      </c>
      <c r="L45" s="2" t="s">
        <v>3415</v>
      </c>
      <c r="M45" s="2" t="n">
        <v>3966</v>
      </c>
    </row>
    <row r="46" customFormat="false" ht="18.7" hidden="false" customHeight="true" outlineLevel="0" collapsed="false">
      <c r="A46" s="1" t="n">
        <v>45</v>
      </c>
      <c r="B46" s="7" t="str">
        <f aca="false">HYPERLINK("https://mncourtfraud.com/file/27-CR-19-26893.pdf","27-CR-19-26893")</f>
        <v>27-CR-19-26893</v>
      </c>
      <c r="C46" s="1" t="n">
        <v>1</v>
      </c>
      <c r="D46" s="2" t="s">
        <v>12</v>
      </c>
      <c r="E46" s="8" t="n">
        <v>44468</v>
      </c>
      <c r="F46" s="2" t="s">
        <v>24</v>
      </c>
      <c r="G46" s="7" t="str">
        <f aca="false">HYPERLINK("https://mncourtfraud.com/file/MCRO_27-CR-19-26893_Order for Conditional Release_2021-09-29_20251126174746.pdf","MCRO_27-CR-19-26893_Order for Conditional Release_2021-09-29_20251126174746.pdf")</f>
        <v>MCRO_27-CR-19-26893_Order for Conditional Release_2021-09-29_20251126174746.pdf</v>
      </c>
      <c r="H46" s="7" t="str">
        <f aca="false">HYPERLINK("https://mncourtfraud.com/file/8793bfb8eeebb59de729b22461b75a010eda532097214bf8285117449fae5b3c.png","8793bfb8eeebb59de729b22461b75a010eda532097214bf8285117449fae5b3c")</f>
        <v>8793bfb8eeebb59de729b22461b75a010eda532097214bf8285117449fae5b3c</v>
      </c>
      <c r="I46" s="1" t="s">
        <v>3406</v>
      </c>
      <c r="L46" s="2" t="s">
        <v>3412</v>
      </c>
      <c r="M46" s="2" t="n">
        <v>104</v>
      </c>
      <c r="S46" s="2" t="n">
        <v>6</v>
      </c>
      <c r="T46" s="2" t="n">
        <v>4</v>
      </c>
    </row>
    <row r="47" customFormat="false" ht="18.7" hidden="false" customHeight="true" outlineLevel="0" collapsed="false">
      <c r="A47" s="1" t="n">
        <v>46</v>
      </c>
      <c r="B47" s="7" t="str">
        <f aca="false">HYPERLINK("https://mncourtfraud.com/file/27-CR-19-26893.pdf","27-CR-19-26893")</f>
        <v>27-CR-19-26893</v>
      </c>
      <c r="C47" s="1" t="n">
        <v>1</v>
      </c>
      <c r="D47" s="2" t="s">
        <v>12</v>
      </c>
      <c r="E47" s="8" t="n">
        <v>44468</v>
      </c>
      <c r="F47" s="2" t="s">
        <v>24</v>
      </c>
      <c r="G47" s="7" t="str">
        <f aca="false">HYPERLINK("https://mncourtfraud.com/file/MCRO_27-CR-19-26893_Order for Conditional Release_2021-09-29_20251126174746.pdf","MCRO_27-CR-19-26893_Order for Conditional Release_2021-09-29_20251126174746.pdf")</f>
        <v>MCRO_27-CR-19-26893_Order for Conditional Release_2021-09-29_20251126174746.pdf</v>
      </c>
      <c r="H47" s="7" t="str">
        <f aca="false">HYPERLINK("https://mncourtfraud.com/file/8c2e00c7a4e8974eff73eba397a59d5f5f25d249433535298973d70a9f79dec8.png","8c2e00c7a4e8974eff73eba397a59d5f5f25d249433535298973d70a9f79dec8")</f>
        <v>8c2e00c7a4e8974eff73eba397a59d5f5f25d249433535298973d70a9f79dec8</v>
      </c>
      <c r="I47" s="1" t="s">
        <v>3406</v>
      </c>
      <c r="L47" s="2" t="s">
        <v>3412</v>
      </c>
      <c r="M47" s="2" t="n">
        <v>810</v>
      </c>
      <c r="S47" s="2" t="n">
        <v>519</v>
      </c>
      <c r="T47" s="2" t="n">
        <v>231</v>
      </c>
    </row>
    <row r="48" customFormat="false" ht="18.7" hidden="false" customHeight="true" outlineLevel="0" collapsed="false">
      <c r="A48" s="1" t="n">
        <v>47</v>
      </c>
      <c r="B48" s="7" t="str">
        <f aca="false">HYPERLINK("https://mncourtfraud.com/file/27-CR-19-26893.pdf","27-CR-19-26893")</f>
        <v>27-CR-19-26893</v>
      </c>
      <c r="C48" s="1" t="n">
        <v>1</v>
      </c>
      <c r="D48" s="2" t="s">
        <v>12</v>
      </c>
      <c r="E48" s="8" t="n">
        <v>44468</v>
      </c>
      <c r="F48" s="2" t="s">
        <v>24</v>
      </c>
      <c r="G48" s="7" t="str">
        <f aca="false">HYPERLINK("https://mncourtfraud.com/file/MCRO_27-CR-19-26893_Order for Conditional Release_2021-09-29_20251126174746.pdf","MCRO_27-CR-19-26893_Order for Conditional Release_2021-09-29_20251126174746.pdf")</f>
        <v>MCRO_27-CR-19-26893_Order for Conditional Release_2021-09-29_20251126174746.pdf</v>
      </c>
      <c r="H48" s="7" t="str">
        <f aca="false">HYPERLINK("https://mncourtfraud.com/file/a431b1b5f48186b4c98851d84352c1573e22c0e9b97117edbc0ad8603da3c307.png","a431b1b5f48186b4c98851d84352c1573e22c0e9b97117edbc0ad8603da3c307")</f>
        <v>a431b1b5f48186b4c98851d84352c1573e22c0e9b97117edbc0ad8603da3c307</v>
      </c>
      <c r="I48" s="1" t="s">
        <v>3406</v>
      </c>
      <c r="L48" s="2" t="s">
        <v>3412</v>
      </c>
      <c r="M48" s="2" t="n">
        <v>157</v>
      </c>
      <c r="S48" s="2" t="n">
        <v>7</v>
      </c>
      <c r="T48" s="2" t="n">
        <v>284</v>
      </c>
    </row>
    <row r="49" customFormat="false" ht="18.7" hidden="false" customHeight="true" outlineLevel="0" collapsed="false">
      <c r="A49" s="1" t="n">
        <v>48</v>
      </c>
      <c r="B49" s="7" t="str">
        <f aca="false">HYPERLINK("https://mncourtfraud.com/file/27-CR-19-26893.pdf","27-CR-19-26893")</f>
        <v>27-CR-19-26893</v>
      </c>
      <c r="C49" s="1" t="n">
        <v>1</v>
      </c>
      <c r="D49" s="2" t="s">
        <v>12</v>
      </c>
      <c r="E49" s="8" t="n">
        <v>44468</v>
      </c>
      <c r="F49" s="2" t="s">
        <v>24</v>
      </c>
      <c r="G49" s="7" t="str">
        <f aca="false">HYPERLINK("https://mncourtfraud.com/file/MCRO_27-CR-19-26893_Order for Conditional Release_2021-09-29_20251126174746.pdf","MCRO_27-CR-19-26893_Order for Conditional Release_2021-09-29_20251126174746.pdf")</f>
        <v>MCRO_27-CR-19-26893_Order for Conditional Release_2021-09-29_20251126174746.pdf</v>
      </c>
      <c r="H49" s="7" t="str">
        <f aca="false">HYPERLINK("https://mncourtfraud.com/file/ac369f378e3fbed88e7c1c71d7e27d3af59d79c8d2f8338a6182f69d0e17a2ef.cid","ac369f378e3fbed88e7c1c71d7e27d3af59d79c8d2f8338a6182f69d0e17a2ef")</f>
        <v>ac369f378e3fbed88e7c1c71d7e27d3af59d79c8d2f8338a6182f69d0e17a2ef</v>
      </c>
      <c r="I49" s="1" t="s">
        <v>3431</v>
      </c>
      <c r="L49" s="2" t="s">
        <v>3415</v>
      </c>
      <c r="M49" s="2" t="n">
        <v>14113</v>
      </c>
    </row>
    <row r="50" customFormat="false" ht="18.7" hidden="false" customHeight="true" outlineLevel="0" collapsed="false">
      <c r="A50" s="1" t="n">
        <v>49</v>
      </c>
      <c r="B50" s="7" t="str">
        <f aca="false">HYPERLINK("https://mncourtfraud.com/file/27-CR-19-26893.pdf","27-CR-19-26893")</f>
        <v>27-CR-19-26893</v>
      </c>
      <c r="C50" s="1" t="n">
        <v>1</v>
      </c>
      <c r="D50" s="2" t="s">
        <v>12</v>
      </c>
      <c r="E50" s="8" t="n">
        <v>44468</v>
      </c>
      <c r="F50" s="2" t="s">
        <v>24</v>
      </c>
      <c r="G50" s="7" t="str">
        <f aca="false">HYPERLINK("https://mncourtfraud.com/file/MCRO_27-CR-19-26893_Order for Conditional Release_2021-09-29_20251126174746.pdf","MCRO_27-CR-19-26893_Order for Conditional Release_2021-09-29_20251126174746.pdf")</f>
        <v>MCRO_27-CR-19-26893_Order for Conditional Release_2021-09-29_20251126174746.pdf</v>
      </c>
      <c r="H50" s="7" t="str">
        <f aca="false">HYPERLINK("https://mncourtfraud.com/file/b1c38e97038ce898a189d377f1fa9f4b673ae497ef07cd779e6d54764f350895.cid","b1c38e97038ce898a189d377f1fa9f4b673ae497ef07cd779e6d54764f350895")</f>
        <v>b1c38e97038ce898a189d377f1fa9f4b673ae497ef07cd779e6d54764f350895</v>
      </c>
      <c r="I50" s="1" t="s">
        <v>3431</v>
      </c>
      <c r="L50" s="2" t="s">
        <v>3415</v>
      </c>
      <c r="M50" s="2" t="n">
        <v>3783</v>
      </c>
    </row>
    <row r="51" customFormat="false" ht="18.7" hidden="false" customHeight="true" outlineLevel="0" collapsed="false">
      <c r="A51" s="1" t="n">
        <v>50</v>
      </c>
      <c r="B51" s="7" t="str">
        <f aca="false">HYPERLINK("https://mncourtfraud.com/file/27-CR-19-26893.pdf","27-CR-19-26893")</f>
        <v>27-CR-19-26893</v>
      </c>
      <c r="C51" s="1" t="n">
        <v>1</v>
      </c>
      <c r="D51" s="2" t="s">
        <v>12</v>
      </c>
      <c r="E51" s="8" t="n">
        <v>44468</v>
      </c>
      <c r="F51" s="2" t="s">
        <v>24</v>
      </c>
      <c r="G51" s="7" t="str">
        <f aca="false">HYPERLINK("https://mncourtfraud.com/file/MCRO_27-CR-19-26893_Order for Conditional Release_2021-09-29_20251126174746.pdf","MCRO_27-CR-19-26893_Order for Conditional Release_2021-09-29_20251126174746.pdf")</f>
        <v>MCRO_27-CR-19-26893_Order for Conditional Release_2021-09-29_20251126174746.pdf</v>
      </c>
      <c r="H51" s="7" t="str">
        <f aca="false">HYPERLINK("https://mncourtfraud.com/file/ba989ca65f54d43887ebbc930462a840e60360223cb0c16c223e7e9ed46afecb.cid","ba989ca65f54d43887ebbc930462a840e60360223cb0c16c223e7e9ed46afecb")</f>
        <v>ba989ca65f54d43887ebbc930462a840e60360223cb0c16c223e7e9ed46afecb</v>
      </c>
      <c r="I51" s="1" t="s">
        <v>3431</v>
      </c>
      <c r="L51" s="2" t="s">
        <v>3415</v>
      </c>
      <c r="M51" s="2" t="n">
        <v>444</v>
      </c>
    </row>
    <row r="52" customFormat="false" ht="18.7" hidden="false" customHeight="true" outlineLevel="0" collapsed="false">
      <c r="A52" s="1" t="n">
        <v>51</v>
      </c>
      <c r="B52" s="7" t="str">
        <f aca="false">HYPERLINK("https://mncourtfraud.com/file/27-CR-19-26893.pdf","27-CR-19-26893")</f>
        <v>27-CR-19-26893</v>
      </c>
      <c r="C52" s="1" t="n">
        <v>1</v>
      </c>
      <c r="D52" s="2" t="s">
        <v>12</v>
      </c>
      <c r="E52" s="8" t="n">
        <v>44468</v>
      </c>
      <c r="F52" s="2" t="s">
        <v>24</v>
      </c>
      <c r="G52" s="7" t="str">
        <f aca="false">HYPERLINK("https://mncourtfraud.com/file/MCRO_27-CR-19-26893_Order for Conditional Release_2021-09-29_20251126174746.pdf","MCRO_27-CR-19-26893_Order for Conditional Release_2021-09-29_20251126174746.pdf")</f>
        <v>MCRO_27-CR-19-26893_Order for Conditional Release_2021-09-29_20251126174746.pdf</v>
      </c>
      <c r="H52" s="7" t="str">
        <f aca="false">HYPERLINK("https://mncourtfraud.com/file/db9c8118091788c7a0a30157e363f5dd281f7a35fb525fad58599ee6371079a5.cid","db9c8118091788c7a0a30157e363f5dd281f7a35fb525fad58599ee6371079a5")</f>
        <v>db9c8118091788c7a0a30157e363f5dd281f7a35fb525fad58599ee6371079a5</v>
      </c>
      <c r="I52" s="1" t="s">
        <v>3431</v>
      </c>
      <c r="L52" s="2" t="s">
        <v>3415</v>
      </c>
      <c r="M52" s="2" t="n">
        <v>848</v>
      </c>
    </row>
    <row r="53" customFormat="false" ht="18.7" hidden="false" customHeight="true" outlineLevel="0" collapsed="false">
      <c r="A53" s="1" t="n">
        <v>52</v>
      </c>
      <c r="B53" s="7" t="str">
        <f aca="false">HYPERLINK("https://mncourtfraud.com/file/27-CR-19-26893.pdf","27-CR-19-26893")</f>
        <v>27-CR-19-26893</v>
      </c>
      <c r="C53" s="1" t="n">
        <v>1</v>
      </c>
      <c r="D53" s="2" t="s">
        <v>12</v>
      </c>
      <c r="E53" s="8" t="n">
        <v>44468</v>
      </c>
      <c r="F53" s="2" t="s">
        <v>24</v>
      </c>
      <c r="G53" s="7" t="str">
        <f aca="false">HYPERLINK("https://mncourtfraud.com/file/MCRO_27-CR-19-26893_Order for Conditional Release_2021-09-29_20251126174746.pdf","MCRO_27-CR-19-26893_Order for Conditional Release_2021-09-29_20251126174746.pdf")</f>
        <v>MCRO_27-CR-19-26893_Order for Conditional Release_2021-09-29_20251126174746.pdf</v>
      </c>
      <c r="H53" s="7" t="str">
        <f aca="false">HYPERLINK("https://mncourtfraud.com/file/e04b4db843c4bf02679b586bdc06323c2777cf59091b22718210a1dd2a0badc7.png","e04b4db843c4bf02679b586bdc06323c2777cf59091b22718210a1dd2a0badc7")</f>
        <v>e04b4db843c4bf02679b586bdc06323c2777cf59091b22718210a1dd2a0badc7</v>
      </c>
      <c r="I53" s="1" t="s">
        <v>3406</v>
      </c>
      <c r="L53" s="2" t="s">
        <v>3412</v>
      </c>
      <c r="M53" s="2" t="n">
        <v>199</v>
      </c>
      <c r="S53" s="2" t="n">
        <v>7</v>
      </c>
      <c r="T53" s="2" t="n">
        <v>347</v>
      </c>
    </row>
    <row r="54" customFormat="false" ht="18.7" hidden="false" customHeight="true" outlineLevel="0" collapsed="false">
      <c r="A54" s="1" t="n">
        <v>53</v>
      </c>
      <c r="B54" s="7" t="str">
        <f aca="false">HYPERLINK("https://mncourtfraud.com/file/27-CR-19-26893.pdf","27-CR-19-26893")</f>
        <v>27-CR-19-26893</v>
      </c>
      <c r="C54" s="1" t="n">
        <v>1</v>
      </c>
      <c r="D54" s="2" t="s">
        <v>12</v>
      </c>
      <c r="E54" s="8" t="n">
        <v>44468</v>
      </c>
      <c r="F54" s="2" t="s">
        <v>24</v>
      </c>
      <c r="G54" s="7" t="str">
        <f aca="false">HYPERLINK("https://mncourtfraud.com/file/MCRO_27-CR-19-26893_Order for Conditional Release_2021-09-29_20251126174746.pdf","MCRO_27-CR-19-26893_Order for Conditional Release_2021-09-29_20251126174746.pdf")</f>
        <v>MCRO_27-CR-19-26893_Order for Conditional Release_2021-09-29_20251126174746.pdf</v>
      </c>
      <c r="H54" s="7" t="str">
        <f aca="false">HYPERLINK("https://mncourtfraud.com/file/edbae421bba147262ba26ef60780ca6dfd5bedce23be39a1f883da7c23dae35f.cid","edbae421bba147262ba26ef60780ca6dfd5bedce23be39a1f883da7c23dae35f")</f>
        <v>edbae421bba147262ba26ef60780ca6dfd5bedce23be39a1f883da7c23dae35f</v>
      </c>
      <c r="I54" s="1" t="s">
        <v>3431</v>
      </c>
      <c r="L54" s="2" t="s">
        <v>3415</v>
      </c>
      <c r="M54" s="2" t="n">
        <v>21348</v>
      </c>
    </row>
    <row r="55" customFormat="false" ht="18.7" hidden="false" customHeight="true" outlineLevel="0" collapsed="false">
      <c r="A55" s="1" t="n">
        <v>54</v>
      </c>
      <c r="B55" s="7" t="str">
        <f aca="false">HYPERLINK("https://mncourtfraud.com/file/27-CR-19-26893.pdf","27-CR-19-26893")</f>
        <v>27-CR-19-26893</v>
      </c>
      <c r="C55" s="1" t="n">
        <v>1</v>
      </c>
      <c r="D55" s="2" t="s">
        <v>12</v>
      </c>
      <c r="E55" s="8" t="n">
        <v>44468</v>
      </c>
      <c r="F55" s="2" t="s">
        <v>24</v>
      </c>
      <c r="G55" s="7" t="str">
        <f aca="false">HYPERLINK("https://mncourtfraud.com/file/MCRO_27-CR-19-26893_Order for Conditional Release_2021-09-29_20251126174746.pdf","MCRO_27-CR-19-26893_Order for Conditional Release_2021-09-29_20251126174746.pdf")</f>
        <v>MCRO_27-CR-19-26893_Order for Conditional Release_2021-09-29_20251126174746.pdf</v>
      </c>
      <c r="H55" s="7" t="str">
        <f aca="false">HYPERLINK("https://mncourtfraud.com/file/efd944d517e9b552a77a910c5203f04540cf1249b7304a04f4907f542ec53c17.cid","efd944d517e9b552a77a910c5203f04540cf1249b7304a04f4907f542ec53c17")</f>
        <v>efd944d517e9b552a77a910c5203f04540cf1249b7304a04f4907f542ec53c17</v>
      </c>
      <c r="I55" s="1" t="s">
        <v>3431</v>
      </c>
      <c r="L55" s="2" t="s">
        <v>3415</v>
      </c>
      <c r="M55" s="2" t="n">
        <v>5521</v>
      </c>
    </row>
    <row r="56" customFormat="false" ht="18.7" hidden="false" customHeight="true" outlineLevel="0" collapsed="false">
      <c r="A56" s="1" t="n">
        <v>55</v>
      </c>
      <c r="B56" s="7" t="str">
        <f aca="false">HYPERLINK("https://mncourtfraud.com/file/27-CR-19-26893.pdf","27-CR-19-26893")</f>
        <v>27-CR-19-26893</v>
      </c>
      <c r="C56" s="1" t="n">
        <v>1</v>
      </c>
      <c r="D56" s="2" t="s">
        <v>12</v>
      </c>
      <c r="E56" s="8" t="n">
        <v>44468</v>
      </c>
      <c r="F56" s="2" t="s">
        <v>24</v>
      </c>
      <c r="G56" s="7" t="str">
        <f aca="false">HYPERLINK("https://mncourtfraud.com/file/MCRO_27-CR-19-26893_Order for Conditional Release_2021-09-29_20251126174746.pdf","MCRO_27-CR-19-26893_Order for Conditional Release_2021-09-29_20251126174746.pdf")</f>
        <v>MCRO_27-CR-19-26893_Order for Conditional Release_2021-09-29_20251126174746.pdf</v>
      </c>
      <c r="H56" s="7" t="str">
        <f aca="false">HYPERLINK("https://mncourtfraud.com/file/fe1965a60cba51fe144ad80b55474d56106539ec2835ed039f2e68d2691deed0.cid","fe1965a60cba51fe144ad80b55474d56106539ec2835ed039f2e68d2691deed0")</f>
        <v>fe1965a60cba51fe144ad80b55474d56106539ec2835ed039f2e68d2691deed0</v>
      </c>
      <c r="I56" s="1" t="s">
        <v>3431</v>
      </c>
      <c r="L56" s="2" t="s">
        <v>3415</v>
      </c>
      <c r="M56" s="2" t="n">
        <v>4323</v>
      </c>
    </row>
    <row r="57" customFormat="false" ht="18.7" hidden="false" customHeight="true" outlineLevel="0" collapsed="false">
      <c r="A57" s="1" t="n">
        <v>56</v>
      </c>
      <c r="B57" s="7" t="str">
        <f aca="false">HYPERLINK("https://mncourtfraud.com/file/27-CR-19-26893.pdf","27-CR-19-26893")</f>
        <v>27-CR-19-26893</v>
      </c>
      <c r="C57" s="1" t="n">
        <v>1</v>
      </c>
      <c r="D57" s="2" t="s">
        <v>12</v>
      </c>
      <c r="E57" s="8" t="n">
        <v>44468</v>
      </c>
      <c r="F57" s="2" t="s">
        <v>24</v>
      </c>
      <c r="G57" s="7" t="str">
        <f aca="false">HYPERLINK("https://mncourtfraud.com/file/MCRO_27-CR-19-26893_Order for Conditional Release_2021-09-29_20251126174746.pdf","MCRO_27-CR-19-26893_Order for Conditional Release_2021-09-29_20251126174746.pdf")</f>
        <v>MCRO_27-CR-19-26893_Order for Conditional Release_2021-09-29_20251126174746.pdf</v>
      </c>
      <c r="H57" s="7" t="str">
        <f aca="false">HYPERLINK("https://mncourtfraud.com/file/ff78f82f1ff3b9436a8d65df586b0bef19dd8fcf1b27941145ca7e723b37620b.cid","ff78f82f1ff3b9436a8d65df586b0bef19dd8fcf1b27941145ca7e723b37620b")</f>
        <v>ff78f82f1ff3b9436a8d65df586b0bef19dd8fcf1b27941145ca7e723b37620b</v>
      </c>
      <c r="I57" s="1" t="s">
        <v>3431</v>
      </c>
      <c r="L57" s="2" t="s">
        <v>3415</v>
      </c>
      <c r="M57" s="2" t="n">
        <v>339</v>
      </c>
    </row>
    <row r="58" customFormat="false" ht="18.7" hidden="false" customHeight="true" outlineLevel="0" collapsed="false">
      <c r="A58" s="1" t="n">
        <v>57</v>
      </c>
      <c r="B58" s="7" t="str">
        <f aca="false">HYPERLINK("https://mncourtfraud.com/file/27-CR-19-26893.pdf","27-CR-19-26893")</f>
        <v>27-CR-19-26893</v>
      </c>
      <c r="C58" s="1" t="n">
        <v>1</v>
      </c>
      <c r="D58" s="2" t="s">
        <v>12</v>
      </c>
      <c r="E58" s="8" t="n">
        <v>44543</v>
      </c>
      <c r="F58" s="2" t="s">
        <v>15</v>
      </c>
      <c r="G58" s="7" t="str">
        <f aca="false">HYPERLINK("https://mncourtfraud.com/file/MCRO_27-CR-19-26893_Order-Evaluation for Competency to Proceed (Rule 20.01)_2021-12-13_20251126174821.pdf","MCRO_27-CR-19-26893_Order-Evaluation for Competency to Proceed (Rule 20.01)_2021-12-13_20251126174821.pdf")</f>
        <v>MCRO_27-CR-19-26893_Order-Evaluation for Competency to Proceed (Rule 20.01)_2021-12-13_20251126174821.pdf</v>
      </c>
      <c r="H58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58" s="1" t="s">
        <v>3413</v>
      </c>
      <c r="J58" s="2" t="s">
        <v>3423</v>
      </c>
      <c r="K58" s="2" t="s">
        <v>3423</v>
      </c>
      <c r="L58" s="2" t="s">
        <v>3415</v>
      </c>
      <c r="M58" s="2" t="n">
        <v>11088</v>
      </c>
    </row>
    <row r="59" customFormat="false" ht="18.7" hidden="false" customHeight="true" outlineLevel="0" collapsed="false">
      <c r="A59" s="1" t="n">
        <v>58</v>
      </c>
      <c r="B59" s="7" t="str">
        <f aca="false">HYPERLINK("https://mncourtfraud.com/file/27-CR-19-26893.pdf","27-CR-19-26893")</f>
        <v>27-CR-19-26893</v>
      </c>
      <c r="C59" s="1" t="n">
        <v>1</v>
      </c>
      <c r="D59" s="2" t="s">
        <v>12</v>
      </c>
      <c r="E59" s="8" t="n">
        <v>44543</v>
      </c>
      <c r="F59" s="2" t="s">
        <v>15</v>
      </c>
      <c r="G59" s="7" t="str">
        <f aca="false">HYPERLINK("https://mncourtfraud.com/file/MCRO_27-CR-19-26893_Order-Evaluation for Competency to Proceed (Rule 20.01)_2021-12-13_20251126174821.pdf","MCRO_27-CR-19-26893_Order-Evaluation for Competency to Proceed (Rule 20.01)_2021-12-13_20251126174821.pdf")</f>
        <v>MCRO_27-CR-19-26893_Order-Evaluation for Competency to Proceed (Rule 20.01)_2021-12-13_20251126174821.pdf</v>
      </c>
      <c r="H59" s="7" t="str">
        <f aca="false">HYPERLINK("https://mncourtfraud.com/file/22be6394304ce5b678311fefb19c39c8cb0a49d25f23150f1efe21ad14b99c7b.ttf","22be6394304ce5b678311fefb19c39c8cb0a49d25f23150f1efe21ad14b99c7b")</f>
        <v>22be6394304ce5b678311fefb19c39c8cb0a49d25f23150f1efe21ad14b99c7b</v>
      </c>
      <c r="I59" s="1" t="s">
        <v>3413</v>
      </c>
      <c r="J59" s="2" t="s">
        <v>3421</v>
      </c>
      <c r="K59" s="2" t="s">
        <v>3421</v>
      </c>
      <c r="L59" s="2" t="s">
        <v>3415</v>
      </c>
      <c r="M59" s="2" t="n">
        <v>117192</v>
      </c>
    </row>
    <row r="60" customFormat="false" ht="18.7" hidden="false" customHeight="true" outlineLevel="0" collapsed="false">
      <c r="A60" s="1" t="n">
        <v>59</v>
      </c>
      <c r="B60" s="7" t="str">
        <f aca="false">HYPERLINK("https://mncourtfraud.com/file/27-CR-19-26893.pdf","27-CR-19-26893")</f>
        <v>27-CR-19-26893</v>
      </c>
      <c r="C60" s="1" t="n">
        <v>1</v>
      </c>
      <c r="D60" s="2" t="s">
        <v>12</v>
      </c>
      <c r="E60" s="8" t="n">
        <v>44543</v>
      </c>
      <c r="F60" s="2" t="s">
        <v>15</v>
      </c>
      <c r="G60" s="7" t="str">
        <f aca="false">HYPERLINK("https://mncourtfraud.com/file/MCRO_27-CR-19-26893_Order-Evaluation for Competency to Proceed (Rule 20.01)_2021-12-13_20251126174821.pdf","MCRO_27-CR-19-26893_Order-Evaluation for Competency to Proceed (Rule 20.01)_2021-12-13_20251126174821.pdf")</f>
        <v>MCRO_27-CR-19-26893_Order-Evaluation for Competency to Proceed (Rule 20.01)_2021-12-13_20251126174821.pdf</v>
      </c>
      <c r="H60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60" s="1" t="s">
        <v>3413</v>
      </c>
      <c r="J60" s="2" t="s">
        <v>3424</v>
      </c>
      <c r="K60" s="2" t="s">
        <v>3424</v>
      </c>
      <c r="L60" s="2" t="s">
        <v>3415</v>
      </c>
      <c r="M60" s="2" t="n">
        <v>14252</v>
      </c>
    </row>
    <row r="61" customFormat="false" ht="18.7" hidden="false" customHeight="true" outlineLevel="0" collapsed="false">
      <c r="A61" s="1" t="n">
        <v>60</v>
      </c>
      <c r="B61" s="7" t="str">
        <f aca="false">HYPERLINK("https://mncourtfraud.com/file/27-CR-19-26893.pdf","27-CR-19-26893")</f>
        <v>27-CR-19-26893</v>
      </c>
      <c r="C61" s="1" t="n">
        <v>1</v>
      </c>
      <c r="D61" s="2" t="s">
        <v>12</v>
      </c>
      <c r="E61" s="8" t="n">
        <v>44543</v>
      </c>
      <c r="F61" s="2" t="s">
        <v>15</v>
      </c>
      <c r="G61" s="7" t="str">
        <f aca="false">HYPERLINK("https://mncourtfraud.com/file/MCRO_27-CR-19-26893_Order-Evaluation for Competency to Proceed (Rule 20.01)_2021-12-13_20251126174821.pdf","MCRO_27-CR-19-26893_Order-Evaluation for Competency to Proceed (Rule 20.01)_2021-12-13_20251126174821.pdf")</f>
        <v>MCRO_27-CR-19-26893_Order-Evaluation for Competency to Proceed (Rule 20.01)_2021-12-13_20251126174821.pdf</v>
      </c>
      <c r="H61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61" s="1" t="s">
        <v>3406</v>
      </c>
      <c r="K61" s="2" t="s">
        <v>3420</v>
      </c>
      <c r="L61" s="2" t="s">
        <v>3408</v>
      </c>
      <c r="M61" s="2" t="n">
        <v>7306</v>
      </c>
      <c r="O61" s="2" t="s">
        <v>3409</v>
      </c>
      <c r="P61" s="2" t="s">
        <v>3410</v>
      </c>
      <c r="S61" s="2" t="n">
        <v>319</v>
      </c>
      <c r="T61" s="2" t="n">
        <v>105</v>
      </c>
    </row>
    <row r="62" customFormat="false" ht="18.7" hidden="false" customHeight="true" outlineLevel="0" collapsed="false">
      <c r="A62" s="1" t="n">
        <v>61</v>
      </c>
      <c r="B62" s="7" t="str">
        <f aca="false">HYPERLINK("https://mncourtfraud.com/file/27-CR-19-26893.pdf","27-CR-19-26893")</f>
        <v>27-CR-19-26893</v>
      </c>
      <c r="C62" s="1" t="n">
        <v>1</v>
      </c>
      <c r="D62" s="2" t="s">
        <v>12</v>
      </c>
      <c r="E62" s="8" t="n">
        <v>44543</v>
      </c>
      <c r="F62" s="2" t="s">
        <v>15</v>
      </c>
      <c r="G62" s="7" t="str">
        <f aca="false">HYPERLINK("https://mncourtfraud.com/file/MCRO_27-CR-19-26893_Order-Evaluation for Competency to Proceed (Rule 20.01)_2021-12-13_20251126174821.pdf","MCRO_27-CR-19-26893_Order-Evaluation for Competency to Proceed (Rule 20.01)_2021-12-13_20251126174821.pdf")</f>
        <v>MCRO_27-CR-19-26893_Order-Evaluation for Competency to Proceed (Rule 20.01)_2021-12-13_20251126174821.pdf</v>
      </c>
      <c r="H62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62" s="1" t="s">
        <v>3406</v>
      </c>
      <c r="K62" s="2" t="s">
        <v>3425</v>
      </c>
      <c r="L62" s="2" t="s">
        <v>3408</v>
      </c>
      <c r="M62" s="2" t="n">
        <v>21225</v>
      </c>
      <c r="O62" s="2" t="s">
        <v>3409</v>
      </c>
      <c r="P62" s="2" t="s">
        <v>3410</v>
      </c>
      <c r="S62" s="2" t="n">
        <v>319</v>
      </c>
      <c r="T62" s="2" t="n">
        <v>105</v>
      </c>
    </row>
    <row r="63" customFormat="false" ht="18.7" hidden="false" customHeight="true" outlineLevel="0" collapsed="false">
      <c r="A63" s="1" t="n">
        <v>62</v>
      </c>
      <c r="B63" s="7" t="str">
        <f aca="false">HYPERLINK("https://mncourtfraud.com/file/27-CR-19-26893.pdf","27-CR-19-26893")</f>
        <v>27-CR-19-26893</v>
      </c>
      <c r="C63" s="1" t="n">
        <v>1</v>
      </c>
      <c r="D63" s="2" t="s">
        <v>12</v>
      </c>
      <c r="E63" s="8" t="n">
        <v>44543</v>
      </c>
      <c r="F63" s="2" t="s">
        <v>15</v>
      </c>
      <c r="G63" s="7" t="str">
        <f aca="false">HYPERLINK("https://mncourtfraud.com/file/MCRO_27-CR-19-26893_Order-Evaluation for Competency to Proceed (Rule 20.01)_2021-12-13_20251126174821.pdf","MCRO_27-CR-19-26893_Order-Evaluation for Competency to Proceed (Rule 20.01)_2021-12-13_20251126174821.pdf")</f>
        <v>MCRO_27-CR-19-26893_Order-Evaluation for Competency to Proceed (Rule 20.01)_2021-12-13_20251126174821.pdf</v>
      </c>
      <c r="H63" s="7" t="str">
        <f aca="false">HYPERLINK("https://mncourtfraud.com/file/f942eca43ffd6bdbf3ee942fee873a73c8baea7707298295b91918b6d8b6d6ee.ttf","f942eca43ffd6bdbf3ee942fee873a73c8baea7707298295b91918b6d8b6d6ee")</f>
        <v>f942eca43ffd6bdbf3ee942fee873a73c8baea7707298295b91918b6d8b6d6ee</v>
      </c>
      <c r="I63" s="1" t="s">
        <v>3413</v>
      </c>
      <c r="J63" s="2" t="s">
        <v>3422</v>
      </c>
      <c r="K63" s="2" t="s">
        <v>3422</v>
      </c>
      <c r="L63" s="2" t="s">
        <v>3415</v>
      </c>
      <c r="M63" s="2" t="n">
        <v>125444</v>
      </c>
    </row>
    <row r="64" customFormat="false" ht="18.7" hidden="false" customHeight="true" outlineLevel="0" collapsed="false">
      <c r="A64" s="1" t="n">
        <v>63</v>
      </c>
      <c r="B64" s="7" t="str">
        <f aca="false">HYPERLINK("https://mncourtfraud.com/file/27-CR-19-26893.pdf","27-CR-19-26893")</f>
        <v>27-CR-19-26893</v>
      </c>
      <c r="C64" s="1" t="n">
        <v>1</v>
      </c>
      <c r="D64" s="2" t="s">
        <v>12</v>
      </c>
      <c r="E64" s="8" t="n">
        <v>44558</v>
      </c>
      <c r="F64" s="2" t="s">
        <v>15</v>
      </c>
      <c r="G64" s="7" t="str">
        <f aca="false">HYPERLINK("https://mncourtfraud.com/file/MCRO_27-CR-19-26893_Order-Evaluation for Competency to Proceed (Rule 20.01)_2021-12-28_20251126174832.pdf","MCRO_27-CR-19-26893_Order-Evaluation for Competency to Proceed (Rule 20.01)_2021-12-28_20251126174832.pdf")</f>
        <v>MCRO_27-CR-19-26893_Order-Evaluation for Competency to Proceed (Rule 20.01)_2021-12-28_20251126174832.pdf</v>
      </c>
      <c r="H64" s="7" t="str">
        <f aca="false">HYPERLINK("https://mncourtfraud.com/file/25c7e76796c6415e28c903137860a420d44fcf0b9950099b20d63a8c02f471c7.png","25c7e76796c6415e28c903137860a420d44fcf0b9950099b20d63a8c02f471c7")</f>
        <v>25c7e76796c6415e28c903137860a420d44fcf0b9950099b20d63a8c02f471c7</v>
      </c>
      <c r="I64" s="1" t="s">
        <v>3406</v>
      </c>
      <c r="L64" s="2" t="s">
        <v>3412</v>
      </c>
      <c r="M64" s="2" t="n">
        <v>156805</v>
      </c>
      <c r="S64" s="2" t="n">
        <v>2550</v>
      </c>
      <c r="T64" s="2" t="n">
        <v>3300</v>
      </c>
    </row>
    <row r="65" customFormat="false" ht="18.7" hidden="false" customHeight="true" outlineLevel="0" collapsed="false">
      <c r="A65" s="1" t="n">
        <v>64</v>
      </c>
      <c r="B65" s="7" t="str">
        <f aca="false">HYPERLINK("https://mncourtfraud.com/file/27-CR-19-26893.pdf","27-CR-19-26893")</f>
        <v>27-CR-19-26893</v>
      </c>
      <c r="C65" s="1" t="n">
        <v>1</v>
      </c>
      <c r="D65" s="2" t="s">
        <v>12</v>
      </c>
      <c r="E65" s="8" t="n">
        <v>44558</v>
      </c>
      <c r="F65" s="2" t="s">
        <v>15</v>
      </c>
      <c r="G65" s="7" t="str">
        <f aca="false">HYPERLINK("https://mncourtfraud.com/file/MCRO_27-CR-19-26893_Order-Evaluation for Competency to Proceed (Rule 20.01)_2021-12-28_20251126174832.pdf","MCRO_27-CR-19-26893_Order-Evaluation for Competency to Proceed (Rule 20.01)_2021-12-28_20251126174832.pdf")</f>
        <v>MCRO_27-CR-19-26893_Order-Evaluation for Competency to Proceed (Rule 20.01)_2021-12-28_20251126174832.pdf</v>
      </c>
      <c r="H65" s="7" t="str">
        <f aca="false">HYPERLINK("https://mncourtfraud.com/file/4afbdeda379d9adf1e96f459a5c7bd1034191ec23881e1a313e6362243348d8e.png","4afbdeda379d9adf1e96f459a5c7bd1034191ec23881e1a313e6362243348d8e")</f>
        <v>4afbdeda379d9adf1e96f459a5c7bd1034191ec23881e1a313e6362243348d8e</v>
      </c>
      <c r="I65" s="1" t="s">
        <v>3406</v>
      </c>
      <c r="L65" s="2" t="s">
        <v>3412</v>
      </c>
      <c r="M65" s="2" t="n">
        <v>133395</v>
      </c>
      <c r="S65" s="2" t="n">
        <v>2550</v>
      </c>
      <c r="T65" s="2" t="n">
        <v>3300</v>
      </c>
    </row>
    <row r="66" customFormat="false" ht="18.7" hidden="false" customHeight="true" outlineLevel="0" collapsed="false">
      <c r="A66" s="1" t="n">
        <v>65</v>
      </c>
      <c r="B66" s="7" t="str">
        <f aca="false">HYPERLINK("https://mncourtfraud.com/file/27-CR-19-26893.pdf","27-CR-19-26893")</f>
        <v>27-CR-19-26893</v>
      </c>
      <c r="C66" s="1" t="n">
        <v>1</v>
      </c>
      <c r="D66" s="2" t="s">
        <v>12</v>
      </c>
      <c r="E66" s="8" t="n">
        <v>44558</v>
      </c>
      <c r="F66" s="2" t="s">
        <v>15</v>
      </c>
      <c r="G66" s="7" t="str">
        <f aca="false">HYPERLINK("https://mncourtfraud.com/file/MCRO_27-CR-19-26893_Order-Evaluation for Competency to Proceed (Rule 20.01)_2021-12-28_20251126174832.pdf","MCRO_27-CR-19-26893_Order-Evaluation for Competency to Proceed (Rule 20.01)_2021-12-28_20251126174832.pdf")</f>
        <v>MCRO_27-CR-19-26893_Order-Evaluation for Competency to Proceed (Rule 20.01)_2021-12-28_20251126174832.pdf</v>
      </c>
      <c r="H66" s="7" t="str">
        <f aca="false">HYPERLINK("https://mncourtfraud.com/file/8ba351c2e8e09146da2e61f90e67cf88b0a7b3a55233a7f00fa183df9cba266e.ttf","8ba351c2e8e09146da2e61f90e67cf88b0a7b3a55233a7f00fa183df9cba266e")</f>
        <v>8ba351c2e8e09146da2e61f90e67cf88b0a7b3a55233a7f00fa183df9cba266e</v>
      </c>
      <c r="I66" s="1" t="s">
        <v>3413</v>
      </c>
      <c r="L66" s="2" t="s">
        <v>3415</v>
      </c>
      <c r="M66" s="2" t="n">
        <v>333576</v>
      </c>
    </row>
    <row r="67" customFormat="false" ht="18.7" hidden="false" customHeight="true" outlineLevel="0" collapsed="false">
      <c r="A67" s="1" t="n">
        <v>66</v>
      </c>
      <c r="B67" s="7" t="str">
        <f aca="false">HYPERLINK("https://mncourtfraud.com/file/27-CR-19-26893.pdf","27-CR-19-26893")</f>
        <v>27-CR-19-26893</v>
      </c>
      <c r="C67" s="1" t="n">
        <v>1</v>
      </c>
      <c r="D67" s="2" t="s">
        <v>12</v>
      </c>
      <c r="E67" s="8" t="n">
        <v>44558</v>
      </c>
      <c r="F67" s="2" t="s">
        <v>15</v>
      </c>
      <c r="G67" s="7" t="str">
        <f aca="false">HYPERLINK("https://mncourtfraud.com/file/MCRO_27-CR-19-26893_Order-Evaluation for Competency to Proceed (Rule 20.01)_2021-12-28_20251126174832.pdf","MCRO_27-CR-19-26893_Order-Evaluation for Competency to Proceed (Rule 20.01)_2021-12-28_20251126174832.pdf")</f>
        <v>MCRO_27-CR-19-26893_Order-Evaluation for Competency to Proceed (Rule 20.01)_2021-12-28_20251126174832.pdf</v>
      </c>
      <c r="H67" s="7" t="str">
        <f aca="false">HYPERLINK("https://mncourtfraud.com/file/faa6d6153ef4483b2934a7db632062796699eb009e191bac9f687b1a5775afeb.png","faa6d6153ef4483b2934a7db632062796699eb009e191bac9f687b1a5775afeb")</f>
        <v>faa6d6153ef4483b2934a7db632062796699eb009e191bac9f687b1a5775afeb</v>
      </c>
      <c r="I67" s="1" t="s">
        <v>3406</v>
      </c>
      <c r="L67" s="2" t="s">
        <v>3412</v>
      </c>
      <c r="M67" s="2" t="n">
        <v>99146</v>
      </c>
      <c r="S67" s="2" t="n">
        <v>2550</v>
      </c>
      <c r="T67" s="2" t="n">
        <v>3300</v>
      </c>
    </row>
    <row r="68" customFormat="false" ht="18.7" hidden="false" customHeight="true" outlineLevel="0" collapsed="false">
      <c r="A68" s="1" t="n">
        <v>67</v>
      </c>
      <c r="B68" s="7" t="str">
        <f aca="false">HYPERLINK("https://mncourtfraud.com/file/27-CR-19-26893.pdf","27-CR-19-26893")</f>
        <v>27-CR-19-26893</v>
      </c>
      <c r="C68" s="1" t="n">
        <v>1</v>
      </c>
      <c r="D68" s="2" t="s">
        <v>12</v>
      </c>
      <c r="E68" s="8" t="n">
        <v>44593</v>
      </c>
      <c r="F68" s="2" t="s">
        <v>19</v>
      </c>
      <c r="G68" s="7" t="str">
        <f aca="false">HYPERLINK("https://mncourtfraud.com/file/MCRO_27-CR-19-26893_Findings and Order_2022-02-01_20251126174710.pdf","MCRO_27-CR-19-26893_Findings and Order_2022-02-01_20251126174710.pdf")</f>
        <v>MCRO_27-CR-19-26893_Findings and Order_2022-02-01_20251126174710.pdf</v>
      </c>
      <c r="H68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68" s="1" t="s">
        <v>3413</v>
      </c>
      <c r="J68" s="2" t="s">
        <v>3426</v>
      </c>
      <c r="K68" s="2" t="s">
        <v>3426</v>
      </c>
      <c r="L68" s="2" t="s">
        <v>3415</v>
      </c>
      <c r="M68" s="2" t="n">
        <v>74997</v>
      </c>
      <c r="N68" s="2" t="s">
        <v>3427</v>
      </c>
    </row>
    <row r="69" customFormat="false" ht="18.7" hidden="false" customHeight="true" outlineLevel="0" collapsed="false">
      <c r="A69" s="1" t="n">
        <v>68</v>
      </c>
      <c r="B69" s="7" t="str">
        <f aca="false">HYPERLINK("https://mncourtfraud.com/file/27-CR-19-26893.pdf","27-CR-19-26893")</f>
        <v>27-CR-19-26893</v>
      </c>
      <c r="C69" s="1" t="n">
        <v>1</v>
      </c>
      <c r="D69" s="2" t="s">
        <v>12</v>
      </c>
      <c r="E69" s="8" t="n">
        <v>44593</v>
      </c>
      <c r="F69" s="2" t="s">
        <v>19</v>
      </c>
      <c r="G69" s="7" t="str">
        <f aca="false">HYPERLINK("https://mncourtfraud.com/file/MCRO_27-CR-19-26893_Findings and Order_2022-02-01_20251126174710.pdf","MCRO_27-CR-19-26893_Findings and Order_2022-02-01_20251126174710.pdf")</f>
        <v>MCRO_27-CR-19-26893_Findings and Order_2022-02-01_20251126174710.pdf</v>
      </c>
      <c r="H69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69" s="1" t="s">
        <v>3428</v>
      </c>
      <c r="J69" s="2" t="s">
        <v>3429</v>
      </c>
      <c r="K69" s="2" t="s">
        <v>3429</v>
      </c>
      <c r="L69" s="2" t="s">
        <v>3415</v>
      </c>
      <c r="M69" s="2" t="n">
        <v>86093</v>
      </c>
    </row>
    <row r="70" customFormat="false" ht="18.7" hidden="false" customHeight="true" outlineLevel="0" collapsed="false">
      <c r="A70" s="1" t="n">
        <v>69</v>
      </c>
      <c r="B70" s="7" t="str">
        <f aca="false">HYPERLINK("https://mncourtfraud.com/file/27-CR-19-26893.pdf","27-CR-19-26893")</f>
        <v>27-CR-19-26893</v>
      </c>
      <c r="C70" s="1" t="n">
        <v>1</v>
      </c>
      <c r="D70" s="2" t="s">
        <v>12</v>
      </c>
      <c r="E70" s="8" t="n">
        <v>44593</v>
      </c>
      <c r="F70" s="2" t="s">
        <v>19</v>
      </c>
      <c r="G70" s="7" t="str">
        <f aca="false">HYPERLINK("https://mncourtfraud.com/file/MCRO_27-CR-19-26893_Findings and Order_2022-02-01_20251126174710.pdf","MCRO_27-CR-19-26893_Findings and Order_2022-02-01_20251126174710.pdf")</f>
        <v>MCRO_27-CR-19-26893_Findings and Order_2022-02-01_20251126174710.pdf</v>
      </c>
      <c r="H70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70" s="1" t="s">
        <v>3413</v>
      </c>
      <c r="J70" s="2" t="s">
        <v>3414</v>
      </c>
      <c r="K70" s="2" t="s">
        <v>3414</v>
      </c>
      <c r="L70" s="2" t="s">
        <v>3415</v>
      </c>
      <c r="M70" s="2" t="n">
        <v>42332</v>
      </c>
    </row>
    <row r="71" customFormat="false" ht="18.7" hidden="false" customHeight="true" outlineLevel="0" collapsed="false">
      <c r="A71" s="1" t="n">
        <v>70</v>
      </c>
      <c r="B71" s="7" t="str">
        <f aca="false">HYPERLINK("https://mncourtfraud.com/file/27-CR-19-26893.pdf","27-CR-19-26893")</f>
        <v>27-CR-19-26893</v>
      </c>
      <c r="C71" s="1" t="n">
        <v>1</v>
      </c>
      <c r="D71" s="2" t="s">
        <v>12</v>
      </c>
      <c r="E71" s="8" t="n">
        <v>44593</v>
      </c>
      <c r="F71" s="2" t="s">
        <v>19</v>
      </c>
      <c r="G71" s="7" t="str">
        <f aca="false">HYPERLINK("https://mncourtfraud.com/file/MCRO_27-CR-19-26893_Findings and Order_2022-02-01_20251126174710.pdf","MCRO_27-CR-19-26893_Findings and Order_2022-02-01_20251126174710.pdf")</f>
        <v>MCRO_27-CR-19-26893_Findings and Order_2022-02-01_20251126174710.pdf</v>
      </c>
      <c r="H71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71" s="1" t="s">
        <v>3413</v>
      </c>
      <c r="J71" s="2" t="s">
        <v>3414</v>
      </c>
      <c r="K71" s="2" t="s">
        <v>3414</v>
      </c>
      <c r="L71" s="2" t="s">
        <v>3415</v>
      </c>
      <c r="M71" s="2" t="n">
        <v>42332</v>
      </c>
    </row>
    <row r="72" customFormat="false" ht="18.7" hidden="false" customHeight="true" outlineLevel="0" collapsed="false">
      <c r="A72" s="1" t="n">
        <v>71</v>
      </c>
      <c r="B72" s="7" t="str">
        <f aca="false">HYPERLINK("https://mncourtfraud.com/file/27-CR-19-26893.pdf","27-CR-19-26893")</f>
        <v>27-CR-19-26893</v>
      </c>
      <c r="C72" s="1" t="n">
        <v>1</v>
      </c>
      <c r="D72" s="2" t="s">
        <v>12</v>
      </c>
      <c r="E72" s="8" t="n">
        <v>44593</v>
      </c>
      <c r="F72" s="2" t="s">
        <v>19</v>
      </c>
      <c r="G72" s="7" t="str">
        <f aca="false">HYPERLINK("https://mncourtfraud.com/file/MCRO_27-CR-19-26893_Findings and Order_2022-02-01_20251126174710.pdf","MCRO_27-CR-19-26893_Findings and Order_2022-02-01_20251126174710.pdf")</f>
        <v>MCRO_27-CR-19-26893_Findings and Order_2022-02-01_20251126174710.pdf</v>
      </c>
      <c r="H72" s="7" t="str">
        <f aca="false">HYPERLINK("https://mncourtfraud.com/file/d1e06f7a12c8d4ae1de62861dbfeadf4f6b52b1cfd6801e548bc1d08782c1451.ttf","d1e06f7a12c8d4ae1de62861dbfeadf4f6b52b1cfd6801e548bc1d08782c1451")</f>
        <v>d1e06f7a12c8d4ae1de62861dbfeadf4f6b52b1cfd6801e548bc1d08782c1451</v>
      </c>
      <c r="I72" s="1" t="s">
        <v>3413</v>
      </c>
      <c r="J72" s="2" t="s">
        <v>3414</v>
      </c>
      <c r="K72" s="2" t="s">
        <v>3416</v>
      </c>
      <c r="L72" s="2" t="s">
        <v>3415</v>
      </c>
      <c r="M72" s="2" t="n">
        <v>28584</v>
      </c>
    </row>
    <row r="73" customFormat="false" ht="18.7" hidden="false" customHeight="true" outlineLevel="0" collapsed="false">
      <c r="A73" s="1" t="n">
        <v>72</v>
      </c>
      <c r="B73" s="7" t="str">
        <f aca="false">HYPERLINK("https://mncourtfraud.com/file/27-CR-19-26893.pdf","27-CR-19-26893")</f>
        <v>27-CR-19-26893</v>
      </c>
      <c r="C73" s="1" t="n">
        <v>1</v>
      </c>
      <c r="D73" s="2" t="s">
        <v>12</v>
      </c>
      <c r="E73" s="8" t="n">
        <v>44593</v>
      </c>
      <c r="F73" s="2" t="s">
        <v>19</v>
      </c>
      <c r="G73" s="7" t="str">
        <f aca="false">HYPERLINK("https://mncourtfraud.com/file/MCRO_27-CR-19-26893_Findings and Order_2022-02-01_20251126174710.pdf","MCRO_27-CR-19-26893_Findings and Order_2022-02-01_20251126174710.pdf")</f>
        <v>MCRO_27-CR-19-26893_Findings and Order_2022-02-01_20251126174710.pdf</v>
      </c>
      <c r="H73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73" s="1" t="s">
        <v>3406</v>
      </c>
      <c r="K73" s="2" t="s">
        <v>3430</v>
      </c>
      <c r="L73" s="2" t="s">
        <v>3408</v>
      </c>
      <c r="M73" s="2" t="n">
        <v>28069</v>
      </c>
      <c r="O73" s="2" t="s">
        <v>3409</v>
      </c>
      <c r="P73" s="2" t="s">
        <v>3410</v>
      </c>
      <c r="S73" s="2" t="n">
        <v>448</v>
      </c>
      <c r="T73" s="2" t="n">
        <v>128</v>
      </c>
    </row>
    <row r="74" customFormat="false" ht="18.7" hidden="false" customHeight="true" outlineLevel="0" collapsed="false">
      <c r="A74" s="1" t="n">
        <v>73</v>
      </c>
      <c r="B74" s="7" t="str">
        <f aca="false">HYPERLINK("https://mncourtfraud.com/file/27-CR-19-26893.pdf","27-CR-19-26893")</f>
        <v>27-CR-19-26893</v>
      </c>
      <c r="C74" s="1" t="n">
        <v>1</v>
      </c>
      <c r="D74" s="2" t="s">
        <v>12</v>
      </c>
      <c r="E74" s="8" t="n">
        <v>44692</v>
      </c>
      <c r="F74" s="2" t="s">
        <v>15</v>
      </c>
      <c r="G74" s="7" t="str">
        <f aca="false">HYPERLINK("https://mncourtfraud.com/file/MCRO_27-CR-19-26893_Order-Evaluation for Competency to Proceed (Rule 20.01)_2022-05-11_20251126174846.pdf","MCRO_27-CR-19-26893_Order-Evaluation for Competency to Proceed (Rule 20.01)_2022-05-11_20251126174846.pdf")</f>
        <v>MCRO_27-CR-19-26893_Order-Evaluation for Competency to Proceed (Rule 20.01)_2022-05-11_20251126174846.pdf</v>
      </c>
      <c r="H74" s="7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74" s="1" t="s">
        <v>3406</v>
      </c>
      <c r="K74" s="2" t="s">
        <v>3432</v>
      </c>
      <c r="L74" s="2" t="s">
        <v>3408</v>
      </c>
      <c r="M74" s="2" t="n">
        <v>21121</v>
      </c>
      <c r="O74" s="2" t="s">
        <v>3409</v>
      </c>
      <c r="P74" s="2" t="s">
        <v>3410</v>
      </c>
      <c r="S74" s="2" t="n">
        <v>695</v>
      </c>
      <c r="T74" s="2" t="n">
        <v>233</v>
      </c>
    </row>
    <row r="75" customFormat="false" ht="18.7" hidden="false" customHeight="true" outlineLevel="0" collapsed="false">
      <c r="A75" s="1" t="n">
        <v>74</v>
      </c>
      <c r="B75" s="7" t="str">
        <f aca="false">HYPERLINK("https://mncourtfraud.com/file/27-CR-19-26893.pdf","27-CR-19-26893")</f>
        <v>27-CR-19-26893</v>
      </c>
      <c r="C75" s="1" t="n">
        <v>1</v>
      </c>
      <c r="D75" s="2" t="s">
        <v>12</v>
      </c>
      <c r="E75" s="8" t="n">
        <v>44692</v>
      </c>
      <c r="F75" s="2" t="s">
        <v>15</v>
      </c>
      <c r="G75" s="7" t="str">
        <f aca="false">HYPERLINK("https://mncourtfraud.com/file/MCRO_27-CR-19-26893_Order-Evaluation for Competency to Proceed (Rule 20.01)_2022-05-11_20251126174846.pdf","MCRO_27-CR-19-26893_Order-Evaluation for Competency to Proceed (Rule 20.01)_2022-05-11_20251126174846.pdf")</f>
        <v>MCRO_27-CR-19-26893_Order-Evaluation for Competency to Proceed (Rule 20.01)_2022-05-11_20251126174846.pdf</v>
      </c>
      <c r="H75" s="7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75" s="1" t="s">
        <v>3406</v>
      </c>
      <c r="K75" s="2" t="s">
        <v>3433</v>
      </c>
      <c r="L75" s="2" t="s">
        <v>3408</v>
      </c>
      <c r="M75" s="2" t="n">
        <v>53838</v>
      </c>
      <c r="O75" s="2" t="s">
        <v>3409</v>
      </c>
      <c r="P75" s="2" t="s">
        <v>3410</v>
      </c>
      <c r="S75" s="2" t="n">
        <v>695</v>
      </c>
      <c r="T75" s="2" t="n">
        <v>233</v>
      </c>
    </row>
    <row r="76" customFormat="false" ht="18.7" hidden="false" customHeight="true" outlineLevel="0" collapsed="false">
      <c r="A76" s="1" t="n">
        <v>75</v>
      </c>
      <c r="B76" s="7" t="str">
        <f aca="false">HYPERLINK("https://mncourtfraud.com/file/27-CR-19-26893.pdf","27-CR-19-26893")</f>
        <v>27-CR-19-26893</v>
      </c>
      <c r="C76" s="1" t="n">
        <v>1</v>
      </c>
      <c r="D76" s="2" t="s">
        <v>12</v>
      </c>
      <c r="E76" s="8" t="n">
        <v>44692</v>
      </c>
      <c r="F76" s="2" t="s">
        <v>15</v>
      </c>
      <c r="G76" s="7" t="str">
        <f aca="false">HYPERLINK("https://mncourtfraud.com/file/MCRO_27-CR-19-26893_Order-Evaluation for Competency to Proceed (Rule 20.01)_2022-05-11_20251126174846.pdf","MCRO_27-CR-19-26893_Order-Evaluation for Competency to Proceed (Rule 20.01)_2022-05-11_20251126174846.pdf")</f>
        <v>MCRO_27-CR-19-26893_Order-Evaluation for Competency to Proceed (Rule 20.01)_2022-05-11_20251126174846.pdf</v>
      </c>
      <c r="H76" s="7" t="str">
        <f aca="false">HYPERLINK("https://mncourtfraud.com/file/322fe0e9595a4df4693edf307e5f8a42a470721d59f006a7b0e86def92125a58.ttf","322fe0e9595a4df4693edf307e5f8a42a470721d59f006a7b0e86def92125a58")</f>
        <v>322fe0e9595a4df4693edf307e5f8a42a470721d59f006a7b0e86def92125a58</v>
      </c>
      <c r="I76" s="1" t="s">
        <v>3413</v>
      </c>
      <c r="J76" s="2" t="s">
        <v>3434</v>
      </c>
      <c r="K76" s="2" t="s">
        <v>3434</v>
      </c>
      <c r="L76" s="2" t="s">
        <v>3415</v>
      </c>
      <c r="M76" s="2" t="n">
        <v>46736</v>
      </c>
      <c r="N76" s="2" t="s">
        <v>3435</v>
      </c>
    </row>
    <row r="77" customFormat="false" ht="18.7" hidden="false" customHeight="true" outlineLevel="0" collapsed="false">
      <c r="A77" s="1" t="n">
        <v>76</v>
      </c>
      <c r="B77" s="7" t="str">
        <f aca="false">HYPERLINK("https://mncourtfraud.com/file/27-CR-19-26893.pdf","27-CR-19-26893")</f>
        <v>27-CR-19-26893</v>
      </c>
      <c r="C77" s="1" t="n">
        <v>1</v>
      </c>
      <c r="D77" s="2" t="s">
        <v>12</v>
      </c>
      <c r="E77" s="8" t="n">
        <v>44692</v>
      </c>
      <c r="F77" s="2" t="s">
        <v>15</v>
      </c>
      <c r="G77" s="7" t="str">
        <f aca="false">HYPERLINK("https://mncourtfraud.com/file/MCRO_27-CR-19-26893_Order-Evaluation for Competency to Proceed (Rule 20.01)_2022-05-11_20251126174846.pdf","MCRO_27-CR-19-26893_Order-Evaluation for Competency to Proceed (Rule 20.01)_2022-05-11_20251126174846.pdf")</f>
        <v>MCRO_27-CR-19-26893_Order-Evaluation for Competency to Proceed (Rule 20.01)_2022-05-11_20251126174846.pdf</v>
      </c>
      <c r="H77" s="7" t="str">
        <f aca="false">HYPERLINK("https://mncourtfraud.com/file/32ebada21768d6238e03c647b5e5acdf6ce656f0735d59c3fb698ce40418a709.ttf","32ebada21768d6238e03c647b5e5acdf6ce656f0735d59c3fb698ce40418a709")</f>
        <v>32ebada21768d6238e03c647b5e5acdf6ce656f0735d59c3fb698ce40418a709</v>
      </c>
      <c r="I77" s="1" t="s">
        <v>3413</v>
      </c>
      <c r="J77" s="2" t="s">
        <v>3436</v>
      </c>
      <c r="K77" s="2" t="s">
        <v>3436</v>
      </c>
      <c r="L77" s="2" t="s">
        <v>3415</v>
      </c>
      <c r="M77" s="2" t="n">
        <v>65744</v>
      </c>
      <c r="N77" s="2" t="s">
        <v>3437</v>
      </c>
    </row>
    <row r="78" customFormat="false" ht="18.7" hidden="false" customHeight="true" outlineLevel="0" collapsed="false">
      <c r="A78" s="1" t="n">
        <v>77</v>
      </c>
      <c r="B78" s="7" t="str">
        <f aca="false">HYPERLINK("https://mncourtfraud.com/file/27-CR-19-26893.pdf","27-CR-19-26893")</f>
        <v>27-CR-19-26893</v>
      </c>
      <c r="C78" s="1" t="n">
        <v>1</v>
      </c>
      <c r="D78" s="2" t="s">
        <v>12</v>
      </c>
      <c r="E78" s="8" t="n">
        <v>44692</v>
      </c>
      <c r="F78" s="2" t="s">
        <v>15</v>
      </c>
      <c r="G78" s="7" t="str">
        <f aca="false">HYPERLINK("https://mncourtfraud.com/file/MCRO_27-CR-19-26893_Order-Evaluation for Competency to Proceed (Rule 20.01)_2022-05-11_20251126174846.pdf","MCRO_27-CR-19-26893_Order-Evaluation for Competency to Proceed (Rule 20.01)_2022-05-11_20251126174846.pdf")</f>
        <v>MCRO_27-CR-19-26893_Order-Evaluation for Competency to Proceed (Rule 20.01)_2022-05-11_20251126174846.pdf</v>
      </c>
      <c r="H78" s="7" t="str">
        <f aca="false">HYPERLINK("https://mncourtfraud.com/file/694dcb82a5515430b7fddfbf16881b942820c8c41fee3eea3505a20c7d4e41e6.ttf","694dcb82a5515430b7fddfbf16881b942820c8c41fee3eea3505a20c7d4e41e6")</f>
        <v>694dcb82a5515430b7fddfbf16881b942820c8c41fee3eea3505a20c7d4e41e6</v>
      </c>
      <c r="I78" s="1" t="s">
        <v>3413</v>
      </c>
      <c r="J78" s="2" t="s">
        <v>3438</v>
      </c>
      <c r="K78" s="2" t="s">
        <v>3438</v>
      </c>
      <c r="L78" s="2" t="s">
        <v>3415</v>
      </c>
      <c r="M78" s="2" t="n">
        <v>72828</v>
      </c>
      <c r="N78" s="2" t="s">
        <v>3439</v>
      </c>
    </row>
    <row r="79" customFormat="false" ht="18.7" hidden="false" customHeight="true" outlineLevel="0" collapsed="false">
      <c r="A79" s="1" t="n">
        <v>78</v>
      </c>
      <c r="B79" s="7" t="str">
        <f aca="false">HYPERLINK("https://mncourtfraud.com/file/27-CR-19-26893.pdf","27-CR-19-26893")</f>
        <v>27-CR-19-26893</v>
      </c>
      <c r="C79" s="1" t="n">
        <v>1</v>
      </c>
      <c r="D79" s="2" t="s">
        <v>12</v>
      </c>
      <c r="E79" s="8" t="n">
        <v>44692</v>
      </c>
      <c r="F79" s="2" t="s">
        <v>15</v>
      </c>
      <c r="G79" s="7" t="str">
        <f aca="false">HYPERLINK("https://mncourtfraud.com/file/MCRO_27-CR-19-26893_Order-Evaluation for Competency to Proceed (Rule 20.01)_2022-05-11_20251126174846.pdf","MCRO_27-CR-19-26893_Order-Evaluation for Competency to Proceed (Rule 20.01)_2022-05-11_20251126174846.pdf")</f>
        <v>MCRO_27-CR-19-26893_Order-Evaluation for Competency to Proceed (Rule 20.01)_2022-05-11_20251126174846.pdf</v>
      </c>
      <c r="H79" s="7" t="str">
        <f aca="false">HYPERLINK("https://mncourtfraud.com/file/87764021d6d62f7c396208d3f1fa8113e5ad5f90bd03c35e7200536389af4e6a.ttf","87764021d6d62f7c396208d3f1fa8113e5ad5f90bd03c35e7200536389af4e6a")</f>
        <v>87764021d6d62f7c396208d3f1fa8113e5ad5f90bd03c35e7200536389af4e6a</v>
      </c>
      <c r="I79" s="1" t="s">
        <v>3413</v>
      </c>
      <c r="J79" s="2" t="s">
        <v>3440</v>
      </c>
      <c r="K79" s="2" t="s">
        <v>3440</v>
      </c>
      <c r="L79" s="2" t="s">
        <v>3415</v>
      </c>
      <c r="M79" s="2" t="n">
        <v>6280</v>
      </c>
      <c r="N79" s="2" t="s">
        <v>3441</v>
      </c>
    </row>
    <row r="80" customFormat="false" ht="18.7" hidden="false" customHeight="true" outlineLevel="0" collapsed="false">
      <c r="A80" s="1" t="n">
        <v>79</v>
      </c>
      <c r="B80" s="7" t="str">
        <f aca="false">HYPERLINK("https://mncourtfraud.com/file/27-CR-19-26893.pdf","27-CR-19-26893")</f>
        <v>27-CR-19-26893</v>
      </c>
      <c r="C80" s="1" t="n">
        <v>1</v>
      </c>
      <c r="D80" s="2" t="s">
        <v>12</v>
      </c>
      <c r="E80" s="8" t="n">
        <v>44692</v>
      </c>
      <c r="F80" s="2" t="s">
        <v>15</v>
      </c>
      <c r="G80" s="7" t="str">
        <f aca="false">HYPERLINK("https://mncourtfraud.com/file/MCRO_27-CR-19-26893_Order-Evaluation for Competency to Proceed (Rule 20.01)_2022-05-11_20251126174846.pdf","MCRO_27-CR-19-26893_Order-Evaluation for Competency to Proceed (Rule 20.01)_2022-05-11_20251126174846.pdf")</f>
        <v>MCRO_27-CR-19-26893_Order-Evaluation for Competency to Proceed (Rule 20.01)_2022-05-11_20251126174846.pdf</v>
      </c>
      <c r="H80" s="7" t="str">
        <f aca="false">HYPERLINK("https://mncourtfraud.com/file/a1ad71f465be26cf6bb430c59ae6133d3c381ada339ba3c6b2eadf32a9b4096b.ttf","a1ad71f465be26cf6bb430c59ae6133d3c381ada339ba3c6b2eadf32a9b4096b")</f>
        <v>a1ad71f465be26cf6bb430c59ae6133d3c381ada339ba3c6b2eadf32a9b4096b</v>
      </c>
      <c r="I80" s="1" t="s">
        <v>3413</v>
      </c>
      <c r="J80" s="2" t="s">
        <v>3442</v>
      </c>
      <c r="K80" s="2" t="s">
        <v>3442</v>
      </c>
      <c r="L80" s="2" t="s">
        <v>3415</v>
      </c>
      <c r="M80" s="2" t="n">
        <v>5988</v>
      </c>
      <c r="N80" s="2" t="s">
        <v>3443</v>
      </c>
    </row>
    <row r="81" customFormat="false" ht="18.7" hidden="false" customHeight="true" outlineLevel="0" collapsed="false">
      <c r="A81" s="1" t="n">
        <v>80</v>
      </c>
      <c r="B81" s="7" t="str">
        <f aca="false">HYPERLINK("https://mncourtfraud.com/file/27-CR-19-26893.pdf","27-CR-19-26893")</f>
        <v>27-CR-19-26893</v>
      </c>
      <c r="C81" s="1" t="n">
        <v>1</v>
      </c>
      <c r="D81" s="2" t="s">
        <v>12</v>
      </c>
      <c r="E81" s="8" t="n">
        <v>44692</v>
      </c>
      <c r="F81" s="2" t="s">
        <v>15</v>
      </c>
      <c r="G81" s="7" t="str">
        <f aca="false">HYPERLINK("https://mncourtfraud.com/file/MCRO_27-CR-19-26893_Order-Evaluation for Competency to Proceed (Rule 20.01)_2022-05-11_20251126174846.pdf","MCRO_27-CR-19-26893_Order-Evaluation for Competency to Proceed (Rule 20.01)_2022-05-11_20251126174846.pdf")</f>
        <v>MCRO_27-CR-19-26893_Order-Evaluation for Competency to Proceed (Rule 20.01)_2022-05-11_20251126174846.pdf</v>
      </c>
      <c r="H81" s="7" t="str">
        <f aca="false">HYPERLINK("https://mncourtfraud.com/file/e1befe23dc5d05be4c8e965e6fc9e74e95400600e0da0c86dd389645355f3ad1.ttf","e1befe23dc5d05be4c8e965e6fc9e74e95400600e0da0c86dd389645355f3ad1")</f>
        <v>e1befe23dc5d05be4c8e965e6fc9e74e95400600e0da0c86dd389645355f3ad1</v>
      </c>
      <c r="I81" s="1" t="s">
        <v>3413</v>
      </c>
      <c r="J81" s="2" t="s">
        <v>3444</v>
      </c>
      <c r="K81" s="2" t="s">
        <v>3444</v>
      </c>
      <c r="L81" s="2" t="s">
        <v>3415</v>
      </c>
      <c r="M81" s="2" t="n">
        <v>94308</v>
      </c>
      <c r="N81" s="2" t="s">
        <v>3445</v>
      </c>
    </row>
    <row r="82" customFormat="false" ht="18.7" hidden="false" customHeight="true" outlineLevel="0" collapsed="false">
      <c r="A82" s="1" t="n">
        <v>81</v>
      </c>
      <c r="B82" s="7" t="str">
        <f aca="false">HYPERLINK("https://mncourtfraud.com/file/27-CR-19-26893.pdf","27-CR-19-26893")</f>
        <v>27-CR-19-26893</v>
      </c>
      <c r="C82" s="1" t="n">
        <v>1</v>
      </c>
      <c r="D82" s="2" t="s">
        <v>12</v>
      </c>
      <c r="E82" s="8" t="n">
        <v>44895</v>
      </c>
      <c r="F82" s="2" t="s">
        <v>15</v>
      </c>
      <c r="G82" s="7" t="str">
        <f aca="false">HYPERLINK("https://mncourtfraud.com/file/MCRO_27-CR-19-26893_Order-Evaluation for Competency to Proceed (Rule 20.01)_2022-11-30_20251126174859.pdf","MCRO_27-CR-19-26893_Order-Evaluation for Competency to Proceed (Rule 20.01)_2022-11-30_20251126174859.pdf")</f>
        <v>MCRO_27-CR-19-26893_Order-Evaluation for Competency to Proceed (Rule 20.01)_2022-11-30_20251126174859.pdf</v>
      </c>
      <c r="H82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82" s="1" t="s">
        <v>3413</v>
      </c>
      <c r="J82" s="2" t="s">
        <v>3423</v>
      </c>
      <c r="K82" s="2" t="s">
        <v>3423</v>
      </c>
      <c r="L82" s="2" t="s">
        <v>3415</v>
      </c>
      <c r="M82" s="2" t="n">
        <v>11088</v>
      </c>
    </row>
    <row r="83" customFormat="false" ht="18.7" hidden="false" customHeight="true" outlineLevel="0" collapsed="false">
      <c r="A83" s="1" t="n">
        <v>82</v>
      </c>
      <c r="B83" s="7" t="str">
        <f aca="false">HYPERLINK("https://mncourtfraud.com/file/27-CR-19-26893.pdf","27-CR-19-26893")</f>
        <v>27-CR-19-26893</v>
      </c>
      <c r="C83" s="1" t="n">
        <v>1</v>
      </c>
      <c r="D83" s="2" t="s">
        <v>12</v>
      </c>
      <c r="E83" s="8" t="n">
        <v>44895</v>
      </c>
      <c r="F83" s="2" t="s">
        <v>15</v>
      </c>
      <c r="G83" s="7" t="str">
        <f aca="false">HYPERLINK("https://mncourtfraud.com/file/MCRO_27-CR-19-26893_Order-Evaluation for Competency to Proceed (Rule 20.01)_2022-11-30_20251126174859.pdf","MCRO_27-CR-19-26893_Order-Evaluation for Competency to Proceed (Rule 20.01)_2022-11-30_20251126174859.pdf")</f>
        <v>MCRO_27-CR-19-26893_Order-Evaluation for Competency to Proceed (Rule 20.01)_2022-11-30_20251126174859.pdf</v>
      </c>
      <c r="H83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83" s="1" t="s">
        <v>3413</v>
      </c>
      <c r="J83" s="2" t="s">
        <v>3446</v>
      </c>
      <c r="K83" s="2" t="s">
        <v>3446</v>
      </c>
      <c r="L83" s="2" t="s">
        <v>3415</v>
      </c>
      <c r="M83" s="2" t="n">
        <v>55072</v>
      </c>
      <c r="N83" s="2" t="s">
        <v>3447</v>
      </c>
    </row>
    <row r="84" customFormat="false" ht="18.7" hidden="false" customHeight="true" outlineLevel="0" collapsed="false">
      <c r="A84" s="1" t="n">
        <v>83</v>
      </c>
      <c r="B84" s="7" t="str">
        <f aca="false">HYPERLINK("https://mncourtfraud.com/file/27-CR-19-26893.pdf","27-CR-19-26893")</f>
        <v>27-CR-19-26893</v>
      </c>
      <c r="C84" s="1" t="n">
        <v>1</v>
      </c>
      <c r="D84" s="2" t="s">
        <v>12</v>
      </c>
      <c r="E84" s="8" t="n">
        <v>44895</v>
      </c>
      <c r="F84" s="2" t="s">
        <v>15</v>
      </c>
      <c r="G84" s="7" t="str">
        <f aca="false">HYPERLINK("https://mncourtfraud.com/file/MCRO_27-CR-19-26893_Order-Evaluation for Competency to Proceed (Rule 20.01)_2022-11-30_20251126174859.pdf","MCRO_27-CR-19-26893_Order-Evaluation for Competency to Proceed (Rule 20.01)_2022-11-30_20251126174859.pdf")</f>
        <v>MCRO_27-CR-19-26893_Order-Evaluation for Competency to Proceed (Rule 20.01)_2022-11-30_20251126174859.pdf</v>
      </c>
      <c r="H84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84" s="1" t="s">
        <v>3413</v>
      </c>
      <c r="J84" s="2" t="s">
        <v>3424</v>
      </c>
      <c r="K84" s="2" t="s">
        <v>3424</v>
      </c>
      <c r="L84" s="2" t="s">
        <v>3415</v>
      </c>
      <c r="M84" s="2" t="n">
        <v>14252</v>
      </c>
    </row>
    <row r="85" customFormat="false" ht="18.7" hidden="false" customHeight="true" outlineLevel="0" collapsed="false">
      <c r="A85" s="1" t="n">
        <v>84</v>
      </c>
      <c r="B85" s="7" t="str">
        <f aca="false">HYPERLINK("https://mncourtfraud.com/file/27-CR-19-26893.pdf","27-CR-19-26893")</f>
        <v>27-CR-19-26893</v>
      </c>
      <c r="C85" s="1" t="n">
        <v>1</v>
      </c>
      <c r="D85" s="2" t="s">
        <v>12</v>
      </c>
      <c r="E85" s="8" t="n">
        <v>44895</v>
      </c>
      <c r="F85" s="2" t="s">
        <v>15</v>
      </c>
      <c r="G85" s="7" t="str">
        <f aca="false">HYPERLINK("https://mncourtfraud.com/file/MCRO_27-CR-19-26893_Order-Evaluation for Competency to Proceed (Rule 20.01)_2022-11-30_20251126174859.pdf","MCRO_27-CR-19-26893_Order-Evaluation for Competency to Proceed (Rule 20.01)_2022-11-30_20251126174859.pdf")</f>
        <v>MCRO_27-CR-19-26893_Order-Evaluation for Competency to Proceed (Rule 20.01)_2022-11-30_20251126174859.pdf</v>
      </c>
      <c r="H85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85" s="1" t="s">
        <v>3406</v>
      </c>
      <c r="K85" s="2" t="s">
        <v>3420</v>
      </c>
      <c r="L85" s="2" t="s">
        <v>3408</v>
      </c>
      <c r="M85" s="2" t="n">
        <v>7306</v>
      </c>
      <c r="O85" s="2" t="s">
        <v>3409</v>
      </c>
      <c r="P85" s="2" t="s">
        <v>3410</v>
      </c>
      <c r="S85" s="2" t="n">
        <v>319</v>
      </c>
      <c r="T85" s="2" t="n">
        <v>105</v>
      </c>
    </row>
    <row r="86" customFormat="false" ht="18.7" hidden="false" customHeight="true" outlineLevel="0" collapsed="false">
      <c r="A86" s="1" t="n">
        <v>85</v>
      </c>
      <c r="B86" s="7" t="str">
        <f aca="false">HYPERLINK("https://mncourtfraud.com/file/27-CR-19-26893.pdf","27-CR-19-26893")</f>
        <v>27-CR-19-26893</v>
      </c>
      <c r="C86" s="1" t="n">
        <v>1</v>
      </c>
      <c r="D86" s="2" t="s">
        <v>12</v>
      </c>
      <c r="E86" s="8" t="n">
        <v>44895</v>
      </c>
      <c r="F86" s="2" t="s">
        <v>15</v>
      </c>
      <c r="G86" s="7" t="str">
        <f aca="false">HYPERLINK("https://mncourtfraud.com/file/MCRO_27-CR-19-26893_Order-Evaluation for Competency to Proceed (Rule 20.01)_2022-11-30_20251126174859.pdf","MCRO_27-CR-19-26893_Order-Evaluation for Competency to Proceed (Rule 20.01)_2022-11-30_20251126174859.pdf")</f>
        <v>MCRO_27-CR-19-26893_Order-Evaluation for Competency to Proceed (Rule 20.01)_2022-11-30_20251126174859.pdf</v>
      </c>
      <c r="H86" s="7" t="str">
        <f aca="false">HYPERLINK("https://mncourtfraud.com/file/677e52a3b8403ce87e338b0a2e31e6f8e5ddf03fb0ca7043a341135cf0255eaa.ttf","677e52a3b8403ce87e338b0a2e31e6f8e5ddf03fb0ca7043a341135cf0255eaa")</f>
        <v>677e52a3b8403ce87e338b0a2e31e6f8e5ddf03fb0ca7043a341135cf0255eaa</v>
      </c>
      <c r="I86" s="1" t="s">
        <v>3413</v>
      </c>
      <c r="J86" s="2" t="s">
        <v>3422</v>
      </c>
      <c r="K86" s="2" t="s">
        <v>3422</v>
      </c>
      <c r="L86" s="2" t="s">
        <v>3415</v>
      </c>
      <c r="M86" s="2" t="n">
        <v>149960</v>
      </c>
    </row>
    <row r="87" customFormat="false" ht="18.7" hidden="false" customHeight="true" outlineLevel="0" collapsed="false">
      <c r="A87" s="1" t="n">
        <v>86</v>
      </c>
      <c r="B87" s="7" t="str">
        <f aca="false">HYPERLINK("https://mncourtfraud.com/file/27-CR-19-26893.pdf","27-CR-19-26893")</f>
        <v>27-CR-19-26893</v>
      </c>
      <c r="C87" s="1" t="n">
        <v>1</v>
      </c>
      <c r="D87" s="2" t="s">
        <v>12</v>
      </c>
      <c r="E87" s="8" t="n">
        <v>44895</v>
      </c>
      <c r="F87" s="2" t="s">
        <v>15</v>
      </c>
      <c r="G87" s="7" t="str">
        <f aca="false">HYPERLINK("https://mncourtfraud.com/file/MCRO_27-CR-19-26893_Order-Evaluation for Competency to Proceed (Rule 20.01)_2022-11-30_20251126174859.pdf","MCRO_27-CR-19-26893_Order-Evaluation for Competency to Proceed (Rule 20.01)_2022-11-30_20251126174859.pdf")</f>
        <v>MCRO_27-CR-19-26893_Order-Evaluation for Competency to Proceed (Rule 20.01)_2022-11-30_20251126174859.pdf</v>
      </c>
      <c r="H87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87" s="1" t="s">
        <v>3413</v>
      </c>
      <c r="J87" s="2" t="s">
        <v>3448</v>
      </c>
      <c r="K87" s="2" t="s">
        <v>3448</v>
      </c>
      <c r="L87" s="2" t="s">
        <v>3415</v>
      </c>
      <c r="M87" s="2" t="n">
        <v>916684</v>
      </c>
    </row>
    <row r="88" customFormat="false" ht="18.7" hidden="false" customHeight="true" outlineLevel="0" collapsed="false">
      <c r="A88" s="1" t="n">
        <v>87</v>
      </c>
      <c r="B88" s="7" t="str">
        <f aca="false">HYPERLINK("https://mncourtfraud.com/file/27-CR-19-26893.pdf","27-CR-19-26893")</f>
        <v>27-CR-19-26893</v>
      </c>
      <c r="C88" s="1" t="n">
        <v>1</v>
      </c>
      <c r="D88" s="2" t="s">
        <v>12</v>
      </c>
      <c r="E88" s="8" t="n">
        <v>44895</v>
      </c>
      <c r="F88" s="2" t="s">
        <v>15</v>
      </c>
      <c r="G88" s="7" t="str">
        <f aca="false">HYPERLINK("https://mncourtfraud.com/file/MCRO_27-CR-19-26893_Order-Evaluation for Competency to Proceed (Rule 20.01)_2022-11-30_20251126174859.pdf","MCRO_27-CR-19-26893_Order-Evaluation for Competency to Proceed (Rule 20.01)_2022-11-30_20251126174859.pdf")</f>
        <v>MCRO_27-CR-19-26893_Order-Evaluation for Competency to Proceed (Rule 20.01)_2022-11-30_20251126174859.pdf</v>
      </c>
      <c r="H88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88" s="1" t="s">
        <v>3406</v>
      </c>
      <c r="K88" s="2" t="s">
        <v>3425</v>
      </c>
      <c r="L88" s="2" t="s">
        <v>3408</v>
      </c>
      <c r="M88" s="2" t="n">
        <v>21225</v>
      </c>
      <c r="O88" s="2" t="s">
        <v>3409</v>
      </c>
      <c r="P88" s="2" t="s">
        <v>3410</v>
      </c>
      <c r="S88" s="2" t="n">
        <v>319</v>
      </c>
      <c r="T88" s="2" t="n">
        <v>105</v>
      </c>
    </row>
    <row r="89" customFormat="false" ht="18.7" hidden="false" customHeight="true" outlineLevel="0" collapsed="false">
      <c r="A89" s="1" t="n">
        <v>88</v>
      </c>
      <c r="B89" s="7" t="str">
        <f aca="false">HYPERLINK("https://mncourtfraud.com/file/27-CR-19-26893.pdf","27-CR-19-26893")</f>
        <v>27-CR-19-26893</v>
      </c>
      <c r="C89" s="1" t="n">
        <v>1</v>
      </c>
      <c r="D89" s="2" t="s">
        <v>12</v>
      </c>
      <c r="E89" s="8" t="n">
        <v>44895</v>
      </c>
      <c r="F89" s="2" t="s">
        <v>15</v>
      </c>
      <c r="G89" s="7" t="str">
        <f aca="false">HYPERLINK("https://mncourtfraud.com/file/MCRO_27-CR-19-26893_Order-Evaluation for Competency to Proceed (Rule 20.01)_2022-11-30_20251126174859.pdf","MCRO_27-CR-19-26893_Order-Evaluation for Competency to Proceed (Rule 20.01)_2022-11-30_20251126174859.pdf")</f>
        <v>MCRO_27-CR-19-26893_Order-Evaluation for Competency to Proceed (Rule 20.01)_2022-11-30_20251126174859.pdf</v>
      </c>
      <c r="H89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89" s="1" t="s">
        <v>3413</v>
      </c>
      <c r="J89" s="2" t="s">
        <v>3449</v>
      </c>
      <c r="K89" s="2" t="s">
        <v>3449</v>
      </c>
      <c r="L89" s="2" t="s">
        <v>3415</v>
      </c>
      <c r="M89" s="2" t="n">
        <v>124664</v>
      </c>
    </row>
    <row r="90" customFormat="false" ht="18.7" hidden="false" customHeight="true" outlineLevel="0" collapsed="false">
      <c r="A90" s="1" t="n">
        <v>89</v>
      </c>
      <c r="B90" s="7" t="str">
        <f aca="false">HYPERLINK("https://mncourtfraud.com/file/27-CR-19-26893.pdf","27-CR-19-26893")</f>
        <v>27-CR-19-26893</v>
      </c>
      <c r="C90" s="1" t="n">
        <v>1</v>
      </c>
      <c r="D90" s="2" t="s">
        <v>12</v>
      </c>
      <c r="E90" s="8" t="n">
        <v>44895</v>
      </c>
      <c r="F90" s="2" t="s">
        <v>15</v>
      </c>
      <c r="G90" s="7" t="str">
        <f aca="false">HYPERLINK("https://mncourtfraud.com/file/MCRO_27-CR-19-26893_Order-Evaluation for Competency to Proceed (Rule 20.01)_2022-11-30_20251126174859.pdf","MCRO_27-CR-19-26893_Order-Evaluation for Competency to Proceed (Rule 20.01)_2022-11-30_20251126174859.pdf")</f>
        <v>MCRO_27-CR-19-26893_Order-Evaluation for Competency to Proceed (Rule 20.01)_2022-11-30_20251126174859.pdf</v>
      </c>
      <c r="H90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90" s="1" t="s">
        <v>3413</v>
      </c>
      <c r="J90" s="2" t="s">
        <v>3449</v>
      </c>
      <c r="K90" s="2" t="s">
        <v>3449</v>
      </c>
      <c r="L90" s="2" t="s">
        <v>3415</v>
      </c>
      <c r="M90" s="2" t="n">
        <v>124664</v>
      </c>
    </row>
    <row r="91" customFormat="false" ht="18.7" hidden="false" customHeight="true" outlineLevel="0" collapsed="false">
      <c r="A91" s="1" t="n">
        <v>90</v>
      </c>
      <c r="B91" s="7" t="str">
        <f aca="false">HYPERLINK("https://mncourtfraud.com/file/27-CR-19-4578.pdf","27-CR-19-4578")</f>
        <v>27-CR-19-4578</v>
      </c>
      <c r="C91" s="1" t="n">
        <v>1</v>
      </c>
      <c r="D91" s="2" t="s">
        <v>12</v>
      </c>
      <c r="E91" s="8" t="n">
        <v>43844</v>
      </c>
      <c r="F91" s="2" t="s">
        <v>13</v>
      </c>
      <c r="G91" s="7" t="str">
        <f aca="false">HYPERLINK("https://mncourtfraud.com/file/MCRO_27-CR-19-4578_Find of Fact-Order, Pet Commitment-Dfd Found Incompetent_2020-01-14_20251126175028.pdf","MCRO_27-CR-19-4578_Find of Fact-Order, Pet Commitment-Dfd Found Incompetent_2020-01-14_20251126175028.pdf")</f>
        <v>MCRO_27-CR-19-4578_Find of Fact-Order, Pet Commitment-Dfd Found Incompetent_2020-01-14_20251126175028.pdf</v>
      </c>
      <c r="H91" s="7" t="str">
        <f aca="false">HYPERLINK("https://mncourtfraud.com/file/350ddf62c48ced6e54e313834eab69eb8202f31b56b93be3090612a901b85e01.png","350ddf62c48ced6e54e313834eab69eb8202f31b56b93be3090612a901b85e01")</f>
        <v>350ddf62c48ced6e54e313834eab69eb8202f31b56b93be3090612a901b85e01</v>
      </c>
      <c r="I91" s="1" t="s">
        <v>3406</v>
      </c>
      <c r="K91" s="2" t="s">
        <v>3407</v>
      </c>
      <c r="L91" s="2" t="s">
        <v>3408</v>
      </c>
      <c r="M91" s="2" t="n">
        <v>12893</v>
      </c>
      <c r="O91" s="2" t="s">
        <v>3409</v>
      </c>
      <c r="P91" s="2" t="s">
        <v>3410</v>
      </c>
      <c r="S91" s="2" t="n">
        <v>782</v>
      </c>
      <c r="T91" s="2" t="n">
        <v>300</v>
      </c>
    </row>
    <row r="92" customFormat="false" ht="18.7" hidden="false" customHeight="true" outlineLevel="0" collapsed="false">
      <c r="A92" s="1" t="n">
        <v>91</v>
      </c>
      <c r="B92" s="7" t="str">
        <f aca="false">HYPERLINK("https://mncourtfraud.com/file/27-CR-19-4578.pdf","27-CR-19-4578")</f>
        <v>27-CR-19-4578</v>
      </c>
      <c r="C92" s="1" t="n">
        <v>1</v>
      </c>
      <c r="D92" s="2" t="s">
        <v>12</v>
      </c>
      <c r="E92" s="8" t="n">
        <v>43844</v>
      </c>
      <c r="F92" s="2" t="s">
        <v>13</v>
      </c>
      <c r="G92" s="7" t="str">
        <f aca="false">HYPERLINK("https://mncourtfraud.com/file/MCRO_27-CR-19-4578_Find of Fact-Order, Pet Commitment-Dfd Found Incompetent_2020-01-14_20251126175028.pdf","MCRO_27-CR-19-4578_Find of Fact-Order, Pet Commitment-Dfd Found Incompetent_2020-01-14_20251126175028.pdf")</f>
        <v>MCRO_27-CR-19-4578_Find of Fact-Order, Pet Commitment-Dfd Found Incompetent_2020-01-14_20251126175028.pdf</v>
      </c>
      <c r="H92" s="7" t="str">
        <f aca="false">HYPERLINK("https://mncourtfraud.com/file/75e21fa9a9bdc384542bd50e00c9b7f4860cc0b38dfe58cd2d38855996a77889.png","75e21fa9a9bdc384542bd50e00c9b7f4860cc0b38dfe58cd2d38855996a77889")</f>
        <v>75e21fa9a9bdc384542bd50e00c9b7f4860cc0b38dfe58cd2d38855996a77889</v>
      </c>
      <c r="I92" s="1" t="s">
        <v>3406</v>
      </c>
      <c r="K92" s="2" t="s">
        <v>3411</v>
      </c>
      <c r="L92" s="2" t="s">
        <v>3412</v>
      </c>
      <c r="M92" s="2" t="n">
        <v>1341</v>
      </c>
      <c r="S92" s="2" t="n">
        <v>782</v>
      </c>
      <c r="T92" s="2" t="n">
        <v>300</v>
      </c>
    </row>
    <row r="93" customFormat="false" ht="18.7" hidden="false" customHeight="true" outlineLevel="0" collapsed="false">
      <c r="A93" s="1" t="n">
        <v>92</v>
      </c>
      <c r="B93" s="7" t="str">
        <f aca="false">HYPERLINK("https://mncourtfraud.com/file/27-CR-19-4578.pdf","27-CR-19-4578")</f>
        <v>27-CR-19-4578</v>
      </c>
      <c r="C93" s="1" t="n">
        <v>1</v>
      </c>
      <c r="D93" s="2" t="s">
        <v>12</v>
      </c>
      <c r="E93" s="8" t="n">
        <v>43844</v>
      </c>
      <c r="F93" s="2" t="s">
        <v>13</v>
      </c>
      <c r="G93" s="7" t="str">
        <f aca="false">HYPERLINK("https://mncourtfraud.com/file/MCRO_27-CR-19-4578_Find of Fact-Order, Pet Commitment-Dfd Found Incompetent_2020-01-14_20251126175028.pdf","MCRO_27-CR-19-4578_Find of Fact-Order, Pet Commitment-Dfd Found Incompetent_2020-01-14_20251126175028.pdf")</f>
        <v>MCRO_27-CR-19-4578_Find of Fact-Order, Pet Commitment-Dfd Found Incompetent_2020-01-14_20251126175028.pdf</v>
      </c>
      <c r="H93" s="7" t="str">
        <f aca="false">HYPERLINK("https://mncourtfraud.com/file/95e6865b2beecf994b6b3b3be604e2d4cce8ab9b21659c9bcdb841e9cac71015.ttf","95e6865b2beecf994b6b3b3be604e2d4cce8ab9b21659c9bcdb841e9cac71015")</f>
        <v>95e6865b2beecf994b6b3b3be604e2d4cce8ab9b21659c9bcdb841e9cac71015</v>
      </c>
      <c r="I93" s="1" t="s">
        <v>3413</v>
      </c>
      <c r="J93" s="2" t="s">
        <v>3414</v>
      </c>
      <c r="K93" s="2" t="s">
        <v>3414</v>
      </c>
      <c r="L93" s="2" t="s">
        <v>3415</v>
      </c>
      <c r="M93" s="2" t="n">
        <v>64488</v>
      </c>
    </row>
    <row r="94" customFormat="false" ht="18.7" hidden="false" customHeight="true" outlineLevel="0" collapsed="false">
      <c r="A94" s="1" t="n">
        <v>93</v>
      </c>
      <c r="B94" s="7" t="str">
        <f aca="false">HYPERLINK("https://mncourtfraud.com/file/27-CR-19-4578.pdf","27-CR-19-4578")</f>
        <v>27-CR-19-4578</v>
      </c>
      <c r="C94" s="1" t="n">
        <v>1</v>
      </c>
      <c r="D94" s="2" t="s">
        <v>12</v>
      </c>
      <c r="E94" s="8" t="n">
        <v>43844</v>
      </c>
      <c r="F94" s="2" t="s">
        <v>13</v>
      </c>
      <c r="G94" s="7" t="str">
        <f aca="false">HYPERLINK("https://mncourtfraud.com/file/MCRO_27-CR-19-4578_Find of Fact-Order, Pet Commitment-Dfd Found Incompetent_2020-01-14_20251126175028.pdf","MCRO_27-CR-19-4578_Find of Fact-Order, Pet Commitment-Dfd Found Incompetent_2020-01-14_20251126175028.pdf")</f>
        <v>MCRO_27-CR-19-4578_Find of Fact-Order, Pet Commitment-Dfd Found Incompetent_2020-01-14_20251126175028.pdf</v>
      </c>
      <c r="H94" s="7" t="str">
        <f aca="false">HYPERLINK("https://mncourtfraud.com/file/d85226137c53579f37f2c87321a4ff209a309a82330591d9457774d7d697befc.ttf","d85226137c53579f37f2c87321a4ff209a309a82330591d9457774d7d697befc")</f>
        <v>d85226137c53579f37f2c87321a4ff209a309a82330591d9457774d7d697befc</v>
      </c>
      <c r="I94" s="1" t="s">
        <v>3413</v>
      </c>
      <c r="J94" s="2" t="s">
        <v>3414</v>
      </c>
      <c r="K94" s="2" t="s">
        <v>3416</v>
      </c>
      <c r="L94" s="2" t="s">
        <v>3415</v>
      </c>
      <c r="M94" s="2" t="n">
        <v>49992</v>
      </c>
    </row>
    <row r="95" customFormat="false" ht="18.7" hidden="false" customHeight="true" outlineLevel="0" collapsed="false">
      <c r="A95" s="1" t="n">
        <v>94</v>
      </c>
      <c r="B95" s="7" t="str">
        <f aca="false">HYPERLINK("https://mncourtfraud.com/file/27-CR-19-4578.pdf","27-CR-19-4578")</f>
        <v>27-CR-19-4578</v>
      </c>
      <c r="C95" s="1" t="n">
        <v>1</v>
      </c>
      <c r="D95" s="2" t="s">
        <v>12</v>
      </c>
      <c r="E95" s="8" t="n">
        <v>43902</v>
      </c>
      <c r="F95" s="2" t="s">
        <v>15</v>
      </c>
      <c r="G95" s="7" t="str">
        <f aca="false">HYPERLINK("https://mncourtfraud.com/file/MCRO_27-CR-19-4578_Order-Evaluation for Competency to Proceed (Rule 20.01)_2020-03-12_20251126175310.pdf","MCRO_27-CR-19-4578_Order-Evaluation for Competency to Proceed (Rule 20.01)_2020-03-12_20251126175310.pdf")</f>
        <v>MCRO_27-CR-19-4578_Order-Evaluation for Competency to Proceed (Rule 20.01)_2020-03-12_20251126175310.pdf</v>
      </c>
      <c r="H95" s="7" t="str">
        <f aca="false">HYPERLINK("https://mncourtfraud.com/file/1cba6a67c408bf9f6c88783ab6238170046b3a45a141547969f2ac14b10a4c36.jpg","1cba6a67c408bf9f6c88783ab6238170046b3a45a141547969f2ac14b10a4c36")</f>
        <v>1cba6a67c408bf9f6c88783ab6238170046b3a45a141547969f2ac14b10a4c36</v>
      </c>
      <c r="I95" s="1" t="s">
        <v>3417</v>
      </c>
      <c r="L95" s="2" t="s">
        <v>3418</v>
      </c>
      <c r="M95" s="2" t="n">
        <v>640513</v>
      </c>
      <c r="S95" s="2" t="n">
        <v>2550</v>
      </c>
      <c r="T95" s="2" t="n">
        <v>3300</v>
      </c>
    </row>
    <row r="96" customFormat="false" ht="18.7" hidden="false" customHeight="true" outlineLevel="0" collapsed="false">
      <c r="A96" s="1" t="n">
        <v>95</v>
      </c>
      <c r="B96" s="7" t="str">
        <f aca="false">HYPERLINK("https://mncourtfraud.com/file/27-CR-19-4578.pdf","27-CR-19-4578")</f>
        <v>27-CR-19-4578</v>
      </c>
      <c r="C96" s="1" t="n">
        <v>1</v>
      </c>
      <c r="D96" s="2" t="s">
        <v>12</v>
      </c>
      <c r="E96" s="8" t="n">
        <v>43902</v>
      </c>
      <c r="F96" s="2" t="s">
        <v>15</v>
      </c>
      <c r="G96" s="7" t="str">
        <f aca="false">HYPERLINK("https://mncourtfraud.com/file/MCRO_27-CR-19-4578_Order-Evaluation for Competency to Proceed (Rule 20.01)_2020-03-12_20251126175310.pdf","MCRO_27-CR-19-4578_Order-Evaluation for Competency to Proceed (Rule 20.01)_2020-03-12_20251126175310.pdf")</f>
        <v>MCRO_27-CR-19-4578_Order-Evaluation for Competency to Proceed (Rule 20.01)_2020-03-12_20251126175310.pdf</v>
      </c>
      <c r="H96" s="7" t="str">
        <f aca="false">HYPERLINK("https://mncourtfraud.com/file/ac49845cca93f1e7da6f8dc8f52a23f7c0979602659f4113d8aa4e9045cb9719.jpg","ac49845cca93f1e7da6f8dc8f52a23f7c0979602659f4113d8aa4e9045cb9719")</f>
        <v>ac49845cca93f1e7da6f8dc8f52a23f7c0979602659f4113d8aa4e9045cb9719</v>
      </c>
      <c r="I96" s="1" t="s">
        <v>3417</v>
      </c>
      <c r="L96" s="2" t="s">
        <v>3418</v>
      </c>
      <c r="M96" s="2" t="n">
        <v>569312</v>
      </c>
      <c r="S96" s="2" t="n">
        <v>2550</v>
      </c>
      <c r="T96" s="2" t="n">
        <v>3300</v>
      </c>
    </row>
    <row r="97" customFormat="false" ht="18.7" hidden="false" customHeight="true" outlineLevel="0" collapsed="false">
      <c r="A97" s="1" t="n">
        <v>96</v>
      </c>
      <c r="B97" s="7" t="str">
        <f aca="false">HYPERLINK("https://mncourtfraud.com/file/27-CR-19-4578.pdf","27-CR-19-4578")</f>
        <v>27-CR-19-4578</v>
      </c>
      <c r="C97" s="1" t="n">
        <v>1</v>
      </c>
      <c r="D97" s="2" t="s">
        <v>12</v>
      </c>
      <c r="E97" s="8" t="n">
        <v>43902</v>
      </c>
      <c r="F97" s="2" t="s">
        <v>15</v>
      </c>
      <c r="G97" s="7" t="str">
        <f aca="false">HYPERLINK("https://mncourtfraud.com/file/MCRO_27-CR-19-4578_Order-Evaluation for Competency to Proceed (Rule 20.01)_2020-03-12_20251126175310.pdf","MCRO_27-CR-19-4578_Order-Evaluation for Competency to Proceed (Rule 20.01)_2020-03-12_20251126175310.pdf")</f>
        <v>MCRO_27-CR-19-4578_Order-Evaluation for Competency to Proceed (Rule 20.01)_2020-03-12_20251126175310.pdf</v>
      </c>
      <c r="H97" s="7" t="str">
        <f aca="false">HYPERLINK("https://mncourtfraud.com/file/e62cbc981992848b93300b7b6ea7126982edc25369bfbe6b74e76e13f733138e.ttf","e62cbc981992848b93300b7b6ea7126982edc25369bfbe6b74e76e13f733138e")</f>
        <v>e62cbc981992848b93300b7b6ea7126982edc25369bfbe6b74e76e13f733138e</v>
      </c>
      <c r="I97" s="1" t="s">
        <v>3413</v>
      </c>
      <c r="L97" s="2" t="s">
        <v>3415</v>
      </c>
      <c r="M97" s="2" t="n">
        <v>12924</v>
      </c>
    </row>
    <row r="98" customFormat="false" ht="18.7" hidden="false" customHeight="true" outlineLevel="0" collapsed="false">
      <c r="A98" s="1" t="n">
        <v>97</v>
      </c>
      <c r="B98" s="7" t="str">
        <f aca="false">HYPERLINK("https://mncourtfraud.com/file/27-CR-19-4578.pdf","27-CR-19-4578")</f>
        <v>27-CR-19-4578</v>
      </c>
      <c r="C98" s="1" t="n">
        <v>1</v>
      </c>
      <c r="D98" s="2" t="s">
        <v>12</v>
      </c>
      <c r="E98" s="8" t="n">
        <v>43970</v>
      </c>
      <c r="F98" s="2" t="s">
        <v>17</v>
      </c>
      <c r="G98" s="7" t="str">
        <f aca="false">HYPERLINK("https://mncourtfraud.com/file/MCRO_27-CR-19-4578_Returned Mail_2020-05-19_20251126175340.pdf","MCRO_27-CR-19-4578_Returned Mail_2020-05-19_20251126175340.pdf")</f>
        <v>MCRO_27-CR-19-4578_Returned Mail_2020-05-19_20251126175340.pdf</v>
      </c>
      <c r="H98" s="7" t="str">
        <f aca="false">HYPERLINK("https://mncourtfraud.com/file/0a6d95d1becdf9eb6c58da13b100362792caefda72d549096c0bda16a04654ea.ttf","0a6d95d1becdf9eb6c58da13b100362792caefda72d549096c0bda16a04654ea")</f>
        <v>0a6d95d1becdf9eb6c58da13b100362792caefda72d549096c0bda16a04654ea</v>
      </c>
      <c r="I98" s="1" t="s">
        <v>3413</v>
      </c>
      <c r="L98" s="2" t="s">
        <v>3415</v>
      </c>
      <c r="M98" s="2" t="n">
        <v>8220</v>
      </c>
    </row>
    <row r="99" customFormat="false" ht="18.7" hidden="false" customHeight="true" outlineLevel="0" collapsed="false">
      <c r="A99" s="1" t="n">
        <v>98</v>
      </c>
      <c r="B99" s="7" t="str">
        <f aca="false">HYPERLINK("https://mncourtfraud.com/file/27-CR-19-4578.pdf","27-CR-19-4578")</f>
        <v>27-CR-19-4578</v>
      </c>
      <c r="C99" s="1" t="n">
        <v>1</v>
      </c>
      <c r="D99" s="2" t="s">
        <v>12</v>
      </c>
      <c r="E99" s="8" t="n">
        <v>43970</v>
      </c>
      <c r="F99" s="2" t="s">
        <v>17</v>
      </c>
      <c r="G99" s="7" t="str">
        <f aca="false">HYPERLINK("https://mncourtfraud.com/file/MCRO_27-CR-19-4578_Returned Mail_2020-05-19_20251126175340.pdf","MCRO_27-CR-19-4578_Returned Mail_2020-05-19_20251126175340.pdf")</f>
        <v>MCRO_27-CR-19-4578_Returned Mail_2020-05-19_20251126175340.pdf</v>
      </c>
      <c r="H99" s="7" t="str">
        <f aca="false">HYPERLINK("https://mncourtfraud.com/file/30bceaaafce4807fd93a4b01e1c63e9a3e3333311b6902c72e7c6066ebd12d80.jpg","30bceaaafce4807fd93a4b01e1c63e9a3e3333311b6902c72e7c6066ebd12d80")</f>
        <v>30bceaaafce4807fd93a4b01e1c63e9a3e3333311b6902c72e7c6066ebd12d80</v>
      </c>
      <c r="I99" s="1" t="s">
        <v>3417</v>
      </c>
      <c r="L99" s="2" t="s">
        <v>3419</v>
      </c>
      <c r="M99" s="2" t="n">
        <v>198731</v>
      </c>
      <c r="S99" s="2" t="n">
        <v>2552</v>
      </c>
      <c r="T99" s="2" t="n">
        <v>3300</v>
      </c>
    </row>
    <row r="100" customFormat="false" ht="18.7" hidden="false" customHeight="true" outlineLevel="0" collapsed="false">
      <c r="A100" s="1" t="n">
        <v>99</v>
      </c>
      <c r="B100" s="7" t="str">
        <f aca="false">HYPERLINK("https://mncourtfraud.com/file/27-CR-19-4578.pdf","27-CR-19-4578")</f>
        <v>27-CR-19-4578</v>
      </c>
      <c r="C100" s="1" t="n">
        <v>1</v>
      </c>
      <c r="D100" s="2" t="s">
        <v>12</v>
      </c>
      <c r="E100" s="8" t="n">
        <v>44103</v>
      </c>
      <c r="F100" s="2" t="s">
        <v>19</v>
      </c>
      <c r="G100" s="7" t="str">
        <f aca="false">HYPERLINK("https://mncourtfraud.com/file/MCRO_27-CR-19-4578_Findings and Order_2020-09-29_20251126175057.pdf","MCRO_27-CR-19-4578_Findings and Order_2020-09-29_20251126175057.pdf")</f>
        <v>MCRO_27-CR-19-4578_Findings and Order_2020-09-29_20251126175057.pdf</v>
      </c>
      <c r="H100" s="7" t="str">
        <f aca="false">HYPERLINK("https://mncourtfraud.com/file/07e316fd6acde14e6752ac35fdb3665e9ff5ef9e00e600946974d23aa824e93e.png","07e316fd6acde14e6752ac35fdb3665e9ff5ef9e00e600946974d23aa824e93e")</f>
        <v>07e316fd6acde14e6752ac35fdb3665e9ff5ef9e00e600946974d23aa824e93e</v>
      </c>
      <c r="I100" s="1" t="s">
        <v>3406</v>
      </c>
      <c r="L100" s="2" t="s">
        <v>3412</v>
      </c>
      <c r="M100" s="2" t="n">
        <v>111400</v>
      </c>
      <c r="S100" s="2" t="n">
        <v>2560</v>
      </c>
      <c r="T100" s="2" t="n">
        <v>3300</v>
      </c>
    </row>
    <row r="101" customFormat="false" ht="18.7" hidden="false" customHeight="true" outlineLevel="0" collapsed="false">
      <c r="A101" s="1" t="n">
        <v>100</v>
      </c>
      <c r="B101" s="7" t="str">
        <f aca="false">HYPERLINK("https://mncourtfraud.com/file/27-CR-19-4578.pdf","27-CR-19-4578")</f>
        <v>27-CR-19-4578</v>
      </c>
      <c r="C101" s="1" t="n">
        <v>1</v>
      </c>
      <c r="D101" s="2" t="s">
        <v>12</v>
      </c>
      <c r="E101" s="8" t="n">
        <v>44103</v>
      </c>
      <c r="F101" s="2" t="s">
        <v>19</v>
      </c>
      <c r="G101" s="7" t="str">
        <f aca="false">HYPERLINK("https://mncourtfraud.com/file/MCRO_27-CR-19-4578_Findings and Order_2020-09-29_20251126175057.pdf","MCRO_27-CR-19-4578_Findings and Order_2020-09-29_20251126175057.pdf")</f>
        <v>MCRO_27-CR-19-4578_Findings and Order_2020-09-29_20251126175057.pdf</v>
      </c>
      <c r="H101" s="7" t="str">
        <f aca="false">HYPERLINK("https://mncourtfraud.com/file/11d6853f752025b4a249aab4251b562f847a3e41fb629b4cbcb4ec8dff13315a.png","11d6853f752025b4a249aab4251b562f847a3e41fb629b4cbcb4ec8dff13315a")</f>
        <v>11d6853f752025b4a249aab4251b562f847a3e41fb629b4cbcb4ec8dff13315a</v>
      </c>
      <c r="I101" s="1" t="s">
        <v>3406</v>
      </c>
      <c r="L101" s="2" t="s">
        <v>3412</v>
      </c>
      <c r="M101" s="2" t="n">
        <v>112047</v>
      </c>
      <c r="S101" s="2" t="n">
        <v>2560</v>
      </c>
      <c r="T101" s="2" t="n">
        <v>3300</v>
      </c>
    </row>
    <row r="102" customFormat="false" ht="18.7" hidden="false" customHeight="true" outlineLevel="0" collapsed="false">
      <c r="A102" s="1" t="n">
        <v>101</v>
      </c>
      <c r="B102" s="7" t="str">
        <f aca="false">HYPERLINK("https://mncourtfraud.com/file/27-CR-19-4578.pdf","27-CR-19-4578")</f>
        <v>27-CR-19-4578</v>
      </c>
      <c r="C102" s="1" t="n">
        <v>1</v>
      </c>
      <c r="D102" s="2" t="s">
        <v>12</v>
      </c>
      <c r="E102" s="8" t="n">
        <v>44103</v>
      </c>
      <c r="F102" s="2" t="s">
        <v>19</v>
      </c>
      <c r="G102" s="7" t="str">
        <f aca="false">HYPERLINK("https://mncourtfraud.com/file/MCRO_27-CR-19-4578_Findings and Order_2020-09-29_20251126175057.pdf","MCRO_27-CR-19-4578_Findings and Order_2020-09-29_20251126175057.pdf")</f>
        <v>MCRO_27-CR-19-4578_Findings and Order_2020-09-29_20251126175057.pdf</v>
      </c>
      <c r="H102" s="7" t="str">
        <f aca="false">HYPERLINK("https://mncourtfraud.com/file/127cb2cdb982ab960ee2d2f125b54b1d346457e50895c842b62b1be6393cf7ea.png","127cb2cdb982ab960ee2d2f125b54b1d346457e50895c842b62b1be6393cf7ea")</f>
        <v>127cb2cdb982ab960ee2d2f125b54b1d346457e50895c842b62b1be6393cf7ea</v>
      </c>
      <c r="I102" s="1" t="s">
        <v>3406</v>
      </c>
      <c r="L102" s="2" t="s">
        <v>3412</v>
      </c>
      <c r="M102" s="2" t="n">
        <v>128592</v>
      </c>
      <c r="S102" s="2" t="n">
        <v>2560</v>
      </c>
      <c r="T102" s="2" t="n">
        <v>3300</v>
      </c>
    </row>
    <row r="103" customFormat="false" ht="18.7" hidden="false" customHeight="true" outlineLevel="0" collapsed="false">
      <c r="A103" s="1" t="n">
        <v>102</v>
      </c>
      <c r="B103" s="7" t="str">
        <f aca="false">HYPERLINK("https://mncourtfraud.com/file/27-CR-19-4578.pdf","27-CR-19-4578")</f>
        <v>27-CR-19-4578</v>
      </c>
      <c r="C103" s="1" t="n">
        <v>1</v>
      </c>
      <c r="D103" s="2" t="s">
        <v>12</v>
      </c>
      <c r="E103" s="8" t="n">
        <v>44103</v>
      </c>
      <c r="F103" s="2" t="s">
        <v>19</v>
      </c>
      <c r="G103" s="7" t="str">
        <f aca="false">HYPERLINK("https://mncourtfraud.com/file/MCRO_27-CR-19-4578_Findings and Order_2020-09-29_20251126175057.pdf","MCRO_27-CR-19-4578_Findings and Order_2020-09-29_20251126175057.pdf")</f>
        <v>MCRO_27-CR-19-4578_Findings and Order_2020-09-29_20251126175057.pdf</v>
      </c>
      <c r="H103" s="7" t="str">
        <f aca="false">HYPERLINK("https://mncourtfraud.com/file/5ee07b0391e4f938d4624dade86775142f093b69d44110679cb386a9fcdb51dc.png","5ee07b0391e4f938d4624dade86775142f093b69d44110679cb386a9fcdb51dc")</f>
        <v>5ee07b0391e4f938d4624dade86775142f093b69d44110679cb386a9fcdb51dc</v>
      </c>
      <c r="I103" s="1" t="s">
        <v>3406</v>
      </c>
      <c r="L103" s="2" t="s">
        <v>3412</v>
      </c>
      <c r="M103" s="2" t="n">
        <v>141864</v>
      </c>
      <c r="S103" s="2" t="n">
        <v>2560</v>
      </c>
      <c r="T103" s="2" t="n">
        <v>3300</v>
      </c>
    </row>
    <row r="104" customFormat="false" ht="18.7" hidden="false" customHeight="true" outlineLevel="0" collapsed="false">
      <c r="A104" s="1" t="n">
        <v>103</v>
      </c>
      <c r="B104" s="7" t="str">
        <f aca="false">HYPERLINK("https://mncourtfraud.com/file/27-CR-19-4578.pdf","27-CR-19-4578")</f>
        <v>27-CR-19-4578</v>
      </c>
      <c r="C104" s="1" t="n">
        <v>1</v>
      </c>
      <c r="D104" s="2" t="s">
        <v>12</v>
      </c>
      <c r="E104" s="8" t="n">
        <v>44103</v>
      </c>
      <c r="F104" s="2" t="s">
        <v>19</v>
      </c>
      <c r="G104" s="7" t="str">
        <f aca="false">HYPERLINK("https://mncourtfraud.com/file/MCRO_27-CR-19-4578_Findings and Order_2020-09-29_20251126175057.pdf","MCRO_27-CR-19-4578_Findings and Order_2020-09-29_20251126175057.pdf")</f>
        <v>MCRO_27-CR-19-4578_Findings and Order_2020-09-29_20251126175057.pdf</v>
      </c>
      <c r="H104" s="7" t="str">
        <f aca="false">HYPERLINK("https://mncourtfraud.com/file/9298e052f4612cb0f1a6b3a16e09a68c67c5100b302cdb5815615d0bef9cb57b.png","9298e052f4612cb0f1a6b3a16e09a68c67c5100b302cdb5815615d0bef9cb57b")</f>
        <v>9298e052f4612cb0f1a6b3a16e09a68c67c5100b302cdb5815615d0bef9cb57b</v>
      </c>
      <c r="I104" s="1" t="s">
        <v>3406</v>
      </c>
      <c r="L104" s="2" t="s">
        <v>3412</v>
      </c>
      <c r="M104" s="2" t="n">
        <v>132457</v>
      </c>
      <c r="S104" s="2" t="n">
        <v>2560</v>
      </c>
      <c r="T104" s="2" t="n">
        <v>3300</v>
      </c>
    </row>
    <row r="105" customFormat="false" ht="18.7" hidden="false" customHeight="true" outlineLevel="0" collapsed="false">
      <c r="A105" s="1" t="n">
        <v>104</v>
      </c>
      <c r="B105" s="7" t="str">
        <f aca="false">HYPERLINK("https://mncourtfraud.com/file/27-CR-19-4578.pdf","27-CR-19-4578")</f>
        <v>27-CR-19-4578</v>
      </c>
      <c r="C105" s="1" t="n">
        <v>1</v>
      </c>
      <c r="D105" s="2" t="s">
        <v>12</v>
      </c>
      <c r="E105" s="8" t="n">
        <v>44103</v>
      </c>
      <c r="F105" s="2" t="s">
        <v>19</v>
      </c>
      <c r="G105" s="7" t="str">
        <f aca="false">HYPERLINK("https://mncourtfraud.com/file/MCRO_27-CR-19-4578_Findings and Order_2020-09-29_20251126175057.pdf","MCRO_27-CR-19-4578_Findings and Order_2020-09-29_20251126175057.pdf")</f>
        <v>MCRO_27-CR-19-4578_Findings and Order_2020-09-29_20251126175057.pdf</v>
      </c>
      <c r="H105" s="7" t="str">
        <f aca="false">HYPERLINK("https://mncourtfraud.com/file/ed475875d3636fc55785bfc0d90873f236925934528f91fa7187443759c8d7a9.ttf","ed475875d3636fc55785bfc0d90873f236925934528f91fa7187443759c8d7a9")</f>
        <v>ed475875d3636fc55785bfc0d90873f236925934528f91fa7187443759c8d7a9</v>
      </c>
      <c r="I105" s="1" t="s">
        <v>3413</v>
      </c>
      <c r="L105" s="2" t="s">
        <v>3415</v>
      </c>
      <c r="M105" s="2" t="n">
        <v>12924</v>
      </c>
    </row>
    <row r="106" customFormat="false" ht="18.7" hidden="false" customHeight="true" outlineLevel="0" collapsed="false">
      <c r="A106" s="1" t="n">
        <v>105</v>
      </c>
      <c r="B106" s="7" t="str">
        <f aca="false">HYPERLINK("https://mncourtfraud.com/file/27-CR-19-4578.pdf","27-CR-19-4578")</f>
        <v>27-CR-19-4578</v>
      </c>
      <c r="C106" s="1" t="n">
        <v>1</v>
      </c>
      <c r="D106" s="2" t="s">
        <v>12</v>
      </c>
      <c r="E106" s="8" t="n">
        <v>44225</v>
      </c>
      <c r="F106" s="2" t="s">
        <v>15</v>
      </c>
      <c r="G106" s="7" t="str">
        <f aca="false">HYPERLINK("https://mncourtfraud.com/file/MCRO_27-CR-19-4578_Order-Evaluation for Competency to Proceed (Rule 20.01)_2021-01-29_20251126175321.pdf","MCRO_27-CR-19-4578_Order-Evaluation for Competency to Proceed (Rule 20.01)_2021-01-29_20251126175321.pdf")</f>
        <v>MCRO_27-CR-19-4578_Order-Evaluation for Competency to Proceed (Rule 20.01)_2021-01-29_20251126175321.pdf</v>
      </c>
      <c r="H106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06" s="1" t="s">
        <v>3406</v>
      </c>
      <c r="K106" s="2" t="s">
        <v>3420</v>
      </c>
      <c r="L106" s="2" t="s">
        <v>3408</v>
      </c>
      <c r="M106" s="2" t="n">
        <v>7306</v>
      </c>
      <c r="O106" s="2" t="s">
        <v>3409</v>
      </c>
      <c r="P106" s="2" t="s">
        <v>3410</v>
      </c>
      <c r="S106" s="2" t="n">
        <v>319</v>
      </c>
      <c r="T106" s="2" t="n">
        <v>105</v>
      </c>
    </row>
    <row r="107" customFormat="false" ht="18.7" hidden="false" customHeight="true" outlineLevel="0" collapsed="false">
      <c r="A107" s="1" t="n">
        <v>106</v>
      </c>
      <c r="B107" s="7" t="str">
        <f aca="false">HYPERLINK("https://mncourtfraud.com/file/27-CR-19-4578.pdf","27-CR-19-4578")</f>
        <v>27-CR-19-4578</v>
      </c>
      <c r="C107" s="1" t="n">
        <v>1</v>
      </c>
      <c r="D107" s="2" t="s">
        <v>12</v>
      </c>
      <c r="E107" s="8" t="n">
        <v>44225</v>
      </c>
      <c r="F107" s="2" t="s">
        <v>15</v>
      </c>
      <c r="G107" s="7" t="str">
        <f aca="false">HYPERLINK("https://mncourtfraud.com/file/MCRO_27-CR-19-4578_Order-Evaluation for Competency to Proceed (Rule 20.01)_2021-01-29_20251126175321.pdf","MCRO_27-CR-19-4578_Order-Evaluation for Competency to Proceed (Rule 20.01)_2021-01-29_20251126175321.pdf")</f>
        <v>MCRO_27-CR-19-4578_Order-Evaluation for Competency to Proceed (Rule 20.01)_2021-01-29_20251126175321.pdf</v>
      </c>
      <c r="H107" s="7" t="str">
        <f aca="false">HYPERLINK("https://mncourtfraud.com/file/546304e2050278ff497f628e7aee653da606219dd05bf0397179732462a20afc.ttf","546304e2050278ff497f628e7aee653da606219dd05bf0397179732462a20afc")</f>
        <v>546304e2050278ff497f628e7aee653da606219dd05bf0397179732462a20afc</v>
      </c>
      <c r="I107" s="1" t="s">
        <v>3413</v>
      </c>
      <c r="J107" s="2" t="s">
        <v>3421</v>
      </c>
      <c r="K107" s="2" t="s">
        <v>3421</v>
      </c>
      <c r="L107" s="2" t="s">
        <v>3415</v>
      </c>
      <c r="M107" s="2" t="n">
        <v>399420</v>
      </c>
    </row>
    <row r="108" customFormat="false" ht="18.7" hidden="false" customHeight="true" outlineLevel="0" collapsed="false">
      <c r="A108" s="1" t="n">
        <v>107</v>
      </c>
      <c r="B108" s="7" t="str">
        <f aca="false">HYPERLINK("https://mncourtfraud.com/file/27-CR-19-4578.pdf","27-CR-19-4578")</f>
        <v>27-CR-19-4578</v>
      </c>
      <c r="C108" s="1" t="n">
        <v>1</v>
      </c>
      <c r="D108" s="2" t="s">
        <v>12</v>
      </c>
      <c r="E108" s="8" t="n">
        <v>44225</v>
      </c>
      <c r="F108" s="2" t="s">
        <v>15</v>
      </c>
      <c r="G108" s="7" t="str">
        <f aca="false">HYPERLINK("https://mncourtfraud.com/file/MCRO_27-CR-19-4578_Order-Evaluation for Competency to Proceed (Rule 20.01)_2021-01-29_20251126175321.pdf","MCRO_27-CR-19-4578_Order-Evaluation for Competency to Proceed (Rule 20.01)_2021-01-29_20251126175321.pdf")</f>
        <v>MCRO_27-CR-19-4578_Order-Evaluation for Competency to Proceed (Rule 20.01)_2021-01-29_20251126175321.pdf</v>
      </c>
      <c r="H108" s="7" t="str">
        <f aca="false">HYPERLINK("https://mncourtfraud.com/file/5fe279e2bb67346d4b9382b6d426f3b2037a8a7faa39183d4cc98bf1b3eac581.ttf","5fe279e2bb67346d4b9382b6d426f3b2037a8a7faa39183d4cc98bf1b3eac581")</f>
        <v>5fe279e2bb67346d4b9382b6d426f3b2037a8a7faa39183d4cc98bf1b3eac581</v>
      </c>
      <c r="I108" s="1" t="s">
        <v>3413</v>
      </c>
      <c r="J108" s="2" t="s">
        <v>3422</v>
      </c>
      <c r="K108" s="2" t="s">
        <v>3422</v>
      </c>
      <c r="L108" s="2" t="s">
        <v>3415</v>
      </c>
      <c r="M108" s="2" t="n">
        <v>584320</v>
      </c>
    </row>
    <row r="109" customFormat="false" ht="18.7" hidden="false" customHeight="true" outlineLevel="0" collapsed="false">
      <c r="A109" s="1" t="n">
        <v>108</v>
      </c>
      <c r="B109" s="7" t="str">
        <f aca="false">HYPERLINK("https://mncourtfraud.com/file/27-CR-19-4578.pdf","27-CR-19-4578")</f>
        <v>27-CR-19-4578</v>
      </c>
      <c r="C109" s="1" t="n">
        <v>1</v>
      </c>
      <c r="D109" s="2" t="s">
        <v>12</v>
      </c>
      <c r="E109" s="8" t="n">
        <v>44225</v>
      </c>
      <c r="F109" s="2" t="s">
        <v>15</v>
      </c>
      <c r="G109" s="7" t="str">
        <f aca="false">HYPERLINK("https://mncourtfraud.com/file/MCRO_27-CR-19-4578_Order-Evaluation for Competency to Proceed (Rule 20.01)_2021-01-29_20251126175321.pdf","MCRO_27-CR-19-4578_Order-Evaluation for Competency to Proceed (Rule 20.01)_2021-01-29_20251126175321.pdf")</f>
        <v>MCRO_27-CR-19-4578_Order-Evaluation for Competency to Proceed (Rule 20.01)_2021-01-29_20251126175321.pdf</v>
      </c>
      <c r="H109" s="7" t="str">
        <f aca="false">HYPERLINK("https://mncourtfraud.com/file/b1c2362109b3c1555dd5946549cada931b8066060cb7036e6b0b500de41c44e8.ttf","b1c2362109b3c1555dd5946549cada931b8066060cb7036e6b0b500de41c44e8")</f>
        <v>b1c2362109b3c1555dd5946549cada931b8066060cb7036e6b0b500de41c44e8</v>
      </c>
      <c r="I109" s="1" t="s">
        <v>3413</v>
      </c>
      <c r="J109" s="2" t="s">
        <v>3423</v>
      </c>
      <c r="K109" s="2" t="s">
        <v>3423</v>
      </c>
      <c r="L109" s="2" t="s">
        <v>3415</v>
      </c>
      <c r="M109" s="2" t="n">
        <v>25228</v>
      </c>
    </row>
    <row r="110" customFormat="false" ht="18.7" hidden="false" customHeight="true" outlineLevel="0" collapsed="false">
      <c r="A110" s="1" t="n">
        <v>109</v>
      </c>
      <c r="B110" s="7" t="str">
        <f aca="false">HYPERLINK("https://mncourtfraud.com/file/27-CR-19-4578.pdf","27-CR-19-4578")</f>
        <v>27-CR-19-4578</v>
      </c>
      <c r="C110" s="1" t="n">
        <v>1</v>
      </c>
      <c r="D110" s="2" t="s">
        <v>12</v>
      </c>
      <c r="E110" s="8" t="n">
        <v>44225</v>
      </c>
      <c r="F110" s="2" t="s">
        <v>15</v>
      </c>
      <c r="G110" s="7" t="str">
        <f aca="false">HYPERLINK("https://mncourtfraud.com/file/MCRO_27-CR-19-4578_Order-Evaluation for Competency to Proceed (Rule 20.01)_2021-01-29_20251126175321.pdf","MCRO_27-CR-19-4578_Order-Evaluation for Competency to Proceed (Rule 20.01)_2021-01-29_20251126175321.pdf")</f>
        <v>MCRO_27-CR-19-4578_Order-Evaluation for Competency to Proceed (Rule 20.01)_2021-01-29_20251126175321.pdf</v>
      </c>
      <c r="H110" s="7" t="str">
        <f aca="false">HYPERLINK("https://mncourtfraud.com/file/d2c62141a1ec41646c92beed2b2984b9af228aca51b9dba5d40aa343c9c7fc50.ttf","d2c62141a1ec41646c92beed2b2984b9af228aca51b9dba5d40aa343c9c7fc50")</f>
        <v>d2c62141a1ec41646c92beed2b2984b9af228aca51b9dba5d40aa343c9c7fc50</v>
      </c>
      <c r="I110" s="1" t="s">
        <v>3413</v>
      </c>
      <c r="J110" s="2" t="s">
        <v>3424</v>
      </c>
      <c r="K110" s="2" t="s">
        <v>3424</v>
      </c>
      <c r="L110" s="2" t="s">
        <v>3415</v>
      </c>
      <c r="M110" s="2" t="n">
        <v>29188</v>
      </c>
    </row>
    <row r="111" customFormat="false" ht="18.7" hidden="false" customHeight="true" outlineLevel="0" collapsed="false">
      <c r="A111" s="1" t="n">
        <v>110</v>
      </c>
      <c r="B111" s="7" t="str">
        <f aca="false">HYPERLINK("https://mncourtfraud.com/file/27-CR-19-4578.pdf","27-CR-19-4578")</f>
        <v>27-CR-19-4578</v>
      </c>
      <c r="C111" s="1" t="n">
        <v>1</v>
      </c>
      <c r="D111" s="2" t="s">
        <v>12</v>
      </c>
      <c r="E111" s="8" t="n">
        <v>44225</v>
      </c>
      <c r="F111" s="2" t="s">
        <v>15</v>
      </c>
      <c r="G111" s="7" t="str">
        <f aca="false">HYPERLINK("https://mncourtfraud.com/file/MCRO_27-CR-19-4578_Order-Evaluation for Competency to Proceed (Rule 20.01)_2021-01-29_20251126175321.pdf","MCRO_27-CR-19-4578_Order-Evaluation for Competency to Proceed (Rule 20.01)_2021-01-29_20251126175321.pdf")</f>
        <v>MCRO_27-CR-19-4578_Order-Evaluation for Competency to Proceed (Rule 20.01)_2021-01-29_20251126175321.pdf</v>
      </c>
      <c r="H111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11" s="1" t="s">
        <v>3406</v>
      </c>
      <c r="K111" s="2" t="s">
        <v>3425</v>
      </c>
      <c r="L111" s="2" t="s">
        <v>3408</v>
      </c>
      <c r="M111" s="2" t="n">
        <v>21225</v>
      </c>
      <c r="O111" s="2" t="s">
        <v>3409</v>
      </c>
      <c r="P111" s="2" t="s">
        <v>3410</v>
      </c>
      <c r="S111" s="2" t="n">
        <v>319</v>
      </c>
      <c r="T111" s="2" t="n">
        <v>105</v>
      </c>
    </row>
    <row r="112" customFormat="false" ht="18.7" hidden="false" customHeight="true" outlineLevel="0" collapsed="false">
      <c r="A112" s="1" t="n">
        <v>111</v>
      </c>
      <c r="B112" s="7" t="str">
        <f aca="false">HYPERLINK("https://mncourtfraud.com/file/27-CR-19-4578.pdf","27-CR-19-4578")</f>
        <v>27-CR-19-4578</v>
      </c>
      <c r="C112" s="1" t="n">
        <v>1</v>
      </c>
      <c r="D112" s="2" t="s">
        <v>12</v>
      </c>
      <c r="E112" s="8" t="n">
        <v>44396</v>
      </c>
      <c r="F112" s="2" t="s">
        <v>15</v>
      </c>
      <c r="G112" s="7" t="str">
        <f aca="false">HYPERLINK("https://mncourtfraud.com/file/MCRO_27-CR-19-4578_Order-Evaluation for Competency to Proceed (Rule 20.01)_2021-07-19_20251126175155.pdf","MCRO_27-CR-19-4578_Order-Evaluation for Competency to Proceed (Rule 20.01)_2021-07-19_20251126175155.pdf")</f>
        <v>MCRO_27-CR-19-4578_Order-Evaluation for Competency to Proceed (Rule 20.01)_2021-07-19_20251126175155.pdf</v>
      </c>
      <c r="H112" s="7" t="str">
        <f aca="false">HYPERLINK("https://mncourtfraud.com/file/0bdb72f6a4802a5960278930bfe50fc8015bcdfe84c5a77d11207f09f550189b.png","0bdb72f6a4802a5960278930bfe50fc8015bcdfe84c5a77d11207f09f550189b")</f>
        <v>0bdb72f6a4802a5960278930bfe50fc8015bcdfe84c5a77d11207f09f550189b</v>
      </c>
      <c r="I112" s="1" t="s">
        <v>3406</v>
      </c>
      <c r="L112" s="2" t="s">
        <v>3412</v>
      </c>
      <c r="M112" s="2" t="n">
        <v>153128</v>
      </c>
      <c r="S112" s="2" t="n">
        <v>2550</v>
      </c>
      <c r="T112" s="2" t="n">
        <v>3300</v>
      </c>
    </row>
    <row r="113" customFormat="false" ht="18.7" hidden="false" customHeight="true" outlineLevel="0" collapsed="false">
      <c r="A113" s="1" t="n">
        <v>112</v>
      </c>
      <c r="B113" s="7" t="str">
        <f aca="false">HYPERLINK("https://mncourtfraud.com/file/27-CR-19-4578.pdf","27-CR-19-4578")</f>
        <v>27-CR-19-4578</v>
      </c>
      <c r="C113" s="1" t="n">
        <v>1</v>
      </c>
      <c r="D113" s="2" t="s">
        <v>12</v>
      </c>
      <c r="E113" s="8" t="n">
        <v>44396</v>
      </c>
      <c r="F113" s="2" t="s">
        <v>15</v>
      </c>
      <c r="G113" s="7" t="str">
        <f aca="false">HYPERLINK("https://mncourtfraud.com/file/MCRO_27-CR-19-4578_Order-Evaluation for Competency to Proceed (Rule 20.01)_2021-07-19_20251126175155.pdf","MCRO_27-CR-19-4578_Order-Evaluation for Competency to Proceed (Rule 20.01)_2021-07-19_20251126175155.pdf")</f>
        <v>MCRO_27-CR-19-4578_Order-Evaluation for Competency to Proceed (Rule 20.01)_2021-07-19_20251126175155.pdf</v>
      </c>
      <c r="H113" s="7" t="str">
        <f aca="false">HYPERLINK("https://mncourtfraud.com/file/12411eefe73ba9e6c3c911f7c8b04fecec80f976d6e3c3db35f0811d2c2b7bbb.ttf","12411eefe73ba9e6c3c911f7c8b04fecec80f976d6e3c3db35f0811d2c2b7bbb")</f>
        <v>12411eefe73ba9e6c3c911f7c8b04fecec80f976d6e3c3db35f0811d2c2b7bbb</v>
      </c>
      <c r="I113" s="1" t="s">
        <v>3413</v>
      </c>
      <c r="L113" s="2" t="s">
        <v>3415</v>
      </c>
      <c r="M113" s="2" t="n">
        <v>333576</v>
      </c>
    </row>
    <row r="114" customFormat="false" ht="18.7" hidden="false" customHeight="true" outlineLevel="0" collapsed="false">
      <c r="A114" s="1" t="n">
        <v>113</v>
      </c>
      <c r="B114" s="7" t="str">
        <f aca="false">HYPERLINK("https://mncourtfraud.com/file/27-CR-19-4578.pdf","27-CR-19-4578")</f>
        <v>27-CR-19-4578</v>
      </c>
      <c r="C114" s="1" t="n">
        <v>1</v>
      </c>
      <c r="D114" s="2" t="s">
        <v>12</v>
      </c>
      <c r="E114" s="8" t="n">
        <v>44396</v>
      </c>
      <c r="F114" s="2" t="s">
        <v>15</v>
      </c>
      <c r="G114" s="7" t="str">
        <f aca="false">HYPERLINK("https://mncourtfraud.com/file/MCRO_27-CR-19-4578_Order-Evaluation for Competency to Proceed (Rule 20.01)_2021-07-19_20251126175155.pdf","MCRO_27-CR-19-4578_Order-Evaluation for Competency to Proceed (Rule 20.01)_2021-07-19_20251126175155.pdf")</f>
        <v>MCRO_27-CR-19-4578_Order-Evaluation for Competency to Proceed (Rule 20.01)_2021-07-19_20251126175155.pdf</v>
      </c>
      <c r="H114" s="7" t="str">
        <f aca="false">HYPERLINK("https://mncourtfraud.com/file/e953c4beb2573af66eaced7db17999d4f7a1c1510f8c4bf266c9fe4e758d16e5.png","e953c4beb2573af66eaced7db17999d4f7a1c1510f8c4bf266c9fe4e758d16e5")</f>
        <v>e953c4beb2573af66eaced7db17999d4f7a1c1510f8c4bf266c9fe4e758d16e5</v>
      </c>
      <c r="I114" s="1" t="s">
        <v>3406</v>
      </c>
      <c r="L114" s="2" t="s">
        <v>3412</v>
      </c>
      <c r="M114" s="2" t="n">
        <v>145296</v>
      </c>
      <c r="S114" s="2" t="n">
        <v>2550</v>
      </c>
      <c r="T114" s="2" t="n">
        <v>3300</v>
      </c>
    </row>
    <row r="115" customFormat="false" ht="18.7" hidden="false" customHeight="true" outlineLevel="0" collapsed="false">
      <c r="A115" s="1" t="n">
        <v>114</v>
      </c>
      <c r="B115" s="7" t="str">
        <f aca="false">HYPERLINK("https://mncourtfraud.com/file/27-CR-19-4578.pdf","27-CR-19-4578")</f>
        <v>27-CR-19-4578</v>
      </c>
      <c r="C115" s="1" t="n">
        <v>1</v>
      </c>
      <c r="D115" s="2" t="s">
        <v>12</v>
      </c>
      <c r="E115" s="8" t="n">
        <v>44439</v>
      </c>
      <c r="F115" s="2" t="s">
        <v>19</v>
      </c>
      <c r="G115" s="7" t="str">
        <f aca="false">HYPERLINK("https://mncourtfraud.com/file/MCRO_27-CR-19-4578_Findings and Order_2021-08-31_20251126175106.pdf","MCRO_27-CR-19-4578_Findings and Order_2021-08-31_20251126175106.pdf")</f>
        <v>MCRO_27-CR-19-4578_Findings and Order_2021-08-31_20251126175106.pdf</v>
      </c>
      <c r="H115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115" s="1" t="s">
        <v>3413</v>
      </c>
      <c r="J115" s="2" t="s">
        <v>3426</v>
      </c>
      <c r="K115" s="2" t="s">
        <v>3426</v>
      </c>
      <c r="L115" s="2" t="s">
        <v>3415</v>
      </c>
      <c r="M115" s="2" t="n">
        <v>74997</v>
      </c>
      <c r="N115" s="2" t="s">
        <v>3427</v>
      </c>
    </row>
    <row r="116" customFormat="false" ht="18.7" hidden="false" customHeight="true" outlineLevel="0" collapsed="false">
      <c r="A116" s="1" t="n">
        <v>115</v>
      </c>
      <c r="B116" s="7" t="str">
        <f aca="false">HYPERLINK("https://mncourtfraud.com/file/27-CR-19-4578.pdf","27-CR-19-4578")</f>
        <v>27-CR-19-4578</v>
      </c>
      <c r="C116" s="1" t="n">
        <v>1</v>
      </c>
      <c r="D116" s="2" t="s">
        <v>12</v>
      </c>
      <c r="E116" s="8" t="n">
        <v>44439</v>
      </c>
      <c r="F116" s="2" t="s">
        <v>19</v>
      </c>
      <c r="G116" s="7" t="str">
        <f aca="false">HYPERLINK("https://mncourtfraud.com/file/MCRO_27-CR-19-4578_Findings and Order_2021-08-31_20251126175106.pdf","MCRO_27-CR-19-4578_Findings and Order_2021-08-31_20251126175106.pdf")</f>
        <v>MCRO_27-CR-19-4578_Findings and Order_2021-08-31_20251126175106.pdf</v>
      </c>
      <c r="H116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116" s="1" t="s">
        <v>3413</v>
      </c>
      <c r="J116" s="2" t="s">
        <v>3414</v>
      </c>
      <c r="K116" s="2" t="s">
        <v>3414</v>
      </c>
      <c r="L116" s="2" t="s">
        <v>3415</v>
      </c>
      <c r="M116" s="2" t="n">
        <v>65384</v>
      </c>
    </row>
    <row r="117" customFormat="false" ht="18.7" hidden="false" customHeight="true" outlineLevel="0" collapsed="false">
      <c r="A117" s="1" t="n">
        <v>116</v>
      </c>
      <c r="B117" s="7" t="str">
        <f aca="false">HYPERLINK("https://mncourtfraud.com/file/27-CR-19-4578.pdf","27-CR-19-4578")</f>
        <v>27-CR-19-4578</v>
      </c>
      <c r="C117" s="1" t="n">
        <v>1</v>
      </c>
      <c r="D117" s="2" t="s">
        <v>12</v>
      </c>
      <c r="E117" s="8" t="n">
        <v>44439</v>
      </c>
      <c r="F117" s="2" t="s">
        <v>19</v>
      </c>
      <c r="G117" s="7" t="str">
        <f aca="false">HYPERLINK("https://mncourtfraud.com/file/MCRO_27-CR-19-4578_Findings and Order_2021-08-31_20251126175106.pdf","MCRO_27-CR-19-4578_Findings and Order_2021-08-31_20251126175106.pdf")</f>
        <v>MCRO_27-CR-19-4578_Findings and Order_2021-08-31_20251126175106.pdf</v>
      </c>
      <c r="H117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117" s="1" t="s">
        <v>3413</v>
      </c>
      <c r="J117" s="2" t="s">
        <v>3414</v>
      </c>
      <c r="K117" s="2" t="s">
        <v>3414</v>
      </c>
      <c r="L117" s="2" t="s">
        <v>3415</v>
      </c>
      <c r="M117" s="2" t="n">
        <v>65384</v>
      </c>
    </row>
    <row r="118" customFormat="false" ht="18.7" hidden="false" customHeight="true" outlineLevel="0" collapsed="false">
      <c r="A118" s="1" t="n">
        <v>117</v>
      </c>
      <c r="B118" s="7" t="str">
        <f aca="false">HYPERLINK("https://mncourtfraud.com/file/27-CR-19-4578.pdf","27-CR-19-4578")</f>
        <v>27-CR-19-4578</v>
      </c>
      <c r="C118" s="1" t="n">
        <v>1</v>
      </c>
      <c r="D118" s="2" t="s">
        <v>12</v>
      </c>
      <c r="E118" s="8" t="n">
        <v>44439</v>
      </c>
      <c r="F118" s="2" t="s">
        <v>19</v>
      </c>
      <c r="G118" s="7" t="str">
        <f aca="false">HYPERLINK("https://mncourtfraud.com/file/MCRO_27-CR-19-4578_Findings and Order_2021-08-31_20251126175106.pdf","MCRO_27-CR-19-4578_Findings and Order_2021-08-31_20251126175106.pdf")</f>
        <v>MCRO_27-CR-19-4578_Findings and Order_2021-08-31_20251126175106.pdf</v>
      </c>
      <c r="H118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118" s="1" t="s">
        <v>3428</v>
      </c>
      <c r="J118" s="2" t="s">
        <v>3429</v>
      </c>
      <c r="K118" s="2" t="s">
        <v>3429</v>
      </c>
      <c r="L118" s="2" t="s">
        <v>3415</v>
      </c>
      <c r="M118" s="2" t="n">
        <v>86093</v>
      </c>
    </row>
    <row r="119" customFormat="false" ht="18.7" hidden="false" customHeight="true" outlineLevel="0" collapsed="false">
      <c r="A119" s="1" t="n">
        <v>118</v>
      </c>
      <c r="B119" s="7" t="str">
        <f aca="false">HYPERLINK("https://mncourtfraud.com/file/27-CR-19-4578.pdf","27-CR-19-4578")</f>
        <v>27-CR-19-4578</v>
      </c>
      <c r="C119" s="1" t="n">
        <v>1</v>
      </c>
      <c r="D119" s="2" t="s">
        <v>12</v>
      </c>
      <c r="E119" s="8" t="n">
        <v>44439</v>
      </c>
      <c r="F119" s="2" t="s">
        <v>19</v>
      </c>
      <c r="G119" s="7" t="str">
        <f aca="false">HYPERLINK("https://mncourtfraud.com/file/MCRO_27-CR-19-4578_Findings and Order_2021-08-31_20251126175106.pdf","MCRO_27-CR-19-4578_Findings and Order_2021-08-31_20251126175106.pdf")</f>
        <v>MCRO_27-CR-19-4578_Findings and Order_2021-08-31_20251126175106.pdf</v>
      </c>
      <c r="H119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119" s="1" t="s">
        <v>3406</v>
      </c>
      <c r="K119" s="2" t="s">
        <v>3430</v>
      </c>
      <c r="L119" s="2" t="s">
        <v>3408</v>
      </c>
      <c r="M119" s="2" t="n">
        <v>28069</v>
      </c>
      <c r="O119" s="2" t="s">
        <v>3409</v>
      </c>
      <c r="P119" s="2" t="s">
        <v>3410</v>
      </c>
      <c r="S119" s="2" t="n">
        <v>448</v>
      </c>
      <c r="T119" s="2" t="n">
        <v>128</v>
      </c>
    </row>
    <row r="120" customFormat="false" ht="18.7" hidden="false" customHeight="true" outlineLevel="0" collapsed="false">
      <c r="A120" s="1" t="n">
        <v>119</v>
      </c>
      <c r="B120" s="7" t="str">
        <f aca="false">HYPERLINK("https://mncourtfraud.com/file/27-CR-19-4578.pdf","27-CR-19-4578")</f>
        <v>27-CR-19-4578</v>
      </c>
      <c r="C120" s="1" t="n">
        <v>1</v>
      </c>
      <c r="D120" s="2" t="s">
        <v>12</v>
      </c>
      <c r="E120" s="8" t="n">
        <v>44439</v>
      </c>
      <c r="F120" s="2" t="s">
        <v>19</v>
      </c>
      <c r="G120" s="7" t="str">
        <f aca="false">HYPERLINK("https://mncourtfraud.com/file/MCRO_27-CR-19-4578_Findings and Order_2021-08-31_20251126175106.pdf","MCRO_27-CR-19-4578_Findings and Order_2021-08-31_20251126175106.pdf")</f>
        <v>MCRO_27-CR-19-4578_Findings and Order_2021-08-31_20251126175106.pdf</v>
      </c>
      <c r="H120" s="7" t="str">
        <f aca="false">HYPERLINK("https://mncourtfraud.com/file/d85226137c53579f37f2c87321a4ff209a309a82330591d9457774d7d697befc.ttf","d85226137c53579f37f2c87321a4ff209a309a82330591d9457774d7d697befc")</f>
        <v>d85226137c53579f37f2c87321a4ff209a309a82330591d9457774d7d697befc</v>
      </c>
      <c r="I120" s="1" t="s">
        <v>3413</v>
      </c>
      <c r="J120" s="2" t="s">
        <v>3414</v>
      </c>
      <c r="K120" s="2" t="s">
        <v>3416</v>
      </c>
      <c r="L120" s="2" t="s">
        <v>3415</v>
      </c>
      <c r="M120" s="2" t="n">
        <v>49992</v>
      </c>
    </row>
    <row r="121" customFormat="false" ht="18.7" hidden="false" customHeight="true" outlineLevel="0" collapsed="false">
      <c r="A121" s="1" t="n">
        <v>120</v>
      </c>
      <c r="B121" s="7" t="str">
        <f aca="false">HYPERLINK("https://mncourtfraud.com/file/27-CR-19-4578.pdf","27-CR-19-4578")</f>
        <v>27-CR-19-4578</v>
      </c>
      <c r="C121" s="1" t="n">
        <v>1</v>
      </c>
      <c r="D121" s="2" t="s">
        <v>12</v>
      </c>
      <c r="E121" s="8" t="n">
        <v>44460</v>
      </c>
      <c r="F121" s="2" t="s">
        <v>24</v>
      </c>
      <c r="G121" s="7" t="str">
        <f aca="false">HYPERLINK("https://mncourtfraud.com/file/MCRO_27-CR-19-4578_Order for Conditional Release_2021-09-21_20251126175125.pdf","MCRO_27-CR-19-4578_Order for Conditional Release_2021-09-21_20251126175125.pdf")</f>
        <v>MCRO_27-CR-19-4578_Order for Conditional Release_2021-09-21_20251126175125.pdf</v>
      </c>
      <c r="H121" s="7" t="str">
        <f aca="false">HYPERLINK("https://mncourtfraud.com/file/02dfb6e08fd11b3563d1b9b621b56dbf2dc11acbd85e42bfd83f728fb300bef2.ttf","02dfb6e08fd11b3563d1b9b621b56dbf2dc11acbd85e42bfd83f728fb300bef2")</f>
        <v>02dfb6e08fd11b3563d1b9b621b56dbf2dc11acbd85e42bfd83f728fb300bef2</v>
      </c>
      <c r="I121" s="1" t="s">
        <v>3413</v>
      </c>
      <c r="L121" s="2" t="s">
        <v>3415</v>
      </c>
      <c r="M121" s="2" t="n">
        <v>333576</v>
      </c>
    </row>
    <row r="122" customFormat="false" ht="18.7" hidden="false" customHeight="true" outlineLevel="0" collapsed="false">
      <c r="A122" s="1" t="n">
        <v>121</v>
      </c>
      <c r="B122" s="7" t="str">
        <f aca="false">HYPERLINK("https://mncourtfraud.com/file/27-CR-19-4578.pdf","27-CR-19-4578")</f>
        <v>27-CR-19-4578</v>
      </c>
      <c r="C122" s="1" t="n">
        <v>1</v>
      </c>
      <c r="D122" s="2" t="s">
        <v>12</v>
      </c>
      <c r="E122" s="8" t="n">
        <v>44460</v>
      </c>
      <c r="F122" s="2" t="s">
        <v>24</v>
      </c>
      <c r="G122" s="7" t="str">
        <f aca="false">HYPERLINK("https://mncourtfraud.com/file/MCRO_27-CR-19-4578_Order for Conditional Release_2021-09-21_20251126175125.pdf","MCRO_27-CR-19-4578_Order for Conditional Release_2021-09-21_20251126175125.pdf")</f>
        <v>MCRO_27-CR-19-4578_Order for Conditional Release_2021-09-21_20251126175125.pdf</v>
      </c>
      <c r="H122" s="7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122" s="1" t="s">
        <v>3406</v>
      </c>
      <c r="L122" s="2" t="s">
        <v>3412</v>
      </c>
      <c r="M122" s="2" t="n">
        <v>152962</v>
      </c>
      <c r="S122" s="2" t="n">
        <v>2560</v>
      </c>
      <c r="T122" s="2" t="n">
        <v>3300</v>
      </c>
    </row>
    <row r="123" customFormat="false" ht="18.7" hidden="false" customHeight="true" outlineLevel="0" collapsed="false">
      <c r="A123" s="1" t="n">
        <v>122</v>
      </c>
      <c r="B123" s="7" t="str">
        <f aca="false">HYPERLINK("https://mncourtfraud.com/file/27-CR-19-4578.pdf","27-CR-19-4578")</f>
        <v>27-CR-19-4578</v>
      </c>
      <c r="C123" s="1" t="n">
        <v>1</v>
      </c>
      <c r="D123" s="2" t="s">
        <v>12</v>
      </c>
      <c r="E123" s="8" t="n">
        <v>44468</v>
      </c>
      <c r="F123" s="2" t="s">
        <v>24</v>
      </c>
      <c r="G123" s="7" t="str">
        <f aca="false">HYPERLINK("https://mncourtfraud.com/file/MCRO_27-CR-19-4578_Order for Conditional Release_2021-09-29_20251126175138.pdf","MCRO_27-CR-19-4578_Order for Conditional Release_2021-09-29_20251126175138.pdf")</f>
        <v>MCRO_27-CR-19-4578_Order for Conditional Release_2021-09-29_20251126175138.pdf</v>
      </c>
      <c r="H123" s="7" t="str">
        <f aca="false">HYPERLINK("https://mncourtfraud.com/file/29d541cb6920f2a0815a72232c8164e19ffda7ff89f025261d343aef97d55c23.png","29d541cb6920f2a0815a72232c8164e19ffda7ff89f025261d343aef97d55c23")</f>
        <v>29d541cb6920f2a0815a72232c8164e19ffda7ff89f025261d343aef97d55c23</v>
      </c>
      <c r="I123" s="1" t="s">
        <v>3406</v>
      </c>
      <c r="L123" s="2" t="s">
        <v>3412</v>
      </c>
      <c r="M123" s="2" t="n">
        <v>104</v>
      </c>
      <c r="S123" s="2" t="n">
        <v>5</v>
      </c>
      <c r="T123" s="2" t="n">
        <v>75</v>
      </c>
    </row>
    <row r="124" customFormat="false" ht="18.7" hidden="false" customHeight="true" outlineLevel="0" collapsed="false">
      <c r="A124" s="1" t="n">
        <v>123</v>
      </c>
      <c r="B124" s="7" t="str">
        <f aca="false">HYPERLINK("https://mncourtfraud.com/file/27-CR-19-4578.pdf","27-CR-19-4578")</f>
        <v>27-CR-19-4578</v>
      </c>
      <c r="C124" s="1" t="n">
        <v>1</v>
      </c>
      <c r="D124" s="2" t="s">
        <v>12</v>
      </c>
      <c r="E124" s="8" t="n">
        <v>44468</v>
      </c>
      <c r="F124" s="2" t="s">
        <v>24</v>
      </c>
      <c r="G124" s="7" t="str">
        <f aca="false">HYPERLINK("https://mncourtfraud.com/file/MCRO_27-CR-19-4578_Order for Conditional Release_2021-09-29_20251126175138.pdf","MCRO_27-CR-19-4578_Order for Conditional Release_2021-09-29_20251126175138.pdf")</f>
        <v>MCRO_27-CR-19-4578_Order for Conditional Release_2021-09-29_20251126175138.pdf</v>
      </c>
      <c r="H124" s="7" t="str">
        <f aca="false">HYPERLINK("https://mncourtfraud.com/file/3d978c70f8a4a91fd25d0f653c2931516767fdd837fcadff75a8c3cd2ba3a28e.png","3d978c70f8a4a91fd25d0f653c2931516767fdd837fcadff75a8c3cd2ba3a28e")</f>
        <v>3d978c70f8a4a91fd25d0f653c2931516767fdd837fcadff75a8c3cd2ba3a28e</v>
      </c>
      <c r="I124" s="1" t="s">
        <v>3406</v>
      </c>
      <c r="L124" s="2" t="s">
        <v>3412</v>
      </c>
      <c r="M124" s="2" t="n">
        <v>2435</v>
      </c>
      <c r="S124" s="2" t="n">
        <v>1069</v>
      </c>
      <c r="T124" s="2" t="n">
        <v>679</v>
      </c>
    </row>
    <row r="125" customFormat="false" ht="18.7" hidden="false" customHeight="true" outlineLevel="0" collapsed="false">
      <c r="A125" s="1" t="n">
        <v>124</v>
      </c>
      <c r="B125" s="7" t="str">
        <f aca="false">HYPERLINK("https://mncourtfraud.com/file/27-CR-19-4578.pdf","27-CR-19-4578")</f>
        <v>27-CR-19-4578</v>
      </c>
      <c r="C125" s="1" t="n">
        <v>1</v>
      </c>
      <c r="D125" s="2" t="s">
        <v>12</v>
      </c>
      <c r="E125" s="8" t="n">
        <v>44468</v>
      </c>
      <c r="F125" s="2" t="s">
        <v>24</v>
      </c>
      <c r="G125" s="7" t="str">
        <f aca="false">HYPERLINK("https://mncourtfraud.com/file/MCRO_27-CR-19-4578_Order for Conditional Release_2021-09-29_20251126175138.pdf","MCRO_27-CR-19-4578_Order for Conditional Release_2021-09-29_20251126175138.pdf")</f>
        <v>MCRO_27-CR-19-4578_Order for Conditional Release_2021-09-29_20251126175138.pdf</v>
      </c>
      <c r="H125" s="7" t="str">
        <f aca="false">HYPERLINK("https://mncourtfraud.com/file/3f202249d41f264cabf7a4fd2c634829df7886c25cb759658f06c1a8bca28360.cid","3f202249d41f264cabf7a4fd2c634829df7886c25cb759658f06c1a8bca28360")</f>
        <v>3f202249d41f264cabf7a4fd2c634829df7886c25cb759658f06c1a8bca28360</v>
      </c>
      <c r="I125" s="1" t="s">
        <v>3431</v>
      </c>
      <c r="L125" s="2" t="s">
        <v>3415</v>
      </c>
      <c r="M125" s="2" t="n">
        <v>1397</v>
      </c>
    </row>
    <row r="126" customFormat="false" ht="18.7" hidden="false" customHeight="true" outlineLevel="0" collapsed="false">
      <c r="A126" s="1" t="n">
        <v>125</v>
      </c>
      <c r="B126" s="7" t="str">
        <f aca="false">HYPERLINK("https://mncourtfraud.com/file/27-CR-19-4578.pdf","27-CR-19-4578")</f>
        <v>27-CR-19-4578</v>
      </c>
      <c r="C126" s="1" t="n">
        <v>1</v>
      </c>
      <c r="D126" s="2" t="s">
        <v>12</v>
      </c>
      <c r="E126" s="8" t="n">
        <v>44468</v>
      </c>
      <c r="F126" s="2" t="s">
        <v>24</v>
      </c>
      <c r="G126" s="7" t="str">
        <f aca="false">HYPERLINK("https://mncourtfraud.com/file/MCRO_27-CR-19-4578_Order for Conditional Release_2021-09-29_20251126175138.pdf","MCRO_27-CR-19-4578_Order for Conditional Release_2021-09-29_20251126175138.pdf")</f>
        <v>MCRO_27-CR-19-4578_Order for Conditional Release_2021-09-29_20251126175138.pdf</v>
      </c>
      <c r="H126" s="7" t="str">
        <f aca="false">HYPERLINK("https://mncourtfraud.com/file/425a64ecdc19aa0c86b927b2be8980d179c92ac4af2a49d3c3ad0aa278728c52.png","425a64ecdc19aa0c86b927b2be8980d179c92ac4af2a49d3c3ad0aa278728c52")</f>
        <v>425a64ecdc19aa0c86b927b2be8980d179c92ac4af2a49d3c3ad0aa278728c52</v>
      </c>
      <c r="I126" s="1" t="s">
        <v>3406</v>
      </c>
      <c r="L126" s="2" t="s">
        <v>3412</v>
      </c>
      <c r="M126" s="2" t="n">
        <v>520</v>
      </c>
      <c r="S126" s="2" t="n">
        <v>126</v>
      </c>
      <c r="T126" s="2" t="n">
        <v>150</v>
      </c>
    </row>
    <row r="127" customFormat="false" ht="18.7" hidden="false" customHeight="true" outlineLevel="0" collapsed="false">
      <c r="A127" s="1" t="n">
        <v>126</v>
      </c>
      <c r="B127" s="7" t="str">
        <f aca="false">HYPERLINK("https://mncourtfraud.com/file/27-CR-19-4578.pdf","27-CR-19-4578")</f>
        <v>27-CR-19-4578</v>
      </c>
      <c r="C127" s="1" t="n">
        <v>1</v>
      </c>
      <c r="D127" s="2" t="s">
        <v>12</v>
      </c>
      <c r="E127" s="8" t="n">
        <v>44468</v>
      </c>
      <c r="F127" s="2" t="s">
        <v>24</v>
      </c>
      <c r="G127" s="7" t="str">
        <f aca="false">HYPERLINK("https://mncourtfraud.com/file/MCRO_27-CR-19-4578_Order for Conditional Release_2021-09-29_20251126175138.pdf","MCRO_27-CR-19-4578_Order for Conditional Release_2021-09-29_20251126175138.pdf")</f>
        <v>MCRO_27-CR-19-4578_Order for Conditional Release_2021-09-29_20251126175138.pdf</v>
      </c>
      <c r="H127" s="7" t="str">
        <f aca="false">HYPERLINK("https://mncourtfraud.com/file/4458a2b033c8132fd890227750c1df180ec4563b9dc0a6394b3691240425c9b3.cid","4458a2b033c8132fd890227750c1df180ec4563b9dc0a6394b3691240425c9b3")</f>
        <v>4458a2b033c8132fd890227750c1df180ec4563b9dc0a6394b3691240425c9b3</v>
      </c>
      <c r="I127" s="1" t="s">
        <v>3431</v>
      </c>
      <c r="L127" s="2" t="s">
        <v>3415</v>
      </c>
      <c r="M127" s="2" t="n">
        <v>3580</v>
      </c>
    </row>
    <row r="128" customFormat="false" ht="18.7" hidden="false" customHeight="true" outlineLevel="0" collapsed="false">
      <c r="A128" s="1" t="n">
        <v>127</v>
      </c>
      <c r="B128" s="7" t="str">
        <f aca="false">HYPERLINK("https://mncourtfraud.com/file/27-CR-19-4578.pdf","27-CR-19-4578")</f>
        <v>27-CR-19-4578</v>
      </c>
      <c r="C128" s="1" t="n">
        <v>1</v>
      </c>
      <c r="D128" s="2" t="s">
        <v>12</v>
      </c>
      <c r="E128" s="8" t="n">
        <v>44468</v>
      </c>
      <c r="F128" s="2" t="s">
        <v>24</v>
      </c>
      <c r="G128" s="7" t="str">
        <f aca="false">HYPERLINK("https://mncourtfraud.com/file/MCRO_27-CR-19-4578_Order for Conditional Release_2021-09-29_20251126175138.pdf","MCRO_27-CR-19-4578_Order for Conditional Release_2021-09-29_20251126175138.pdf")</f>
        <v>MCRO_27-CR-19-4578_Order for Conditional Release_2021-09-29_20251126175138.pdf</v>
      </c>
      <c r="H128" s="7" t="str">
        <f aca="false">HYPERLINK("https://mncourtfraud.com/file/45a9f49ddf96d4a4dcf4561d2702204f448986045babf3fdd52fa18200557e31.png","45a9f49ddf96d4a4dcf4561d2702204f448986045babf3fdd52fa18200557e31")</f>
        <v>45a9f49ddf96d4a4dcf4561d2702204f448986045babf3fdd52fa18200557e31</v>
      </c>
      <c r="I128" s="1" t="s">
        <v>3406</v>
      </c>
      <c r="L128" s="2" t="s">
        <v>3412</v>
      </c>
      <c r="M128" s="2" t="n">
        <v>97</v>
      </c>
      <c r="S128" s="2" t="n">
        <v>3</v>
      </c>
      <c r="T128" s="2" t="n">
        <v>4</v>
      </c>
    </row>
    <row r="129" customFormat="false" ht="18.7" hidden="false" customHeight="true" outlineLevel="0" collapsed="false">
      <c r="A129" s="1" t="n">
        <v>128</v>
      </c>
      <c r="B129" s="7" t="str">
        <f aca="false">HYPERLINK("https://mncourtfraud.com/file/27-CR-19-4578.pdf","27-CR-19-4578")</f>
        <v>27-CR-19-4578</v>
      </c>
      <c r="C129" s="1" t="n">
        <v>1</v>
      </c>
      <c r="D129" s="2" t="s">
        <v>12</v>
      </c>
      <c r="E129" s="8" t="n">
        <v>44468</v>
      </c>
      <c r="F129" s="2" t="s">
        <v>24</v>
      </c>
      <c r="G129" s="7" t="str">
        <f aca="false">HYPERLINK("https://mncourtfraud.com/file/MCRO_27-CR-19-4578_Order for Conditional Release_2021-09-29_20251126175138.pdf","MCRO_27-CR-19-4578_Order for Conditional Release_2021-09-29_20251126175138.pdf")</f>
        <v>MCRO_27-CR-19-4578_Order for Conditional Release_2021-09-29_20251126175138.pdf</v>
      </c>
      <c r="H129" s="7" t="str">
        <f aca="false">HYPERLINK("https://mncourtfraud.com/file/50457dc3e0bb6204f128f3222c76884dffaf132a86395902e3967a44a5d511ed.cid","50457dc3e0bb6204f128f3222c76884dffaf132a86395902e3967a44a5d511ed")</f>
        <v>50457dc3e0bb6204f128f3222c76884dffaf132a86395902e3967a44a5d511ed</v>
      </c>
      <c r="I129" s="1" t="s">
        <v>3431</v>
      </c>
      <c r="L129" s="2" t="s">
        <v>3415</v>
      </c>
      <c r="M129" s="2" t="n">
        <v>2839</v>
      </c>
    </row>
    <row r="130" customFormat="false" ht="18.7" hidden="false" customHeight="true" outlineLevel="0" collapsed="false">
      <c r="A130" s="1" t="n">
        <v>129</v>
      </c>
      <c r="B130" s="7" t="str">
        <f aca="false">HYPERLINK("https://mncourtfraud.com/file/27-CR-19-4578.pdf","27-CR-19-4578")</f>
        <v>27-CR-19-4578</v>
      </c>
      <c r="C130" s="1" t="n">
        <v>1</v>
      </c>
      <c r="D130" s="2" t="s">
        <v>12</v>
      </c>
      <c r="E130" s="8" t="n">
        <v>44468</v>
      </c>
      <c r="F130" s="2" t="s">
        <v>24</v>
      </c>
      <c r="G130" s="7" t="str">
        <f aca="false">HYPERLINK("https://mncourtfraud.com/file/MCRO_27-CR-19-4578_Order for Conditional Release_2021-09-29_20251126175138.pdf","MCRO_27-CR-19-4578_Order for Conditional Release_2021-09-29_20251126175138.pdf")</f>
        <v>MCRO_27-CR-19-4578_Order for Conditional Release_2021-09-29_20251126175138.pdf</v>
      </c>
      <c r="H130" s="7" t="str">
        <f aca="false">HYPERLINK("https://mncourtfraud.com/file/52f2827f81e9a21813e5089396a7afa6accf4023998e877d3b9460283e0bb9a5.cid","52f2827f81e9a21813e5089396a7afa6accf4023998e877d3b9460283e0bb9a5")</f>
        <v>52f2827f81e9a21813e5089396a7afa6accf4023998e877d3b9460283e0bb9a5</v>
      </c>
      <c r="I130" s="1" t="s">
        <v>3431</v>
      </c>
      <c r="L130" s="2" t="s">
        <v>3415</v>
      </c>
      <c r="M130" s="2" t="n">
        <v>381</v>
      </c>
    </row>
    <row r="131" customFormat="false" ht="18.7" hidden="false" customHeight="true" outlineLevel="0" collapsed="false">
      <c r="A131" s="1" t="n">
        <v>130</v>
      </c>
      <c r="B131" s="7" t="str">
        <f aca="false">HYPERLINK("https://mncourtfraud.com/file/27-CR-19-4578.pdf","27-CR-19-4578")</f>
        <v>27-CR-19-4578</v>
      </c>
      <c r="C131" s="1" t="n">
        <v>1</v>
      </c>
      <c r="D131" s="2" t="s">
        <v>12</v>
      </c>
      <c r="E131" s="8" t="n">
        <v>44468</v>
      </c>
      <c r="F131" s="2" t="s">
        <v>24</v>
      </c>
      <c r="G131" s="7" t="str">
        <f aca="false">HYPERLINK("https://mncourtfraud.com/file/MCRO_27-CR-19-4578_Order for Conditional Release_2021-09-29_20251126175138.pdf","MCRO_27-CR-19-4578_Order for Conditional Release_2021-09-29_20251126175138.pdf")</f>
        <v>MCRO_27-CR-19-4578_Order for Conditional Release_2021-09-29_20251126175138.pdf</v>
      </c>
      <c r="H131" s="7" t="str">
        <f aca="false">HYPERLINK("https://mncourtfraud.com/file/5bf127b8427f0831bc8864aa549643604be6b63d8ca96ff1ba7182ccec9bc2ad.cid","5bf127b8427f0831bc8864aa549643604be6b63d8ca96ff1ba7182ccec9bc2ad")</f>
        <v>5bf127b8427f0831bc8864aa549643604be6b63d8ca96ff1ba7182ccec9bc2ad</v>
      </c>
      <c r="I131" s="1" t="s">
        <v>3431</v>
      </c>
      <c r="L131" s="2" t="s">
        <v>3415</v>
      </c>
      <c r="M131" s="2" t="n">
        <v>7990</v>
      </c>
    </row>
    <row r="132" customFormat="false" ht="18.7" hidden="false" customHeight="true" outlineLevel="0" collapsed="false">
      <c r="A132" s="1" t="n">
        <v>131</v>
      </c>
      <c r="B132" s="7" t="str">
        <f aca="false">HYPERLINK("https://mncourtfraud.com/file/27-CR-19-4578.pdf","27-CR-19-4578")</f>
        <v>27-CR-19-4578</v>
      </c>
      <c r="C132" s="1" t="n">
        <v>1</v>
      </c>
      <c r="D132" s="2" t="s">
        <v>12</v>
      </c>
      <c r="E132" s="8" t="n">
        <v>44468</v>
      </c>
      <c r="F132" s="2" t="s">
        <v>24</v>
      </c>
      <c r="G132" s="7" t="str">
        <f aca="false">HYPERLINK("https://mncourtfraud.com/file/MCRO_27-CR-19-4578_Order for Conditional Release_2021-09-29_20251126175138.pdf","MCRO_27-CR-19-4578_Order for Conditional Release_2021-09-29_20251126175138.pdf")</f>
        <v>MCRO_27-CR-19-4578_Order for Conditional Release_2021-09-29_20251126175138.pdf</v>
      </c>
      <c r="H132" s="7" t="str">
        <f aca="false">HYPERLINK("https://mncourtfraud.com/file/614121b29b009262816a5b70532c1a04ec73c5d83786c4500719e9e7d614a562.cid","614121b29b009262816a5b70532c1a04ec73c5d83786c4500719e9e7d614a562")</f>
        <v>614121b29b009262816a5b70532c1a04ec73c5d83786c4500719e9e7d614a562</v>
      </c>
      <c r="I132" s="1" t="s">
        <v>3431</v>
      </c>
      <c r="L132" s="2" t="s">
        <v>3415</v>
      </c>
      <c r="M132" s="2" t="n">
        <v>5970</v>
      </c>
    </row>
    <row r="133" customFormat="false" ht="18.7" hidden="false" customHeight="true" outlineLevel="0" collapsed="false">
      <c r="A133" s="1" t="n">
        <v>132</v>
      </c>
      <c r="B133" s="7" t="str">
        <f aca="false">HYPERLINK("https://mncourtfraud.com/file/27-CR-19-4578.pdf","27-CR-19-4578")</f>
        <v>27-CR-19-4578</v>
      </c>
      <c r="C133" s="1" t="n">
        <v>1</v>
      </c>
      <c r="D133" s="2" t="s">
        <v>12</v>
      </c>
      <c r="E133" s="8" t="n">
        <v>44468</v>
      </c>
      <c r="F133" s="2" t="s">
        <v>24</v>
      </c>
      <c r="G133" s="7" t="str">
        <f aca="false">HYPERLINK("https://mncourtfraud.com/file/MCRO_27-CR-19-4578_Order for Conditional Release_2021-09-29_20251126175138.pdf","MCRO_27-CR-19-4578_Order for Conditional Release_2021-09-29_20251126175138.pdf")</f>
        <v>MCRO_27-CR-19-4578_Order for Conditional Release_2021-09-29_20251126175138.pdf</v>
      </c>
      <c r="H133" s="7" t="str">
        <f aca="false">HYPERLINK("https://mncourtfraud.com/file/7e14169e8fd6eddddd43bc2fc14557202f527587078dd29e867ad63570714e07.png","7e14169e8fd6eddddd43bc2fc14557202f527587078dd29e867ad63570714e07")</f>
        <v>7e14169e8fd6eddddd43bc2fc14557202f527587078dd29e867ad63570714e07</v>
      </c>
      <c r="I133" s="1" t="s">
        <v>3406</v>
      </c>
      <c r="L133" s="2" t="s">
        <v>3412</v>
      </c>
      <c r="M133" s="2" t="n">
        <v>100</v>
      </c>
      <c r="S133" s="2" t="n">
        <v>5</v>
      </c>
      <c r="T133" s="2" t="n">
        <v>5</v>
      </c>
    </row>
    <row r="134" customFormat="false" ht="18.7" hidden="false" customHeight="true" outlineLevel="0" collapsed="false">
      <c r="A134" s="1" t="n">
        <v>133</v>
      </c>
      <c r="B134" s="7" t="str">
        <f aca="false">HYPERLINK("https://mncourtfraud.com/file/27-CR-19-4578.pdf","27-CR-19-4578")</f>
        <v>27-CR-19-4578</v>
      </c>
      <c r="C134" s="1" t="n">
        <v>1</v>
      </c>
      <c r="D134" s="2" t="s">
        <v>12</v>
      </c>
      <c r="E134" s="8" t="n">
        <v>44468</v>
      </c>
      <c r="F134" s="2" t="s">
        <v>24</v>
      </c>
      <c r="G134" s="7" t="str">
        <f aca="false">HYPERLINK("https://mncourtfraud.com/file/MCRO_27-CR-19-4578_Order for Conditional Release_2021-09-29_20251126175138.pdf","MCRO_27-CR-19-4578_Order for Conditional Release_2021-09-29_20251126175138.pdf")</f>
        <v>MCRO_27-CR-19-4578_Order for Conditional Release_2021-09-29_20251126175138.pdf</v>
      </c>
      <c r="H134" s="7" t="str">
        <f aca="false">HYPERLINK("https://mncourtfraud.com/file/8198df5372238cac138bb64883627cf42bfc08ac483ff14b35858ae098fa3e09.cid","8198df5372238cac138bb64883627cf42bfc08ac483ff14b35858ae098fa3e09")</f>
        <v>8198df5372238cac138bb64883627cf42bfc08ac483ff14b35858ae098fa3e09</v>
      </c>
      <c r="I134" s="1" t="s">
        <v>3431</v>
      </c>
      <c r="L134" s="2" t="s">
        <v>3415</v>
      </c>
      <c r="M134" s="2" t="n">
        <v>3966</v>
      </c>
    </row>
    <row r="135" customFormat="false" ht="18.7" hidden="false" customHeight="true" outlineLevel="0" collapsed="false">
      <c r="A135" s="1" t="n">
        <v>134</v>
      </c>
      <c r="B135" s="7" t="str">
        <f aca="false">HYPERLINK("https://mncourtfraud.com/file/27-CR-19-4578.pdf","27-CR-19-4578")</f>
        <v>27-CR-19-4578</v>
      </c>
      <c r="C135" s="1" t="n">
        <v>1</v>
      </c>
      <c r="D135" s="2" t="s">
        <v>12</v>
      </c>
      <c r="E135" s="8" t="n">
        <v>44468</v>
      </c>
      <c r="F135" s="2" t="s">
        <v>24</v>
      </c>
      <c r="G135" s="7" t="str">
        <f aca="false">HYPERLINK("https://mncourtfraud.com/file/MCRO_27-CR-19-4578_Order for Conditional Release_2021-09-29_20251126175138.pdf","MCRO_27-CR-19-4578_Order for Conditional Release_2021-09-29_20251126175138.pdf")</f>
        <v>MCRO_27-CR-19-4578_Order for Conditional Release_2021-09-29_20251126175138.pdf</v>
      </c>
      <c r="H135" s="7" t="str">
        <f aca="false">HYPERLINK("https://mncourtfraud.com/file/8793bfb8eeebb59de729b22461b75a010eda532097214bf8285117449fae5b3c.png","8793bfb8eeebb59de729b22461b75a010eda532097214bf8285117449fae5b3c")</f>
        <v>8793bfb8eeebb59de729b22461b75a010eda532097214bf8285117449fae5b3c</v>
      </c>
      <c r="I135" s="1" t="s">
        <v>3406</v>
      </c>
      <c r="L135" s="2" t="s">
        <v>3412</v>
      </c>
      <c r="M135" s="2" t="n">
        <v>104</v>
      </c>
      <c r="S135" s="2" t="n">
        <v>6</v>
      </c>
      <c r="T135" s="2" t="n">
        <v>4</v>
      </c>
    </row>
    <row r="136" customFormat="false" ht="18.7" hidden="false" customHeight="true" outlineLevel="0" collapsed="false">
      <c r="A136" s="1" t="n">
        <v>135</v>
      </c>
      <c r="B136" s="7" t="str">
        <f aca="false">HYPERLINK("https://mncourtfraud.com/file/27-CR-19-4578.pdf","27-CR-19-4578")</f>
        <v>27-CR-19-4578</v>
      </c>
      <c r="C136" s="1" t="n">
        <v>1</v>
      </c>
      <c r="D136" s="2" t="s">
        <v>12</v>
      </c>
      <c r="E136" s="8" t="n">
        <v>44468</v>
      </c>
      <c r="F136" s="2" t="s">
        <v>24</v>
      </c>
      <c r="G136" s="7" t="str">
        <f aca="false">HYPERLINK("https://mncourtfraud.com/file/MCRO_27-CR-19-4578_Order for Conditional Release_2021-09-29_20251126175138.pdf","MCRO_27-CR-19-4578_Order for Conditional Release_2021-09-29_20251126175138.pdf")</f>
        <v>MCRO_27-CR-19-4578_Order for Conditional Release_2021-09-29_20251126175138.pdf</v>
      </c>
      <c r="H136" s="7" t="str">
        <f aca="false">HYPERLINK("https://mncourtfraud.com/file/8c2e00c7a4e8974eff73eba397a59d5f5f25d249433535298973d70a9f79dec8.png","8c2e00c7a4e8974eff73eba397a59d5f5f25d249433535298973d70a9f79dec8")</f>
        <v>8c2e00c7a4e8974eff73eba397a59d5f5f25d249433535298973d70a9f79dec8</v>
      </c>
      <c r="I136" s="1" t="s">
        <v>3406</v>
      </c>
      <c r="L136" s="2" t="s">
        <v>3412</v>
      </c>
      <c r="M136" s="2" t="n">
        <v>810</v>
      </c>
      <c r="S136" s="2" t="n">
        <v>519</v>
      </c>
      <c r="T136" s="2" t="n">
        <v>231</v>
      </c>
    </row>
    <row r="137" customFormat="false" ht="18.7" hidden="false" customHeight="true" outlineLevel="0" collapsed="false">
      <c r="A137" s="1" t="n">
        <v>136</v>
      </c>
      <c r="B137" s="7" t="str">
        <f aca="false">HYPERLINK("https://mncourtfraud.com/file/27-CR-19-4578.pdf","27-CR-19-4578")</f>
        <v>27-CR-19-4578</v>
      </c>
      <c r="C137" s="1" t="n">
        <v>1</v>
      </c>
      <c r="D137" s="2" t="s">
        <v>12</v>
      </c>
      <c r="E137" s="8" t="n">
        <v>44468</v>
      </c>
      <c r="F137" s="2" t="s">
        <v>24</v>
      </c>
      <c r="G137" s="7" t="str">
        <f aca="false">HYPERLINK("https://mncourtfraud.com/file/MCRO_27-CR-19-4578_Order for Conditional Release_2021-09-29_20251126175138.pdf","MCRO_27-CR-19-4578_Order for Conditional Release_2021-09-29_20251126175138.pdf")</f>
        <v>MCRO_27-CR-19-4578_Order for Conditional Release_2021-09-29_20251126175138.pdf</v>
      </c>
      <c r="H137" s="7" t="str">
        <f aca="false">HYPERLINK("https://mncourtfraud.com/file/a431b1b5f48186b4c98851d84352c1573e22c0e9b97117edbc0ad8603da3c307.png","a431b1b5f48186b4c98851d84352c1573e22c0e9b97117edbc0ad8603da3c307")</f>
        <v>a431b1b5f48186b4c98851d84352c1573e22c0e9b97117edbc0ad8603da3c307</v>
      </c>
      <c r="I137" s="1" t="s">
        <v>3406</v>
      </c>
      <c r="L137" s="2" t="s">
        <v>3412</v>
      </c>
      <c r="M137" s="2" t="n">
        <v>157</v>
      </c>
      <c r="S137" s="2" t="n">
        <v>7</v>
      </c>
      <c r="T137" s="2" t="n">
        <v>284</v>
      </c>
    </row>
    <row r="138" customFormat="false" ht="18.7" hidden="false" customHeight="true" outlineLevel="0" collapsed="false">
      <c r="A138" s="1" t="n">
        <v>137</v>
      </c>
      <c r="B138" s="7" t="str">
        <f aca="false">HYPERLINK("https://mncourtfraud.com/file/27-CR-19-4578.pdf","27-CR-19-4578")</f>
        <v>27-CR-19-4578</v>
      </c>
      <c r="C138" s="1" t="n">
        <v>1</v>
      </c>
      <c r="D138" s="2" t="s">
        <v>12</v>
      </c>
      <c r="E138" s="8" t="n">
        <v>44468</v>
      </c>
      <c r="F138" s="2" t="s">
        <v>24</v>
      </c>
      <c r="G138" s="7" t="str">
        <f aca="false">HYPERLINK("https://mncourtfraud.com/file/MCRO_27-CR-19-4578_Order for Conditional Release_2021-09-29_20251126175138.pdf","MCRO_27-CR-19-4578_Order for Conditional Release_2021-09-29_20251126175138.pdf")</f>
        <v>MCRO_27-CR-19-4578_Order for Conditional Release_2021-09-29_20251126175138.pdf</v>
      </c>
      <c r="H138" s="7" t="str">
        <f aca="false">HYPERLINK("https://mncourtfraud.com/file/ac369f378e3fbed88e7c1c71d7e27d3af59d79c8d2f8338a6182f69d0e17a2ef.cid","ac369f378e3fbed88e7c1c71d7e27d3af59d79c8d2f8338a6182f69d0e17a2ef")</f>
        <v>ac369f378e3fbed88e7c1c71d7e27d3af59d79c8d2f8338a6182f69d0e17a2ef</v>
      </c>
      <c r="I138" s="1" t="s">
        <v>3431</v>
      </c>
      <c r="L138" s="2" t="s">
        <v>3415</v>
      </c>
      <c r="M138" s="2" t="n">
        <v>14113</v>
      </c>
    </row>
    <row r="139" customFormat="false" ht="18.7" hidden="false" customHeight="true" outlineLevel="0" collapsed="false">
      <c r="A139" s="1" t="n">
        <v>138</v>
      </c>
      <c r="B139" s="7" t="str">
        <f aca="false">HYPERLINK("https://mncourtfraud.com/file/27-CR-19-4578.pdf","27-CR-19-4578")</f>
        <v>27-CR-19-4578</v>
      </c>
      <c r="C139" s="1" t="n">
        <v>1</v>
      </c>
      <c r="D139" s="2" t="s">
        <v>12</v>
      </c>
      <c r="E139" s="8" t="n">
        <v>44468</v>
      </c>
      <c r="F139" s="2" t="s">
        <v>24</v>
      </c>
      <c r="G139" s="7" t="str">
        <f aca="false">HYPERLINK("https://mncourtfraud.com/file/MCRO_27-CR-19-4578_Order for Conditional Release_2021-09-29_20251126175138.pdf","MCRO_27-CR-19-4578_Order for Conditional Release_2021-09-29_20251126175138.pdf")</f>
        <v>MCRO_27-CR-19-4578_Order for Conditional Release_2021-09-29_20251126175138.pdf</v>
      </c>
      <c r="H139" s="7" t="str">
        <f aca="false">HYPERLINK("https://mncourtfraud.com/file/b1c38e97038ce898a189d377f1fa9f4b673ae497ef07cd779e6d54764f350895.cid","b1c38e97038ce898a189d377f1fa9f4b673ae497ef07cd779e6d54764f350895")</f>
        <v>b1c38e97038ce898a189d377f1fa9f4b673ae497ef07cd779e6d54764f350895</v>
      </c>
      <c r="I139" s="1" t="s">
        <v>3431</v>
      </c>
      <c r="L139" s="2" t="s">
        <v>3415</v>
      </c>
      <c r="M139" s="2" t="n">
        <v>3783</v>
      </c>
    </row>
    <row r="140" customFormat="false" ht="18.7" hidden="false" customHeight="true" outlineLevel="0" collapsed="false">
      <c r="A140" s="1" t="n">
        <v>139</v>
      </c>
      <c r="B140" s="7" t="str">
        <f aca="false">HYPERLINK("https://mncourtfraud.com/file/27-CR-19-4578.pdf","27-CR-19-4578")</f>
        <v>27-CR-19-4578</v>
      </c>
      <c r="C140" s="1" t="n">
        <v>1</v>
      </c>
      <c r="D140" s="2" t="s">
        <v>12</v>
      </c>
      <c r="E140" s="8" t="n">
        <v>44468</v>
      </c>
      <c r="F140" s="2" t="s">
        <v>24</v>
      </c>
      <c r="G140" s="7" t="str">
        <f aca="false">HYPERLINK("https://mncourtfraud.com/file/MCRO_27-CR-19-4578_Order for Conditional Release_2021-09-29_20251126175138.pdf","MCRO_27-CR-19-4578_Order for Conditional Release_2021-09-29_20251126175138.pdf")</f>
        <v>MCRO_27-CR-19-4578_Order for Conditional Release_2021-09-29_20251126175138.pdf</v>
      </c>
      <c r="H140" s="7" t="str">
        <f aca="false">HYPERLINK("https://mncourtfraud.com/file/ba989ca65f54d43887ebbc930462a840e60360223cb0c16c223e7e9ed46afecb.cid","ba989ca65f54d43887ebbc930462a840e60360223cb0c16c223e7e9ed46afecb")</f>
        <v>ba989ca65f54d43887ebbc930462a840e60360223cb0c16c223e7e9ed46afecb</v>
      </c>
      <c r="I140" s="1" t="s">
        <v>3431</v>
      </c>
      <c r="L140" s="2" t="s">
        <v>3415</v>
      </c>
      <c r="M140" s="2" t="n">
        <v>444</v>
      </c>
    </row>
    <row r="141" customFormat="false" ht="18.7" hidden="false" customHeight="true" outlineLevel="0" collapsed="false">
      <c r="A141" s="1" t="n">
        <v>140</v>
      </c>
      <c r="B141" s="7" t="str">
        <f aca="false">HYPERLINK("https://mncourtfraud.com/file/27-CR-19-4578.pdf","27-CR-19-4578")</f>
        <v>27-CR-19-4578</v>
      </c>
      <c r="C141" s="1" t="n">
        <v>1</v>
      </c>
      <c r="D141" s="2" t="s">
        <v>12</v>
      </c>
      <c r="E141" s="8" t="n">
        <v>44468</v>
      </c>
      <c r="F141" s="2" t="s">
        <v>24</v>
      </c>
      <c r="G141" s="7" t="str">
        <f aca="false">HYPERLINK("https://mncourtfraud.com/file/MCRO_27-CR-19-4578_Order for Conditional Release_2021-09-29_20251126175138.pdf","MCRO_27-CR-19-4578_Order for Conditional Release_2021-09-29_20251126175138.pdf")</f>
        <v>MCRO_27-CR-19-4578_Order for Conditional Release_2021-09-29_20251126175138.pdf</v>
      </c>
      <c r="H141" s="7" t="str">
        <f aca="false">HYPERLINK("https://mncourtfraud.com/file/db9c8118091788c7a0a30157e363f5dd281f7a35fb525fad58599ee6371079a5.cid","db9c8118091788c7a0a30157e363f5dd281f7a35fb525fad58599ee6371079a5")</f>
        <v>db9c8118091788c7a0a30157e363f5dd281f7a35fb525fad58599ee6371079a5</v>
      </c>
      <c r="I141" s="1" t="s">
        <v>3431</v>
      </c>
      <c r="L141" s="2" t="s">
        <v>3415</v>
      </c>
      <c r="M141" s="2" t="n">
        <v>848</v>
      </c>
    </row>
    <row r="142" customFormat="false" ht="18.7" hidden="false" customHeight="true" outlineLevel="0" collapsed="false">
      <c r="A142" s="1" t="n">
        <v>141</v>
      </c>
      <c r="B142" s="7" t="str">
        <f aca="false">HYPERLINK("https://mncourtfraud.com/file/27-CR-19-4578.pdf","27-CR-19-4578")</f>
        <v>27-CR-19-4578</v>
      </c>
      <c r="C142" s="1" t="n">
        <v>1</v>
      </c>
      <c r="D142" s="2" t="s">
        <v>12</v>
      </c>
      <c r="E142" s="8" t="n">
        <v>44468</v>
      </c>
      <c r="F142" s="2" t="s">
        <v>24</v>
      </c>
      <c r="G142" s="7" t="str">
        <f aca="false">HYPERLINK("https://mncourtfraud.com/file/MCRO_27-CR-19-4578_Order for Conditional Release_2021-09-29_20251126175138.pdf","MCRO_27-CR-19-4578_Order for Conditional Release_2021-09-29_20251126175138.pdf")</f>
        <v>MCRO_27-CR-19-4578_Order for Conditional Release_2021-09-29_20251126175138.pdf</v>
      </c>
      <c r="H142" s="7" t="str">
        <f aca="false">HYPERLINK("https://mncourtfraud.com/file/e04b4db843c4bf02679b586bdc06323c2777cf59091b22718210a1dd2a0badc7.png","e04b4db843c4bf02679b586bdc06323c2777cf59091b22718210a1dd2a0badc7")</f>
        <v>e04b4db843c4bf02679b586bdc06323c2777cf59091b22718210a1dd2a0badc7</v>
      </c>
      <c r="I142" s="1" t="s">
        <v>3406</v>
      </c>
      <c r="L142" s="2" t="s">
        <v>3412</v>
      </c>
      <c r="M142" s="2" t="n">
        <v>199</v>
      </c>
      <c r="S142" s="2" t="n">
        <v>7</v>
      </c>
      <c r="T142" s="2" t="n">
        <v>347</v>
      </c>
    </row>
    <row r="143" customFormat="false" ht="18.7" hidden="false" customHeight="true" outlineLevel="0" collapsed="false">
      <c r="A143" s="1" t="n">
        <v>142</v>
      </c>
      <c r="B143" s="7" t="str">
        <f aca="false">HYPERLINK("https://mncourtfraud.com/file/27-CR-19-4578.pdf","27-CR-19-4578")</f>
        <v>27-CR-19-4578</v>
      </c>
      <c r="C143" s="1" t="n">
        <v>1</v>
      </c>
      <c r="D143" s="2" t="s">
        <v>12</v>
      </c>
      <c r="E143" s="8" t="n">
        <v>44468</v>
      </c>
      <c r="F143" s="2" t="s">
        <v>24</v>
      </c>
      <c r="G143" s="7" t="str">
        <f aca="false">HYPERLINK("https://mncourtfraud.com/file/MCRO_27-CR-19-4578_Order for Conditional Release_2021-09-29_20251126175138.pdf","MCRO_27-CR-19-4578_Order for Conditional Release_2021-09-29_20251126175138.pdf")</f>
        <v>MCRO_27-CR-19-4578_Order for Conditional Release_2021-09-29_20251126175138.pdf</v>
      </c>
      <c r="H143" s="7" t="str">
        <f aca="false">HYPERLINK("https://mncourtfraud.com/file/edbae421bba147262ba26ef60780ca6dfd5bedce23be39a1f883da7c23dae35f.cid","edbae421bba147262ba26ef60780ca6dfd5bedce23be39a1f883da7c23dae35f")</f>
        <v>edbae421bba147262ba26ef60780ca6dfd5bedce23be39a1f883da7c23dae35f</v>
      </c>
      <c r="I143" s="1" t="s">
        <v>3431</v>
      </c>
      <c r="L143" s="2" t="s">
        <v>3415</v>
      </c>
      <c r="M143" s="2" t="n">
        <v>21348</v>
      </c>
    </row>
    <row r="144" customFormat="false" ht="18.7" hidden="false" customHeight="true" outlineLevel="0" collapsed="false">
      <c r="A144" s="1" t="n">
        <v>143</v>
      </c>
      <c r="B144" s="7" t="str">
        <f aca="false">HYPERLINK("https://mncourtfraud.com/file/27-CR-19-4578.pdf","27-CR-19-4578")</f>
        <v>27-CR-19-4578</v>
      </c>
      <c r="C144" s="1" t="n">
        <v>1</v>
      </c>
      <c r="D144" s="2" t="s">
        <v>12</v>
      </c>
      <c r="E144" s="8" t="n">
        <v>44468</v>
      </c>
      <c r="F144" s="2" t="s">
        <v>24</v>
      </c>
      <c r="G144" s="7" t="str">
        <f aca="false">HYPERLINK("https://mncourtfraud.com/file/MCRO_27-CR-19-4578_Order for Conditional Release_2021-09-29_20251126175138.pdf","MCRO_27-CR-19-4578_Order for Conditional Release_2021-09-29_20251126175138.pdf")</f>
        <v>MCRO_27-CR-19-4578_Order for Conditional Release_2021-09-29_20251126175138.pdf</v>
      </c>
      <c r="H144" s="7" t="str">
        <f aca="false">HYPERLINK("https://mncourtfraud.com/file/efd944d517e9b552a77a910c5203f04540cf1249b7304a04f4907f542ec53c17.cid","efd944d517e9b552a77a910c5203f04540cf1249b7304a04f4907f542ec53c17")</f>
        <v>efd944d517e9b552a77a910c5203f04540cf1249b7304a04f4907f542ec53c17</v>
      </c>
      <c r="I144" s="1" t="s">
        <v>3431</v>
      </c>
      <c r="L144" s="2" t="s">
        <v>3415</v>
      </c>
      <c r="M144" s="2" t="n">
        <v>5521</v>
      </c>
    </row>
    <row r="145" customFormat="false" ht="18.7" hidden="false" customHeight="true" outlineLevel="0" collapsed="false">
      <c r="A145" s="1" t="n">
        <v>144</v>
      </c>
      <c r="B145" s="7" t="str">
        <f aca="false">HYPERLINK("https://mncourtfraud.com/file/27-CR-19-4578.pdf","27-CR-19-4578")</f>
        <v>27-CR-19-4578</v>
      </c>
      <c r="C145" s="1" t="n">
        <v>1</v>
      </c>
      <c r="D145" s="2" t="s">
        <v>12</v>
      </c>
      <c r="E145" s="8" t="n">
        <v>44468</v>
      </c>
      <c r="F145" s="2" t="s">
        <v>24</v>
      </c>
      <c r="G145" s="7" t="str">
        <f aca="false">HYPERLINK("https://mncourtfraud.com/file/MCRO_27-CR-19-4578_Order for Conditional Release_2021-09-29_20251126175138.pdf","MCRO_27-CR-19-4578_Order for Conditional Release_2021-09-29_20251126175138.pdf")</f>
        <v>MCRO_27-CR-19-4578_Order for Conditional Release_2021-09-29_20251126175138.pdf</v>
      </c>
      <c r="H145" s="7" t="str">
        <f aca="false">HYPERLINK("https://mncourtfraud.com/file/fe1965a60cba51fe144ad80b55474d56106539ec2835ed039f2e68d2691deed0.cid","fe1965a60cba51fe144ad80b55474d56106539ec2835ed039f2e68d2691deed0")</f>
        <v>fe1965a60cba51fe144ad80b55474d56106539ec2835ed039f2e68d2691deed0</v>
      </c>
      <c r="I145" s="1" t="s">
        <v>3431</v>
      </c>
      <c r="L145" s="2" t="s">
        <v>3415</v>
      </c>
      <c r="M145" s="2" t="n">
        <v>4323</v>
      </c>
    </row>
    <row r="146" customFormat="false" ht="18.7" hidden="false" customHeight="true" outlineLevel="0" collapsed="false">
      <c r="A146" s="1" t="n">
        <v>145</v>
      </c>
      <c r="B146" s="7" t="str">
        <f aca="false">HYPERLINK("https://mncourtfraud.com/file/27-CR-19-4578.pdf","27-CR-19-4578")</f>
        <v>27-CR-19-4578</v>
      </c>
      <c r="C146" s="1" t="n">
        <v>1</v>
      </c>
      <c r="D146" s="2" t="s">
        <v>12</v>
      </c>
      <c r="E146" s="8" t="n">
        <v>44468</v>
      </c>
      <c r="F146" s="2" t="s">
        <v>24</v>
      </c>
      <c r="G146" s="7" t="str">
        <f aca="false">HYPERLINK("https://mncourtfraud.com/file/MCRO_27-CR-19-4578_Order for Conditional Release_2021-09-29_20251126175138.pdf","MCRO_27-CR-19-4578_Order for Conditional Release_2021-09-29_20251126175138.pdf")</f>
        <v>MCRO_27-CR-19-4578_Order for Conditional Release_2021-09-29_20251126175138.pdf</v>
      </c>
      <c r="H146" s="7" t="str">
        <f aca="false">HYPERLINK("https://mncourtfraud.com/file/ff78f82f1ff3b9436a8d65df586b0bef19dd8fcf1b27941145ca7e723b37620b.cid","ff78f82f1ff3b9436a8d65df586b0bef19dd8fcf1b27941145ca7e723b37620b")</f>
        <v>ff78f82f1ff3b9436a8d65df586b0bef19dd8fcf1b27941145ca7e723b37620b</v>
      </c>
      <c r="I146" s="1" t="s">
        <v>3431</v>
      </c>
      <c r="L146" s="2" t="s">
        <v>3415</v>
      </c>
      <c r="M146" s="2" t="n">
        <v>339</v>
      </c>
    </row>
    <row r="147" customFormat="false" ht="18.7" hidden="false" customHeight="true" outlineLevel="0" collapsed="false">
      <c r="A147" s="1" t="n">
        <v>146</v>
      </c>
      <c r="B147" s="7" t="str">
        <f aca="false">HYPERLINK("https://mncourtfraud.com/file/27-CR-19-4578.pdf","27-CR-19-4578")</f>
        <v>27-CR-19-4578</v>
      </c>
      <c r="C147" s="1" t="n">
        <v>1</v>
      </c>
      <c r="D147" s="2" t="s">
        <v>12</v>
      </c>
      <c r="E147" s="8" t="n">
        <v>44543</v>
      </c>
      <c r="F147" s="2" t="s">
        <v>15</v>
      </c>
      <c r="G147" s="7" t="str">
        <f aca="false">HYPERLINK("https://mncourtfraud.com/file/MCRO_27-CR-19-4578_Order-Evaluation for Competency to Proceed (Rule 20.01)_2021-12-13_20251126175209.pdf","MCRO_27-CR-19-4578_Order-Evaluation for Competency to Proceed (Rule 20.01)_2021-12-13_20251126175209.pdf")</f>
        <v>MCRO_27-CR-19-4578_Order-Evaluation for Competency to Proceed (Rule 20.01)_2021-12-13_20251126175209.pdf</v>
      </c>
      <c r="H147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147" s="1" t="s">
        <v>3413</v>
      </c>
      <c r="J147" s="2" t="s">
        <v>3423</v>
      </c>
      <c r="K147" s="2" t="s">
        <v>3423</v>
      </c>
      <c r="L147" s="2" t="s">
        <v>3415</v>
      </c>
      <c r="M147" s="2" t="n">
        <v>11088</v>
      </c>
    </row>
    <row r="148" customFormat="false" ht="18.7" hidden="false" customHeight="true" outlineLevel="0" collapsed="false">
      <c r="A148" s="1" t="n">
        <v>147</v>
      </c>
      <c r="B148" s="7" t="str">
        <f aca="false">HYPERLINK("https://mncourtfraud.com/file/27-CR-19-4578.pdf","27-CR-19-4578")</f>
        <v>27-CR-19-4578</v>
      </c>
      <c r="C148" s="1" t="n">
        <v>1</v>
      </c>
      <c r="D148" s="2" t="s">
        <v>12</v>
      </c>
      <c r="E148" s="8" t="n">
        <v>44543</v>
      </c>
      <c r="F148" s="2" t="s">
        <v>15</v>
      </c>
      <c r="G148" s="7" t="str">
        <f aca="false">HYPERLINK("https://mncourtfraud.com/file/MCRO_27-CR-19-4578_Order-Evaluation for Competency to Proceed (Rule 20.01)_2021-12-13_20251126175209.pdf","MCRO_27-CR-19-4578_Order-Evaluation for Competency to Proceed (Rule 20.01)_2021-12-13_20251126175209.pdf")</f>
        <v>MCRO_27-CR-19-4578_Order-Evaluation for Competency to Proceed (Rule 20.01)_2021-12-13_20251126175209.pdf</v>
      </c>
      <c r="H148" s="7" t="str">
        <f aca="false">HYPERLINK("https://mncourtfraud.com/file/22be6394304ce5b678311fefb19c39c8cb0a49d25f23150f1efe21ad14b99c7b.ttf","22be6394304ce5b678311fefb19c39c8cb0a49d25f23150f1efe21ad14b99c7b")</f>
        <v>22be6394304ce5b678311fefb19c39c8cb0a49d25f23150f1efe21ad14b99c7b</v>
      </c>
      <c r="I148" s="1" t="s">
        <v>3413</v>
      </c>
      <c r="J148" s="2" t="s">
        <v>3421</v>
      </c>
      <c r="K148" s="2" t="s">
        <v>3421</v>
      </c>
      <c r="L148" s="2" t="s">
        <v>3415</v>
      </c>
      <c r="M148" s="2" t="n">
        <v>117192</v>
      </c>
    </row>
    <row r="149" customFormat="false" ht="18.7" hidden="false" customHeight="true" outlineLevel="0" collapsed="false">
      <c r="A149" s="1" t="n">
        <v>148</v>
      </c>
      <c r="B149" s="7" t="str">
        <f aca="false">HYPERLINK("https://mncourtfraud.com/file/27-CR-19-4578.pdf","27-CR-19-4578")</f>
        <v>27-CR-19-4578</v>
      </c>
      <c r="C149" s="1" t="n">
        <v>1</v>
      </c>
      <c r="D149" s="2" t="s">
        <v>12</v>
      </c>
      <c r="E149" s="8" t="n">
        <v>44543</v>
      </c>
      <c r="F149" s="2" t="s">
        <v>15</v>
      </c>
      <c r="G149" s="7" t="str">
        <f aca="false">HYPERLINK("https://mncourtfraud.com/file/MCRO_27-CR-19-4578_Order-Evaluation for Competency to Proceed (Rule 20.01)_2021-12-13_20251126175209.pdf","MCRO_27-CR-19-4578_Order-Evaluation for Competency to Proceed (Rule 20.01)_2021-12-13_20251126175209.pdf")</f>
        <v>MCRO_27-CR-19-4578_Order-Evaluation for Competency to Proceed (Rule 20.01)_2021-12-13_20251126175209.pdf</v>
      </c>
      <c r="H149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149" s="1" t="s">
        <v>3413</v>
      </c>
      <c r="J149" s="2" t="s">
        <v>3424</v>
      </c>
      <c r="K149" s="2" t="s">
        <v>3424</v>
      </c>
      <c r="L149" s="2" t="s">
        <v>3415</v>
      </c>
      <c r="M149" s="2" t="n">
        <v>14252</v>
      </c>
    </row>
    <row r="150" customFormat="false" ht="18.7" hidden="false" customHeight="true" outlineLevel="0" collapsed="false">
      <c r="A150" s="1" t="n">
        <v>149</v>
      </c>
      <c r="B150" s="7" t="str">
        <f aca="false">HYPERLINK("https://mncourtfraud.com/file/27-CR-19-4578.pdf","27-CR-19-4578")</f>
        <v>27-CR-19-4578</v>
      </c>
      <c r="C150" s="1" t="n">
        <v>1</v>
      </c>
      <c r="D150" s="2" t="s">
        <v>12</v>
      </c>
      <c r="E150" s="8" t="n">
        <v>44543</v>
      </c>
      <c r="F150" s="2" t="s">
        <v>15</v>
      </c>
      <c r="G150" s="7" t="str">
        <f aca="false">HYPERLINK("https://mncourtfraud.com/file/MCRO_27-CR-19-4578_Order-Evaluation for Competency to Proceed (Rule 20.01)_2021-12-13_20251126175209.pdf","MCRO_27-CR-19-4578_Order-Evaluation for Competency to Proceed (Rule 20.01)_2021-12-13_20251126175209.pdf")</f>
        <v>MCRO_27-CR-19-4578_Order-Evaluation for Competency to Proceed (Rule 20.01)_2021-12-13_20251126175209.pdf</v>
      </c>
      <c r="H150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50" s="1" t="s">
        <v>3406</v>
      </c>
      <c r="K150" s="2" t="s">
        <v>3420</v>
      </c>
      <c r="L150" s="2" t="s">
        <v>3408</v>
      </c>
      <c r="M150" s="2" t="n">
        <v>7306</v>
      </c>
      <c r="O150" s="2" t="s">
        <v>3409</v>
      </c>
      <c r="P150" s="2" t="s">
        <v>3410</v>
      </c>
      <c r="S150" s="2" t="n">
        <v>319</v>
      </c>
      <c r="T150" s="2" t="n">
        <v>105</v>
      </c>
    </row>
    <row r="151" customFormat="false" ht="18.7" hidden="false" customHeight="true" outlineLevel="0" collapsed="false">
      <c r="A151" s="1" t="n">
        <v>150</v>
      </c>
      <c r="B151" s="7" t="str">
        <f aca="false">HYPERLINK("https://mncourtfraud.com/file/27-CR-19-4578.pdf","27-CR-19-4578")</f>
        <v>27-CR-19-4578</v>
      </c>
      <c r="C151" s="1" t="n">
        <v>1</v>
      </c>
      <c r="D151" s="2" t="s">
        <v>12</v>
      </c>
      <c r="E151" s="8" t="n">
        <v>44543</v>
      </c>
      <c r="F151" s="2" t="s">
        <v>15</v>
      </c>
      <c r="G151" s="7" t="str">
        <f aca="false">HYPERLINK("https://mncourtfraud.com/file/MCRO_27-CR-19-4578_Order-Evaluation for Competency to Proceed (Rule 20.01)_2021-12-13_20251126175209.pdf","MCRO_27-CR-19-4578_Order-Evaluation for Competency to Proceed (Rule 20.01)_2021-12-13_20251126175209.pdf")</f>
        <v>MCRO_27-CR-19-4578_Order-Evaluation for Competency to Proceed (Rule 20.01)_2021-12-13_20251126175209.pdf</v>
      </c>
      <c r="H151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51" s="1" t="s">
        <v>3406</v>
      </c>
      <c r="K151" s="2" t="s">
        <v>3425</v>
      </c>
      <c r="L151" s="2" t="s">
        <v>3408</v>
      </c>
      <c r="M151" s="2" t="n">
        <v>21225</v>
      </c>
      <c r="O151" s="2" t="s">
        <v>3409</v>
      </c>
      <c r="P151" s="2" t="s">
        <v>3410</v>
      </c>
      <c r="S151" s="2" t="n">
        <v>319</v>
      </c>
      <c r="T151" s="2" t="n">
        <v>105</v>
      </c>
    </row>
    <row r="152" customFormat="false" ht="18.7" hidden="false" customHeight="true" outlineLevel="0" collapsed="false">
      <c r="A152" s="1" t="n">
        <v>151</v>
      </c>
      <c r="B152" s="7" t="str">
        <f aca="false">HYPERLINK("https://mncourtfraud.com/file/27-CR-19-4578.pdf","27-CR-19-4578")</f>
        <v>27-CR-19-4578</v>
      </c>
      <c r="C152" s="1" t="n">
        <v>1</v>
      </c>
      <c r="D152" s="2" t="s">
        <v>12</v>
      </c>
      <c r="E152" s="8" t="n">
        <v>44543</v>
      </c>
      <c r="F152" s="2" t="s">
        <v>15</v>
      </c>
      <c r="G152" s="7" t="str">
        <f aca="false">HYPERLINK("https://mncourtfraud.com/file/MCRO_27-CR-19-4578_Order-Evaluation for Competency to Proceed (Rule 20.01)_2021-12-13_20251126175209.pdf","MCRO_27-CR-19-4578_Order-Evaluation for Competency to Proceed (Rule 20.01)_2021-12-13_20251126175209.pdf")</f>
        <v>MCRO_27-CR-19-4578_Order-Evaluation for Competency to Proceed (Rule 20.01)_2021-12-13_20251126175209.pdf</v>
      </c>
      <c r="H152" s="7" t="str">
        <f aca="false">HYPERLINK("https://mncourtfraud.com/file/f942eca43ffd6bdbf3ee942fee873a73c8baea7707298295b91918b6d8b6d6ee.ttf","f942eca43ffd6bdbf3ee942fee873a73c8baea7707298295b91918b6d8b6d6ee")</f>
        <v>f942eca43ffd6bdbf3ee942fee873a73c8baea7707298295b91918b6d8b6d6ee</v>
      </c>
      <c r="I152" s="1" t="s">
        <v>3413</v>
      </c>
      <c r="J152" s="2" t="s">
        <v>3422</v>
      </c>
      <c r="K152" s="2" t="s">
        <v>3422</v>
      </c>
      <c r="L152" s="2" t="s">
        <v>3415</v>
      </c>
      <c r="M152" s="2" t="n">
        <v>125444</v>
      </c>
    </row>
    <row r="153" customFormat="false" ht="18.7" hidden="false" customHeight="true" outlineLevel="0" collapsed="false">
      <c r="A153" s="1" t="n">
        <v>152</v>
      </c>
      <c r="B153" s="7" t="str">
        <f aca="false">HYPERLINK("https://mncourtfraud.com/file/27-CR-19-4578.pdf","27-CR-19-4578")</f>
        <v>27-CR-19-4578</v>
      </c>
      <c r="C153" s="1" t="n">
        <v>1</v>
      </c>
      <c r="D153" s="2" t="s">
        <v>12</v>
      </c>
      <c r="E153" s="8" t="n">
        <v>44558</v>
      </c>
      <c r="F153" s="2" t="s">
        <v>15</v>
      </c>
      <c r="G153" s="7" t="str">
        <f aca="false">HYPERLINK("https://mncourtfraud.com/file/MCRO_27-CR-19-4578_Order-Evaluation for Competency to Proceed (Rule 20.01)_2021-12-28_20251126175221.pdf","MCRO_27-CR-19-4578_Order-Evaluation for Competency to Proceed (Rule 20.01)_2021-12-28_20251126175221.pdf")</f>
        <v>MCRO_27-CR-19-4578_Order-Evaluation for Competency to Proceed (Rule 20.01)_2021-12-28_20251126175221.pdf</v>
      </c>
      <c r="H153" s="7" t="str">
        <f aca="false">HYPERLINK("https://mncourtfraud.com/file/36d5aaaf66858d5a076f4f7c59321991383868dd3ff4a9d2b32ef4015b80d8aa.png","36d5aaaf66858d5a076f4f7c59321991383868dd3ff4a9d2b32ef4015b80d8aa")</f>
        <v>36d5aaaf66858d5a076f4f7c59321991383868dd3ff4a9d2b32ef4015b80d8aa</v>
      </c>
      <c r="I153" s="1" t="s">
        <v>3406</v>
      </c>
      <c r="L153" s="2" t="s">
        <v>3412</v>
      </c>
      <c r="M153" s="2" t="n">
        <v>129941</v>
      </c>
      <c r="S153" s="2" t="n">
        <v>2550</v>
      </c>
      <c r="T153" s="2" t="n">
        <v>3300</v>
      </c>
    </row>
    <row r="154" customFormat="false" ht="18.7" hidden="false" customHeight="true" outlineLevel="0" collapsed="false">
      <c r="A154" s="1" t="n">
        <v>153</v>
      </c>
      <c r="B154" s="7" t="str">
        <f aca="false">HYPERLINK("https://mncourtfraud.com/file/27-CR-19-4578.pdf","27-CR-19-4578")</f>
        <v>27-CR-19-4578</v>
      </c>
      <c r="C154" s="1" t="n">
        <v>1</v>
      </c>
      <c r="D154" s="2" t="s">
        <v>12</v>
      </c>
      <c r="E154" s="8" t="n">
        <v>44558</v>
      </c>
      <c r="F154" s="2" t="s">
        <v>15</v>
      </c>
      <c r="G154" s="7" t="str">
        <f aca="false">HYPERLINK("https://mncourtfraud.com/file/MCRO_27-CR-19-4578_Order-Evaluation for Competency to Proceed (Rule 20.01)_2021-12-28_20251126175221.pdf","MCRO_27-CR-19-4578_Order-Evaluation for Competency to Proceed (Rule 20.01)_2021-12-28_20251126175221.pdf")</f>
        <v>MCRO_27-CR-19-4578_Order-Evaluation for Competency to Proceed (Rule 20.01)_2021-12-28_20251126175221.pdf</v>
      </c>
      <c r="H154" s="7" t="str">
        <f aca="false">HYPERLINK("https://mncourtfraud.com/file/d52eba535ff1886fa7b98ab8c54057400769f302c10551beeb174b8cdce7de5d.ttf","d52eba535ff1886fa7b98ab8c54057400769f302c10551beeb174b8cdce7de5d")</f>
        <v>d52eba535ff1886fa7b98ab8c54057400769f302c10551beeb174b8cdce7de5d</v>
      </c>
      <c r="I154" s="1" t="s">
        <v>3413</v>
      </c>
      <c r="L154" s="2" t="s">
        <v>3415</v>
      </c>
      <c r="M154" s="2" t="n">
        <v>333576</v>
      </c>
    </row>
    <row r="155" customFormat="false" ht="18.7" hidden="false" customHeight="true" outlineLevel="0" collapsed="false">
      <c r="A155" s="1" t="n">
        <v>154</v>
      </c>
      <c r="B155" s="7" t="str">
        <f aca="false">HYPERLINK("https://mncourtfraud.com/file/27-CR-19-4578.pdf","27-CR-19-4578")</f>
        <v>27-CR-19-4578</v>
      </c>
      <c r="C155" s="1" t="n">
        <v>1</v>
      </c>
      <c r="D155" s="2" t="s">
        <v>12</v>
      </c>
      <c r="E155" s="8" t="n">
        <v>44558</v>
      </c>
      <c r="F155" s="2" t="s">
        <v>15</v>
      </c>
      <c r="G155" s="7" t="str">
        <f aca="false">HYPERLINK("https://mncourtfraud.com/file/MCRO_27-CR-19-4578_Order-Evaluation for Competency to Proceed (Rule 20.01)_2021-12-28_20251126175221.pdf","MCRO_27-CR-19-4578_Order-Evaluation for Competency to Proceed (Rule 20.01)_2021-12-28_20251126175221.pdf")</f>
        <v>MCRO_27-CR-19-4578_Order-Evaluation for Competency to Proceed (Rule 20.01)_2021-12-28_20251126175221.pdf</v>
      </c>
      <c r="H155" s="7" t="str">
        <f aca="false">HYPERLINK("https://mncourtfraud.com/file/ddcfcd347f57865dc819310e0c30fa63965d5849112d78ca034d2ca1c061e5cf.png","ddcfcd347f57865dc819310e0c30fa63965d5849112d78ca034d2ca1c061e5cf")</f>
        <v>ddcfcd347f57865dc819310e0c30fa63965d5849112d78ca034d2ca1c061e5cf</v>
      </c>
      <c r="I155" s="1" t="s">
        <v>3406</v>
      </c>
      <c r="L155" s="2" t="s">
        <v>3412</v>
      </c>
      <c r="M155" s="2" t="n">
        <v>99116</v>
      </c>
      <c r="S155" s="2" t="n">
        <v>2550</v>
      </c>
      <c r="T155" s="2" t="n">
        <v>3300</v>
      </c>
    </row>
    <row r="156" customFormat="false" ht="18.7" hidden="false" customHeight="true" outlineLevel="0" collapsed="false">
      <c r="A156" s="1" t="n">
        <v>155</v>
      </c>
      <c r="B156" s="7" t="str">
        <f aca="false">HYPERLINK("https://mncourtfraud.com/file/27-CR-19-4578.pdf","27-CR-19-4578")</f>
        <v>27-CR-19-4578</v>
      </c>
      <c r="C156" s="1" t="n">
        <v>1</v>
      </c>
      <c r="D156" s="2" t="s">
        <v>12</v>
      </c>
      <c r="E156" s="8" t="n">
        <v>44558</v>
      </c>
      <c r="F156" s="2" t="s">
        <v>15</v>
      </c>
      <c r="G156" s="7" t="str">
        <f aca="false">HYPERLINK("https://mncourtfraud.com/file/MCRO_27-CR-19-4578_Order-Evaluation for Competency to Proceed (Rule 20.01)_2021-12-28_20251126175221.pdf","MCRO_27-CR-19-4578_Order-Evaluation for Competency to Proceed (Rule 20.01)_2021-12-28_20251126175221.pdf")</f>
        <v>MCRO_27-CR-19-4578_Order-Evaluation for Competency to Proceed (Rule 20.01)_2021-12-28_20251126175221.pdf</v>
      </c>
      <c r="H156" s="7" t="str">
        <f aca="false">HYPERLINK("https://mncourtfraud.com/file/ff19f7392f6a1c70506ac0e32a8eabb80648ebc13c7335fa17d28c05fd8dde02.png","ff19f7392f6a1c70506ac0e32a8eabb80648ebc13c7335fa17d28c05fd8dde02")</f>
        <v>ff19f7392f6a1c70506ac0e32a8eabb80648ebc13c7335fa17d28c05fd8dde02</v>
      </c>
      <c r="I156" s="1" t="s">
        <v>3406</v>
      </c>
      <c r="L156" s="2" t="s">
        <v>3412</v>
      </c>
      <c r="M156" s="2" t="n">
        <v>154365</v>
      </c>
      <c r="S156" s="2" t="n">
        <v>2550</v>
      </c>
      <c r="T156" s="2" t="n">
        <v>3300</v>
      </c>
    </row>
    <row r="157" customFormat="false" ht="18.7" hidden="false" customHeight="true" outlineLevel="0" collapsed="false">
      <c r="A157" s="1" t="n">
        <v>156</v>
      </c>
      <c r="B157" s="7" t="str">
        <f aca="false">HYPERLINK("https://mncourtfraud.com/file/27-CR-19-4578.pdf","27-CR-19-4578")</f>
        <v>27-CR-19-4578</v>
      </c>
      <c r="C157" s="1" t="n">
        <v>1</v>
      </c>
      <c r="D157" s="2" t="s">
        <v>12</v>
      </c>
      <c r="E157" s="8" t="n">
        <v>44593</v>
      </c>
      <c r="F157" s="2" t="s">
        <v>19</v>
      </c>
      <c r="G157" s="7" t="str">
        <f aca="false">HYPERLINK("https://mncourtfraud.com/file/MCRO_27-CR-19-4578_Findings and Order_2022-02-01_20251126175043.pdf","MCRO_27-CR-19-4578_Findings and Order_2022-02-01_20251126175043.pdf")</f>
        <v>MCRO_27-CR-19-4578_Findings and Order_2022-02-01_20251126175043.pdf</v>
      </c>
      <c r="H157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157" s="1" t="s">
        <v>3413</v>
      </c>
      <c r="J157" s="2" t="s">
        <v>3426</v>
      </c>
      <c r="K157" s="2" t="s">
        <v>3426</v>
      </c>
      <c r="L157" s="2" t="s">
        <v>3415</v>
      </c>
      <c r="M157" s="2" t="n">
        <v>74997</v>
      </c>
      <c r="N157" s="2" t="s">
        <v>3427</v>
      </c>
    </row>
    <row r="158" customFormat="false" ht="18.7" hidden="false" customHeight="true" outlineLevel="0" collapsed="false">
      <c r="A158" s="1" t="n">
        <v>157</v>
      </c>
      <c r="B158" s="7" t="str">
        <f aca="false">HYPERLINK("https://mncourtfraud.com/file/27-CR-19-4578.pdf","27-CR-19-4578")</f>
        <v>27-CR-19-4578</v>
      </c>
      <c r="C158" s="1" t="n">
        <v>1</v>
      </c>
      <c r="D158" s="2" t="s">
        <v>12</v>
      </c>
      <c r="E158" s="8" t="n">
        <v>44593</v>
      </c>
      <c r="F158" s="2" t="s">
        <v>19</v>
      </c>
      <c r="G158" s="7" t="str">
        <f aca="false">HYPERLINK("https://mncourtfraud.com/file/MCRO_27-CR-19-4578_Findings and Order_2022-02-01_20251126175043.pdf","MCRO_27-CR-19-4578_Findings and Order_2022-02-01_20251126175043.pdf")</f>
        <v>MCRO_27-CR-19-4578_Findings and Order_2022-02-01_20251126175043.pdf</v>
      </c>
      <c r="H158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158" s="1" t="s">
        <v>3428</v>
      </c>
      <c r="J158" s="2" t="s">
        <v>3429</v>
      </c>
      <c r="K158" s="2" t="s">
        <v>3429</v>
      </c>
      <c r="L158" s="2" t="s">
        <v>3415</v>
      </c>
      <c r="M158" s="2" t="n">
        <v>86093</v>
      </c>
    </row>
    <row r="159" customFormat="false" ht="18.7" hidden="false" customHeight="true" outlineLevel="0" collapsed="false">
      <c r="A159" s="1" t="n">
        <v>158</v>
      </c>
      <c r="B159" s="7" t="str">
        <f aca="false">HYPERLINK("https://mncourtfraud.com/file/27-CR-19-4578.pdf","27-CR-19-4578")</f>
        <v>27-CR-19-4578</v>
      </c>
      <c r="C159" s="1" t="n">
        <v>1</v>
      </c>
      <c r="D159" s="2" t="s">
        <v>12</v>
      </c>
      <c r="E159" s="8" t="n">
        <v>44593</v>
      </c>
      <c r="F159" s="2" t="s">
        <v>19</v>
      </c>
      <c r="G159" s="7" t="str">
        <f aca="false">HYPERLINK("https://mncourtfraud.com/file/MCRO_27-CR-19-4578_Findings and Order_2022-02-01_20251126175043.pdf","MCRO_27-CR-19-4578_Findings and Order_2022-02-01_20251126175043.pdf")</f>
        <v>MCRO_27-CR-19-4578_Findings and Order_2022-02-01_20251126175043.pdf</v>
      </c>
      <c r="H159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159" s="1" t="s">
        <v>3413</v>
      </c>
      <c r="J159" s="2" t="s">
        <v>3414</v>
      </c>
      <c r="K159" s="2" t="s">
        <v>3414</v>
      </c>
      <c r="L159" s="2" t="s">
        <v>3415</v>
      </c>
      <c r="M159" s="2" t="n">
        <v>42332</v>
      </c>
    </row>
    <row r="160" customFormat="false" ht="18.7" hidden="false" customHeight="true" outlineLevel="0" collapsed="false">
      <c r="A160" s="1" t="n">
        <v>159</v>
      </c>
      <c r="B160" s="7" t="str">
        <f aca="false">HYPERLINK("https://mncourtfraud.com/file/27-CR-19-4578.pdf","27-CR-19-4578")</f>
        <v>27-CR-19-4578</v>
      </c>
      <c r="C160" s="1" t="n">
        <v>1</v>
      </c>
      <c r="D160" s="2" t="s">
        <v>12</v>
      </c>
      <c r="E160" s="8" t="n">
        <v>44593</v>
      </c>
      <c r="F160" s="2" t="s">
        <v>19</v>
      </c>
      <c r="G160" s="7" t="str">
        <f aca="false">HYPERLINK("https://mncourtfraud.com/file/MCRO_27-CR-19-4578_Findings and Order_2022-02-01_20251126175043.pdf","MCRO_27-CR-19-4578_Findings and Order_2022-02-01_20251126175043.pdf")</f>
        <v>MCRO_27-CR-19-4578_Findings and Order_2022-02-01_20251126175043.pdf</v>
      </c>
      <c r="H160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160" s="1" t="s">
        <v>3413</v>
      </c>
      <c r="J160" s="2" t="s">
        <v>3414</v>
      </c>
      <c r="K160" s="2" t="s">
        <v>3414</v>
      </c>
      <c r="L160" s="2" t="s">
        <v>3415</v>
      </c>
      <c r="M160" s="2" t="n">
        <v>42332</v>
      </c>
    </row>
    <row r="161" customFormat="false" ht="18.7" hidden="false" customHeight="true" outlineLevel="0" collapsed="false">
      <c r="A161" s="1" t="n">
        <v>160</v>
      </c>
      <c r="B161" s="7" t="str">
        <f aca="false">HYPERLINK("https://mncourtfraud.com/file/27-CR-19-4578.pdf","27-CR-19-4578")</f>
        <v>27-CR-19-4578</v>
      </c>
      <c r="C161" s="1" t="n">
        <v>1</v>
      </c>
      <c r="D161" s="2" t="s">
        <v>12</v>
      </c>
      <c r="E161" s="8" t="n">
        <v>44593</v>
      </c>
      <c r="F161" s="2" t="s">
        <v>19</v>
      </c>
      <c r="G161" s="7" t="str">
        <f aca="false">HYPERLINK("https://mncourtfraud.com/file/MCRO_27-CR-19-4578_Findings and Order_2022-02-01_20251126175043.pdf","MCRO_27-CR-19-4578_Findings and Order_2022-02-01_20251126175043.pdf")</f>
        <v>MCRO_27-CR-19-4578_Findings and Order_2022-02-01_20251126175043.pdf</v>
      </c>
      <c r="H161" s="7" t="str">
        <f aca="false">HYPERLINK("https://mncourtfraud.com/file/d1e06f7a12c8d4ae1de62861dbfeadf4f6b52b1cfd6801e548bc1d08782c1451.ttf","d1e06f7a12c8d4ae1de62861dbfeadf4f6b52b1cfd6801e548bc1d08782c1451")</f>
        <v>d1e06f7a12c8d4ae1de62861dbfeadf4f6b52b1cfd6801e548bc1d08782c1451</v>
      </c>
      <c r="I161" s="1" t="s">
        <v>3413</v>
      </c>
      <c r="J161" s="2" t="s">
        <v>3414</v>
      </c>
      <c r="K161" s="2" t="s">
        <v>3416</v>
      </c>
      <c r="L161" s="2" t="s">
        <v>3415</v>
      </c>
      <c r="M161" s="2" t="n">
        <v>28584</v>
      </c>
    </row>
    <row r="162" customFormat="false" ht="18.7" hidden="false" customHeight="true" outlineLevel="0" collapsed="false">
      <c r="A162" s="1" t="n">
        <v>161</v>
      </c>
      <c r="B162" s="7" t="str">
        <f aca="false">HYPERLINK("https://mncourtfraud.com/file/27-CR-19-4578.pdf","27-CR-19-4578")</f>
        <v>27-CR-19-4578</v>
      </c>
      <c r="C162" s="1" t="n">
        <v>1</v>
      </c>
      <c r="D162" s="2" t="s">
        <v>12</v>
      </c>
      <c r="E162" s="8" t="n">
        <v>44593</v>
      </c>
      <c r="F162" s="2" t="s">
        <v>19</v>
      </c>
      <c r="G162" s="7" t="str">
        <f aca="false">HYPERLINK("https://mncourtfraud.com/file/MCRO_27-CR-19-4578_Findings and Order_2022-02-01_20251126175043.pdf","MCRO_27-CR-19-4578_Findings and Order_2022-02-01_20251126175043.pdf")</f>
        <v>MCRO_27-CR-19-4578_Findings and Order_2022-02-01_20251126175043.pdf</v>
      </c>
      <c r="H162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162" s="1" t="s">
        <v>3406</v>
      </c>
      <c r="K162" s="2" t="s">
        <v>3430</v>
      </c>
      <c r="L162" s="2" t="s">
        <v>3408</v>
      </c>
      <c r="M162" s="2" t="n">
        <v>28069</v>
      </c>
      <c r="O162" s="2" t="s">
        <v>3409</v>
      </c>
      <c r="P162" s="2" t="s">
        <v>3410</v>
      </c>
      <c r="S162" s="2" t="n">
        <v>448</v>
      </c>
      <c r="T162" s="2" t="n">
        <v>128</v>
      </c>
    </row>
    <row r="163" customFormat="false" ht="18.7" hidden="false" customHeight="true" outlineLevel="0" collapsed="false">
      <c r="A163" s="1" t="n">
        <v>162</v>
      </c>
      <c r="B163" s="7" t="str">
        <f aca="false">HYPERLINK("https://mncourtfraud.com/file/27-CR-19-4578.pdf","27-CR-19-4578")</f>
        <v>27-CR-19-4578</v>
      </c>
      <c r="C163" s="1" t="n">
        <v>1</v>
      </c>
      <c r="D163" s="2" t="s">
        <v>12</v>
      </c>
      <c r="E163" s="8" t="n">
        <v>44692</v>
      </c>
      <c r="F163" s="2" t="s">
        <v>15</v>
      </c>
      <c r="G163" s="7" t="str">
        <f aca="false">HYPERLINK("https://mncourtfraud.com/file/MCRO_27-CR-19-4578_Order-Evaluation for Competency to Proceed (Rule 20.01)_2022-05-11_20251126175233.pdf","MCRO_27-CR-19-4578_Order-Evaluation for Competency to Proceed (Rule 20.01)_2022-05-11_20251126175233.pdf")</f>
        <v>MCRO_27-CR-19-4578_Order-Evaluation for Competency to Proceed (Rule 20.01)_2022-05-11_20251126175233.pdf</v>
      </c>
      <c r="H163" s="7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163" s="1" t="s">
        <v>3406</v>
      </c>
      <c r="K163" s="2" t="s">
        <v>3432</v>
      </c>
      <c r="L163" s="2" t="s">
        <v>3408</v>
      </c>
      <c r="M163" s="2" t="n">
        <v>21121</v>
      </c>
      <c r="O163" s="2" t="s">
        <v>3409</v>
      </c>
      <c r="P163" s="2" t="s">
        <v>3410</v>
      </c>
      <c r="S163" s="2" t="n">
        <v>695</v>
      </c>
      <c r="T163" s="2" t="n">
        <v>233</v>
      </c>
    </row>
    <row r="164" customFormat="false" ht="18.7" hidden="false" customHeight="true" outlineLevel="0" collapsed="false">
      <c r="A164" s="1" t="n">
        <v>163</v>
      </c>
      <c r="B164" s="7" t="str">
        <f aca="false">HYPERLINK("https://mncourtfraud.com/file/27-CR-19-4578.pdf","27-CR-19-4578")</f>
        <v>27-CR-19-4578</v>
      </c>
      <c r="C164" s="1" t="n">
        <v>1</v>
      </c>
      <c r="D164" s="2" t="s">
        <v>12</v>
      </c>
      <c r="E164" s="8" t="n">
        <v>44692</v>
      </c>
      <c r="F164" s="2" t="s">
        <v>15</v>
      </c>
      <c r="G164" s="7" t="str">
        <f aca="false">HYPERLINK("https://mncourtfraud.com/file/MCRO_27-CR-19-4578_Order-Evaluation for Competency to Proceed (Rule 20.01)_2022-05-11_20251126175233.pdf","MCRO_27-CR-19-4578_Order-Evaluation for Competency to Proceed (Rule 20.01)_2022-05-11_20251126175233.pdf")</f>
        <v>MCRO_27-CR-19-4578_Order-Evaluation for Competency to Proceed (Rule 20.01)_2022-05-11_20251126175233.pdf</v>
      </c>
      <c r="H164" s="7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164" s="1" t="s">
        <v>3406</v>
      </c>
      <c r="K164" s="2" t="s">
        <v>3433</v>
      </c>
      <c r="L164" s="2" t="s">
        <v>3408</v>
      </c>
      <c r="M164" s="2" t="n">
        <v>53838</v>
      </c>
      <c r="O164" s="2" t="s">
        <v>3409</v>
      </c>
      <c r="P164" s="2" t="s">
        <v>3410</v>
      </c>
      <c r="S164" s="2" t="n">
        <v>695</v>
      </c>
      <c r="T164" s="2" t="n">
        <v>233</v>
      </c>
    </row>
    <row r="165" customFormat="false" ht="18.7" hidden="false" customHeight="true" outlineLevel="0" collapsed="false">
      <c r="A165" s="1" t="n">
        <v>164</v>
      </c>
      <c r="B165" s="7" t="str">
        <f aca="false">HYPERLINK("https://mncourtfraud.com/file/27-CR-19-4578.pdf","27-CR-19-4578")</f>
        <v>27-CR-19-4578</v>
      </c>
      <c r="C165" s="1" t="n">
        <v>1</v>
      </c>
      <c r="D165" s="2" t="s">
        <v>12</v>
      </c>
      <c r="E165" s="8" t="n">
        <v>44692</v>
      </c>
      <c r="F165" s="2" t="s">
        <v>15</v>
      </c>
      <c r="G165" s="7" t="str">
        <f aca="false">HYPERLINK("https://mncourtfraud.com/file/MCRO_27-CR-19-4578_Order-Evaluation for Competency to Proceed (Rule 20.01)_2022-05-11_20251126175233.pdf","MCRO_27-CR-19-4578_Order-Evaluation for Competency to Proceed (Rule 20.01)_2022-05-11_20251126175233.pdf")</f>
        <v>MCRO_27-CR-19-4578_Order-Evaluation for Competency to Proceed (Rule 20.01)_2022-05-11_20251126175233.pdf</v>
      </c>
      <c r="H165" s="7" t="str">
        <f aca="false">HYPERLINK("https://mncourtfraud.com/file/322fe0e9595a4df4693edf307e5f8a42a470721d59f006a7b0e86def92125a58.ttf","322fe0e9595a4df4693edf307e5f8a42a470721d59f006a7b0e86def92125a58")</f>
        <v>322fe0e9595a4df4693edf307e5f8a42a470721d59f006a7b0e86def92125a58</v>
      </c>
      <c r="I165" s="1" t="s">
        <v>3413</v>
      </c>
      <c r="J165" s="2" t="s">
        <v>3434</v>
      </c>
      <c r="K165" s="2" t="s">
        <v>3434</v>
      </c>
      <c r="L165" s="2" t="s">
        <v>3415</v>
      </c>
      <c r="M165" s="2" t="n">
        <v>46736</v>
      </c>
      <c r="N165" s="2" t="s">
        <v>3435</v>
      </c>
    </row>
    <row r="166" customFormat="false" ht="18.7" hidden="false" customHeight="true" outlineLevel="0" collapsed="false">
      <c r="A166" s="1" t="n">
        <v>165</v>
      </c>
      <c r="B166" s="7" t="str">
        <f aca="false">HYPERLINK("https://mncourtfraud.com/file/27-CR-19-4578.pdf","27-CR-19-4578")</f>
        <v>27-CR-19-4578</v>
      </c>
      <c r="C166" s="1" t="n">
        <v>1</v>
      </c>
      <c r="D166" s="2" t="s">
        <v>12</v>
      </c>
      <c r="E166" s="8" t="n">
        <v>44692</v>
      </c>
      <c r="F166" s="2" t="s">
        <v>15</v>
      </c>
      <c r="G166" s="7" t="str">
        <f aca="false">HYPERLINK("https://mncourtfraud.com/file/MCRO_27-CR-19-4578_Order-Evaluation for Competency to Proceed (Rule 20.01)_2022-05-11_20251126175233.pdf","MCRO_27-CR-19-4578_Order-Evaluation for Competency to Proceed (Rule 20.01)_2022-05-11_20251126175233.pdf")</f>
        <v>MCRO_27-CR-19-4578_Order-Evaluation for Competency to Proceed (Rule 20.01)_2022-05-11_20251126175233.pdf</v>
      </c>
      <c r="H166" s="7" t="str">
        <f aca="false">HYPERLINK("https://mncourtfraud.com/file/32ebada21768d6238e03c647b5e5acdf6ce656f0735d59c3fb698ce40418a709.ttf","32ebada21768d6238e03c647b5e5acdf6ce656f0735d59c3fb698ce40418a709")</f>
        <v>32ebada21768d6238e03c647b5e5acdf6ce656f0735d59c3fb698ce40418a709</v>
      </c>
      <c r="I166" s="1" t="s">
        <v>3413</v>
      </c>
      <c r="J166" s="2" t="s">
        <v>3436</v>
      </c>
      <c r="K166" s="2" t="s">
        <v>3436</v>
      </c>
      <c r="L166" s="2" t="s">
        <v>3415</v>
      </c>
      <c r="M166" s="2" t="n">
        <v>65744</v>
      </c>
      <c r="N166" s="2" t="s">
        <v>3437</v>
      </c>
    </row>
    <row r="167" customFormat="false" ht="18.7" hidden="false" customHeight="true" outlineLevel="0" collapsed="false">
      <c r="A167" s="1" t="n">
        <v>166</v>
      </c>
      <c r="B167" s="7" t="str">
        <f aca="false">HYPERLINK("https://mncourtfraud.com/file/27-CR-19-4578.pdf","27-CR-19-4578")</f>
        <v>27-CR-19-4578</v>
      </c>
      <c r="C167" s="1" t="n">
        <v>1</v>
      </c>
      <c r="D167" s="2" t="s">
        <v>12</v>
      </c>
      <c r="E167" s="8" t="n">
        <v>44692</v>
      </c>
      <c r="F167" s="2" t="s">
        <v>15</v>
      </c>
      <c r="G167" s="7" t="str">
        <f aca="false">HYPERLINK("https://mncourtfraud.com/file/MCRO_27-CR-19-4578_Order-Evaluation for Competency to Proceed (Rule 20.01)_2022-05-11_20251126175233.pdf","MCRO_27-CR-19-4578_Order-Evaluation for Competency to Proceed (Rule 20.01)_2022-05-11_20251126175233.pdf")</f>
        <v>MCRO_27-CR-19-4578_Order-Evaluation for Competency to Proceed (Rule 20.01)_2022-05-11_20251126175233.pdf</v>
      </c>
      <c r="H167" s="7" t="str">
        <f aca="false">HYPERLINK("https://mncourtfraud.com/file/694dcb82a5515430b7fddfbf16881b942820c8c41fee3eea3505a20c7d4e41e6.ttf","694dcb82a5515430b7fddfbf16881b942820c8c41fee3eea3505a20c7d4e41e6")</f>
        <v>694dcb82a5515430b7fddfbf16881b942820c8c41fee3eea3505a20c7d4e41e6</v>
      </c>
      <c r="I167" s="1" t="s">
        <v>3413</v>
      </c>
      <c r="J167" s="2" t="s">
        <v>3438</v>
      </c>
      <c r="K167" s="2" t="s">
        <v>3438</v>
      </c>
      <c r="L167" s="2" t="s">
        <v>3415</v>
      </c>
      <c r="M167" s="2" t="n">
        <v>72828</v>
      </c>
      <c r="N167" s="2" t="s">
        <v>3439</v>
      </c>
    </row>
    <row r="168" customFormat="false" ht="18.7" hidden="false" customHeight="true" outlineLevel="0" collapsed="false">
      <c r="A168" s="1" t="n">
        <v>167</v>
      </c>
      <c r="B168" s="7" t="str">
        <f aca="false">HYPERLINK("https://mncourtfraud.com/file/27-CR-19-4578.pdf","27-CR-19-4578")</f>
        <v>27-CR-19-4578</v>
      </c>
      <c r="C168" s="1" t="n">
        <v>1</v>
      </c>
      <c r="D168" s="2" t="s">
        <v>12</v>
      </c>
      <c r="E168" s="8" t="n">
        <v>44692</v>
      </c>
      <c r="F168" s="2" t="s">
        <v>15</v>
      </c>
      <c r="G168" s="7" t="str">
        <f aca="false">HYPERLINK("https://mncourtfraud.com/file/MCRO_27-CR-19-4578_Order-Evaluation for Competency to Proceed (Rule 20.01)_2022-05-11_20251126175233.pdf","MCRO_27-CR-19-4578_Order-Evaluation for Competency to Proceed (Rule 20.01)_2022-05-11_20251126175233.pdf")</f>
        <v>MCRO_27-CR-19-4578_Order-Evaluation for Competency to Proceed (Rule 20.01)_2022-05-11_20251126175233.pdf</v>
      </c>
      <c r="H168" s="7" t="str">
        <f aca="false">HYPERLINK("https://mncourtfraud.com/file/87764021d6d62f7c396208d3f1fa8113e5ad5f90bd03c35e7200536389af4e6a.ttf","87764021d6d62f7c396208d3f1fa8113e5ad5f90bd03c35e7200536389af4e6a")</f>
        <v>87764021d6d62f7c396208d3f1fa8113e5ad5f90bd03c35e7200536389af4e6a</v>
      </c>
      <c r="I168" s="1" t="s">
        <v>3413</v>
      </c>
      <c r="J168" s="2" t="s">
        <v>3440</v>
      </c>
      <c r="K168" s="2" t="s">
        <v>3440</v>
      </c>
      <c r="L168" s="2" t="s">
        <v>3415</v>
      </c>
      <c r="M168" s="2" t="n">
        <v>6280</v>
      </c>
      <c r="N168" s="2" t="s">
        <v>3441</v>
      </c>
    </row>
    <row r="169" customFormat="false" ht="18.7" hidden="false" customHeight="true" outlineLevel="0" collapsed="false">
      <c r="A169" s="1" t="n">
        <v>168</v>
      </c>
      <c r="B169" s="7" t="str">
        <f aca="false">HYPERLINK("https://mncourtfraud.com/file/27-CR-19-4578.pdf","27-CR-19-4578")</f>
        <v>27-CR-19-4578</v>
      </c>
      <c r="C169" s="1" t="n">
        <v>1</v>
      </c>
      <c r="D169" s="2" t="s">
        <v>12</v>
      </c>
      <c r="E169" s="8" t="n">
        <v>44692</v>
      </c>
      <c r="F169" s="2" t="s">
        <v>15</v>
      </c>
      <c r="G169" s="7" t="str">
        <f aca="false">HYPERLINK("https://mncourtfraud.com/file/MCRO_27-CR-19-4578_Order-Evaluation for Competency to Proceed (Rule 20.01)_2022-05-11_20251126175233.pdf","MCRO_27-CR-19-4578_Order-Evaluation for Competency to Proceed (Rule 20.01)_2022-05-11_20251126175233.pdf")</f>
        <v>MCRO_27-CR-19-4578_Order-Evaluation for Competency to Proceed (Rule 20.01)_2022-05-11_20251126175233.pdf</v>
      </c>
      <c r="H169" s="7" t="str">
        <f aca="false">HYPERLINK("https://mncourtfraud.com/file/a1ad71f465be26cf6bb430c59ae6133d3c381ada339ba3c6b2eadf32a9b4096b.ttf","a1ad71f465be26cf6bb430c59ae6133d3c381ada339ba3c6b2eadf32a9b4096b")</f>
        <v>a1ad71f465be26cf6bb430c59ae6133d3c381ada339ba3c6b2eadf32a9b4096b</v>
      </c>
      <c r="I169" s="1" t="s">
        <v>3413</v>
      </c>
      <c r="J169" s="2" t="s">
        <v>3442</v>
      </c>
      <c r="K169" s="2" t="s">
        <v>3442</v>
      </c>
      <c r="L169" s="2" t="s">
        <v>3415</v>
      </c>
      <c r="M169" s="2" t="n">
        <v>5988</v>
      </c>
      <c r="N169" s="2" t="s">
        <v>3443</v>
      </c>
    </row>
    <row r="170" customFormat="false" ht="18.7" hidden="false" customHeight="true" outlineLevel="0" collapsed="false">
      <c r="A170" s="1" t="n">
        <v>169</v>
      </c>
      <c r="B170" s="7" t="str">
        <f aca="false">HYPERLINK("https://mncourtfraud.com/file/27-CR-19-4578.pdf","27-CR-19-4578")</f>
        <v>27-CR-19-4578</v>
      </c>
      <c r="C170" s="1" t="n">
        <v>1</v>
      </c>
      <c r="D170" s="2" t="s">
        <v>12</v>
      </c>
      <c r="E170" s="8" t="n">
        <v>44692</v>
      </c>
      <c r="F170" s="2" t="s">
        <v>15</v>
      </c>
      <c r="G170" s="7" t="str">
        <f aca="false">HYPERLINK("https://mncourtfraud.com/file/MCRO_27-CR-19-4578_Order-Evaluation for Competency to Proceed (Rule 20.01)_2022-05-11_20251126175233.pdf","MCRO_27-CR-19-4578_Order-Evaluation for Competency to Proceed (Rule 20.01)_2022-05-11_20251126175233.pdf")</f>
        <v>MCRO_27-CR-19-4578_Order-Evaluation for Competency to Proceed (Rule 20.01)_2022-05-11_20251126175233.pdf</v>
      </c>
      <c r="H170" s="7" t="str">
        <f aca="false">HYPERLINK("https://mncourtfraud.com/file/e1befe23dc5d05be4c8e965e6fc9e74e95400600e0da0c86dd389645355f3ad1.ttf","e1befe23dc5d05be4c8e965e6fc9e74e95400600e0da0c86dd389645355f3ad1")</f>
        <v>e1befe23dc5d05be4c8e965e6fc9e74e95400600e0da0c86dd389645355f3ad1</v>
      </c>
      <c r="I170" s="1" t="s">
        <v>3413</v>
      </c>
      <c r="J170" s="2" t="s">
        <v>3444</v>
      </c>
      <c r="K170" s="2" t="s">
        <v>3444</v>
      </c>
      <c r="L170" s="2" t="s">
        <v>3415</v>
      </c>
      <c r="M170" s="2" t="n">
        <v>94308</v>
      </c>
      <c r="N170" s="2" t="s">
        <v>3445</v>
      </c>
    </row>
    <row r="171" customFormat="false" ht="18.7" hidden="false" customHeight="true" outlineLevel="0" collapsed="false">
      <c r="A171" s="1" t="n">
        <v>170</v>
      </c>
      <c r="B171" s="7" t="str">
        <f aca="false">HYPERLINK("https://mncourtfraud.com/file/27-CR-19-4578.pdf","27-CR-19-4578")</f>
        <v>27-CR-19-4578</v>
      </c>
      <c r="C171" s="1" t="n">
        <v>1</v>
      </c>
      <c r="D171" s="2" t="s">
        <v>12</v>
      </c>
      <c r="E171" s="8" t="n">
        <v>44895</v>
      </c>
      <c r="F171" s="2" t="s">
        <v>15</v>
      </c>
      <c r="G171" s="7" t="str">
        <f aca="false">HYPERLINK("https://mncourtfraud.com/file/MCRO_27-CR-19-4578_Order-Evaluation for Competency to Proceed (Rule 20.01)_2022-11-30_20251126175245.pdf","MCRO_27-CR-19-4578_Order-Evaluation for Competency to Proceed (Rule 20.01)_2022-11-30_20251126175245.pdf")</f>
        <v>MCRO_27-CR-19-4578_Order-Evaluation for Competency to Proceed (Rule 20.01)_2022-11-30_20251126175245.pdf</v>
      </c>
      <c r="H171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171" s="1" t="s">
        <v>3413</v>
      </c>
      <c r="J171" s="2" t="s">
        <v>3423</v>
      </c>
      <c r="K171" s="2" t="s">
        <v>3423</v>
      </c>
      <c r="L171" s="2" t="s">
        <v>3415</v>
      </c>
      <c r="M171" s="2" t="n">
        <v>11088</v>
      </c>
    </row>
    <row r="172" customFormat="false" ht="18.7" hidden="false" customHeight="true" outlineLevel="0" collapsed="false">
      <c r="A172" s="1" t="n">
        <v>171</v>
      </c>
      <c r="B172" s="7" t="str">
        <f aca="false">HYPERLINK("https://mncourtfraud.com/file/27-CR-19-4578.pdf","27-CR-19-4578")</f>
        <v>27-CR-19-4578</v>
      </c>
      <c r="C172" s="1" t="n">
        <v>1</v>
      </c>
      <c r="D172" s="2" t="s">
        <v>12</v>
      </c>
      <c r="E172" s="8" t="n">
        <v>44895</v>
      </c>
      <c r="F172" s="2" t="s">
        <v>15</v>
      </c>
      <c r="G172" s="7" t="str">
        <f aca="false">HYPERLINK("https://mncourtfraud.com/file/MCRO_27-CR-19-4578_Order-Evaluation for Competency to Proceed (Rule 20.01)_2022-11-30_20251126175245.pdf","MCRO_27-CR-19-4578_Order-Evaluation for Competency to Proceed (Rule 20.01)_2022-11-30_20251126175245.pdf")</f>
        <v>MCRO_27-CR-19-4578_Order-Evaluation for Competency to Proceed (Rule 20.01)_2022-11-30_20251126175245.pdf</v>
      </c>
      <c r="H172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172" s="1" t="s">
        <v>3413</v>
      </c>
      <c r="J172" s="2" t="s">
        <v>3446</v>
      </c>
      <c r="K172" s="2" t="s">
        <v>3446</v>
      </c>
      <c r="L172" s="2" t="s">
        <v>3415</v>
      </c>
      <c r="M172" s="2" t="n">
        <v>55072</v>
      </c>
      <c r="N172" s="2" t="s">
        <v>3447</v>
      </c>
    </row>
    <row r="173" customFormat="false" ht="18.7" hidden="false" customHeight="true" outlineLevel="0" collapsed="false">
      <c r="A173" s="1" t="n">
        <v>172</v>
      </c>
      <c r="B173" s="7" t="str">
        <f aca="false">HYPERLINK("https://mncourtfraud.com/file/27-CR-19-4578.pdf","27-CR-19-4578")</f>
        <v>27-CR-19-4578</v>
      </c>
      <c r="C173" s="1" t="n">
        <v>1</v>
      </c>
      <c r="D173" s="2" t="s">
        <v>12</v>
      </c>
      <c r="E173" s="8" t="n">
        <v>44895</v>
      </c>
      <c r="F173" s="2" t="s">
        <v>15</v>
      </c>
      <c r="G173" s="7" t="str">
        <f aca="false">HYPERLINK("https://mncourtfraud.com/file/MCRO_27-CR-19-4578_Order-Evaluation for Competency to Proceed (Rule 20.01)_2022-11-30_20251126175245.pdf","MCRO_27-CR-19-4578_Order-Evaluation for Competency to Proceed (Rule 20.01)_2022-11-30_20251126175245.pdf")</f>
        <v>MCRO_27-CR-19-4578_Order-Evaluation for Competency to Proceed (Rule 20.01)_2022-11-30_20251126175245.pdf</v>
      </c>
      <c r="H173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173" s="1" t="s">
        <v>3413</v>
      </c>
      <c r="J173" s="2" t="s">
        <v>3424</v>
      </c>
      <c r="K173" s="2" t="s">
        <v>3424</v>
      </c>
      <c r="L173" s="2" t="s">
        <v>3415</v>
      </c>
      <c r="M173" s="2" t="n">
        <v>14252</v>
      </c>
    </row>
    <row r="174" customFormat="false" ht="18.7" hidden="false" customHeight="true" outlineLevel="0" collapsed="false">
      <c r="A174" s="1" t="n">
        <v>173</v>
      </c>
      <c r="B174" s="7" t="str">
        <f aca="false">HYPERLINK("https://mncourtfraud.com/file/27-CR-19-4578.pdf","27-CR-19-4578")</f>
        <v>27-CR-19-4578</v>
      </c>
      <c r="C174" s="1" t="n">
        <v>1</v>
      </c>
      <c r="D174" s="2" t="s">
        <v>12</v>
      </c>
      <c r="E174" s="8" t="n">
        <v>44895</v>
      </c>
      <c r="F174" s="2" t="s">
        <v>15</v>
      </c>
      <c r="G174" s="7" t="str">
        <f aca="false">HYPERLINK("https://mncourtfraud.com/file/MCRO_27-CR-19-4578_Order-Evaluation for Competency to Proceed (Rule 20.01)_2022-11-30_20251126175245.pdf","MCRO_27-CR-19-4578_Order-Evaluation for Competency to Proceed (Rule 20.01)_2022-11-30_20251126175245.pdf")</f>
        <v>MCRO_27-CR-19-4578_Order-Evaluation for Competency to Proceed (Rule 20.01)_2022-11-30_20251126175245.pdf</v>
      </c>
      <c r="H174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74" s="1" t="s">
        <v>3406</v>
      </c>
      <c r="K174" s="2" t="s">
        <v>3420</v>
      </c>
      <c r="L174" s="2" t="s">
        <v>3408</v>
      </c>
      <c r="M174" s="2" t="n">
        <v>7306</v>
      </c>
      <c r="O174" s="2" t="s">
        <v>3409</v>
      </c>
      <c r="P174" s="2" t="s">
        <v>3410</v>
      </c>
      <c r="S174" s="2" t="n">
        <v>319</v>
      </c>
      <c r="T174" s="2" t="n">
        <v>105</v>
      </c>
    </row>
    <row r="175" customFormat="false" ht="18.7" hidden="false" customHeight="true" outlineLevel="0" collapsed="false">
      <c r="A175" s="1" t="n">
        <v>174</v>
      </c>
      <c r="B175" s="7" t="str">
        <f aca="false">HYPERLINK("https://mncourtfraud.com/file/27-CR-19-4578.pdf","27-CR-19-4578")</f>
        <v>27-CR-19-4578</v>
      </c>
      <c r="C175" s="1" t="n">
        <v>1</v>
      </c>
      <c r="D175" s="2" t="s">
        <v>12</v>
      </c>
      <c r="E175" s="8" t="n">
        <v>44895</v>
      </c>
      <c r="F175" s="2" t="s">
        <v>15</v>
      </c>
      <c r="G175" s="7" t="str">
        <f aca="false">HYPERLINK("https://mncourtfraud.com/file/MCRO_27-CR-19-4578_Order-Evaluation for Competency to Proceed (Rule 20.01)_2022-11-30_20251126175245.pdf","MCRO_27-CR-19-4578_Order-Evaluation for Competency to Proceed (Rule 20.01)_2022-11-30_20251126175245.pdf")</f>
        <v>MCRO_27-CR-19-4578_Order-Evaluation for Competency to Proceed (Rule 20.01)_2022-11-30_20251126175245.pdf</v>
      </c>
      <c r="H175" s="7" t="str">
        <f aca="false">HYPERLINK("https://mncourtfraud.com/file/677e52a3b8403ce87e338b0a2e31e6f8e5ddf03fb0ca7043a341135cf0255eaa.ttf","677e52a3b8403ce87e338b0a2e31e6f8e5ddf03fb0ca7043a341135cf0255eaa")</f>
        <v>677e52a3b8403ce87e338b0a2e31e6f8e5ddf03fb0ca7043a341135cf0255eaa</v>
      </c>
      <c r="I175" s="1" t="s">
        <v>3413</v>
      </c>
      <c r="J175" s="2" t="s">
        <v>3422</v>
      </c>
      <c r="K175" s="2" t="s">
        <v>3422</v>
      </c>
      <c r="L175" s="2" t="s">
        <v>3415</v>
      </c>
      <c r="M175" s="2" t="n">
        <v>149960</v>
      </c>
    </row>
    <row r="176" customFormat="false" ht="18.7" hidden="false" customHeight="true" outlineLevel="0" collapsed="false">
      <c r="A176" s="1" t="n">
        <v>175</v>
      </c>
      <c r="B176" s="7" t="str">
        <f aca="false">HYPERLINK("https://mncourtfraud.com/file/27-CR-19-4578.pdf","27-CR-19-4578")</f>
        <v>27-CR-19-4578</v>
      </c>
      <c r="C176" s="1" t="n">
        <v>1</v>
      </c>
      <c r="D176" s="2" t="s">
        <v>12</v>
      </c>
      <c r="E176" s="8" t="n">
        <v>44895</v>
      </c>
      <c r="F176" s="2" t="s">
        <v>15</v>
      </c>
      <c r="G176" s="7" t="str">
        <f aca="false">HYPERLINK("https://mncourtfraud.com/file/MCRO_27-CR-19-4578_Order-Evaluation for Competency to Proceed (Rule 20.01)_2022-11-30_20251126175245.pdf","MCRO_27-CR-19-4578_Order-Evaluation for Competency to Proceed (Rule 20.01)_2022-11-30_20251126175245.pdf")</f>
        <v>MCRO_27-CR-19-4578_Order-Evaluation for Competency to Proceed (Rule 20.01)_2022-11-30_20251126175245.pdf</v>
      </c>
      <c r="H176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176" s="1" t="s">
        <v>3413</v>
      </c>
      <c r="J176" s="2" t="s">
        <v>3448</v>
      </c>
      <c r="K176" s="2" t="s">
        <v>3448</v>
      </c>
      <c r="L176" s="2" t="s">
        <v>3415</v>
      </c>
      <c r="M176" s="2" t="n">
        <v>916684</v>
      </c>
    </row>
    <row r="177" customFormat="false" ht="18.7" hidden="false" customHeight="true" outlineLevel="0" collapsed="false">
      <c r="A177" s="1" t="n">
        <v>176</v>
      </c>
      <c r="B177" s="7" t="str">
        <f aca="false">HYPERLINK("https://mncourtfraud.com/file/27-CR-19-4578.pdf","27-CR-19-4578")</f>
        <v>27-CR-19-4578</v>
      </c>
      <c r="C177" s="1" t="n">
        <v>1</v>
      </c>
      <c r="D177" s="2" t="s">
        <v>12</v>
      </c>
      <c r="E177" s="8" t="n">
        <v>44895</v>
      </c>
      <c r="F177" s="2" t="s">
        <v>15</v>
      </c>
      <c r="G177" s="7" t="str">
        <f aca="false">HYPERLINK("https://mncourtfraud.com/file/MCRO_27-CR-19-4578_Order-Evaluation for Competency to Proceed (Rule 20.01)_2022-11-30_20251126175245.pdf","MCRO_27-CR-19-4578_Order-Evaluation for Competency to Proceed (Rule 20.01)_2022-11-30_20251126175245.pdf")</f>
        <v>MCRO_27-CR-19-4578_Order-Evaluation for Competency to Proceed (Rule 20.01)_2022-11-30_20251126175245.pdf</v>
      </c>
      <c r="H177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77" s="1" t="s">
        <v>3406</v>
      </c>
      <c r="K177" s="2" t="s">
        <v>3425</v>
      </c>
      <c r="L177" s="2" t="s">
        <v>3408</v>
      </c>
      <c r="M177" s="2" t="n">
        <v>21225</v>
      </c>
      <c r="O177" s="2" t="s">
        <v>3409</v>
      </c>
      <c r="P177" s="2" t="s">
        <v>3410</v>
      </c>
      <c r="S177" s="2" t="n">
        <v>319</v>
      </c>
      <c r="T177" s="2" t="n">
        <v>105</v>
      </c>
    </row>
    <row r="178" customFormat="false" ht="18.7" hidden="false" customHeight="true" outlineLevel="0" collapsed="false">
      <c r="A178" s="1" t="n">
        <v>177</v>
      </c>
      <c r="B178" s="7" t="str">
        <f aca="false">HYPERLINK("https://mncourtfraud.com/file/27-CR-19-4578.pdf","27-CR-19-4578")</f>
        <v>27-CR-19-4578</v>
      </c>
      <c r="C178" s="1" t="n">
        <v>1</v>
      </c>
      <c r="D178" s="2" t="s">
        <v>12</v>
      </c>
      <c r="E178" s="8" t="n">
        <v>44895</v>
      </c>
      <c r="F178" s="2" t="s">
        <v>15</v>
      </c>
      <c r="G178" s="7" t="str">
        <f aca="false">HYPERLINK("https://mncourtfraud.com/file/MCRO_27-CR-19-4578_Order-Evaluation for Competency to Proceed (Rule 20.01)_2022-11-30_20251126175245.pdf","MCRO_27-CR-19-4578_Order-Evaluation for Competency to Proceed (Rule 20.01)_2022-11-30_20251126175245.pdf")</f>
        <v>MCRO_27-CR-19-4578_Order-Evaluation for Competency to Proceed (Rule 20.01)_2022-11-30_20251126175245.pdf</v>
      </c>
      <c r="H178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178" s="1" t="s">
        <v>3413</v>
      </c>
      <c r="J178" s="2" t="s">
        <v>3449</v>
      </c>
      <c r="K178" s="2" t="s">
        <v>3449</v>
      </c>
      <c r="L178" s="2" t="s">
        <v>3415</v>
      </c>
      <c r="M178" s="2" t="n">
        <v>124664</v>
      </c>
    </row>
    <row r="179" customFormat="false" ht="18.7" hidden="false" customHeight="true" outlineLevel="0" collapsed="false">
      <c r="A179" s="1" t="n">
        <v>178</v>
      </c>
      <c r="B179" s="7" t="str">
        <f aca="false">HYPERLINK("https://mncourtfraud.com/file/27-CR-19-4578.pdf","27-CR-19-4578")</f>
        <v>27-CR-19-4578</v>
      </c>
      <c r="C179" s="1" t="n">
        <v>1</v>
      </c>
      <c r="D179" s="2" t="s">
        <v>12</v>
      </c>
      <c r="E179" s="8" t="n">
        <v>44895</v>
      </c>
      <c r="F179" s="2" t="s">
        <v>15</v>
      </c>
      <c r="G179" s="7" t="str">
        <f aca="false">HYPERLINK("https://mncourtfraud.com/file/MCRO_27-CR-19-4578_Order-Evaluation for Competency to Proceed (Rule 20.01)_2022-11-30_20251126175245.pdf","MCRO_27-CR-19-4578_Order-Evaluation for Competency to Proceed (Rule 20.01)_2022-11-30_20251126175245.pdf")</f>
        <v>MCRO_27-CR-19-4578_Order-Evaluation for Competency to Proceed (Rule 20.01)_2022-11-30_20251126175245.pdf</v>
      </c>
      <c r="H179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179" s="1" t="s">
        <v>3413</v>
      </c>
      <c r="J179" s="2" t="s">
        <v>3449</v>
      </c>
      <c r="K179" s="2" t="s">
        <v>3449</v>
      </c>
      <c r="L179" s="2" t="s">
        <v>3415</v>
      </c>
      <c r="M179" s="2" t="n">
        <v>124664</v>
      </c>
    </row>
    <row r="180" customFormat="false" ht="18.7" hidden="false" customHeight="true" outlineLevel="0" collapsed="false">
      <c r="A180" s="1" t="n">
        <v>179</v>
      </c>
      <c r="B180" s="7" t="str">
        <f aca="false">HYPERLINK("https://mncourtfraud.com/file/27-CR-19-5875.pdf","27-CR-19-5875")</f>
        <v>27-CR-19-5875</v>
      </c>
      <c r="C180" s="1" t="n">
        <v>1</v>
      </c>
      <c r="D180" s="2" t="s">
        <v>12</v>
      </c>
      <c r="E180" s="8" t="n">
        <v>43844</v>
      </c>
      <c r="F180" s="2" t="s">
        <v>13</v>
      </c>
      <c r="G180" s="7" t="str">
        <f aca="false">HYPERLINK("https://mncourtfraud.com/file/MCRO_27-CR-19-5875_Find of Fact-Order, Pet Commitment-Dfd Found Incompetent_2020-01-14_20251126175409.pdf","MCRO_27-CR-19-5875_Find of Fact-Order, Pet Commitment-Dfd Found Incompetent_2020-01-14_20251126175409.pdf")</f>
        <v>MCRO_27-CR-19-5875_Find of Fact-Order, Pet Commitment-Dfd Found Incompetent_2020-01-14_20251126175409.pdf</v>
      </c>
      <c r="H180" s="7" t="str">
        <f aca="false">HYPERLINK("https://mncourtfraud.com/file/350ddf62c48ced6e54e313834eab69eb8202f31b56b93be3090612a901b85e01.png","350ddf62c48ced6e54e313834eab69eb8202f31b56b93be3090612a901b85e01")</f>
        <v>350ddf62c48ced6e54e313834eab69eb8202f31b56b93be3090612a901b85e01</v>
      </c>
      <c r="I180" s="1" t="s">
        <v>3406</v>
      </c>
      <c r="K180" s="2" t="s">
        <v>3407</v>
      </c>
      <c r="L180" s="2" t="s">
        <v>3408</v>
      </c>
      <c r="M180" s="2" t="n">
        <v>12893</v>
      </c>
      <c r="O180" s="2" t="s">
        <v>3409</v>
      </c>
      <c r="P180" s="2" t="s">
        <v>3410</v>
      </c>
      <c r="S180" s="2" t="n">
        <v>782</v>
      </c>
      <c r="T180" s="2" t="n">
        <v>300</v>
      </c>
    </row>
    <row r="181" customFormat="false" ht="18.7" hidden="false" customHeight="true" outlineLevel="0" collapsed="false">
      <c r="A181" s="1" t="n">
        <v>180</v>
      </c>
      <c r="B181" s="7" t="str">
        <f aca="false">HYPERLINK("https://mncourtfraud.com/file/27-CR-19-5875.pdf","27-CR-19-5875")</f>
        <v>27-CR-19-5875</v>
      </c>
      <c r="C181" s="1" t="n">
        <v>1</v>
      </c>
      <c r="D181" s="2" t="s">
        <v>12</v>
      </c>
      <c r="E181" s="8" t="n">
        <v>43844</v>
      </c>
      <c r="F181" s="2" t="s">
        <v>13</v>
      </c>
      <c r="G181" s="7" t="str">
        <f aca="false">HYPERLINK("https://mncourtfraud.com/file/MCRO_27-CR-19-5875_Find of Fact-Order, Pet Commitment-Dfd Found Incompetent_2020-01-14_20251126175409.pdf","MCRO_27-CR-19-5875_Find of Fact-Order, Pet Commitment-Dfd Found Incompetent_2020-01-14_20251126175409.pdf")</f>
        <v>MCRO_27-CR-19-5875_Find of Fact-Order, Pet Commitment-Dfd Found Incompetent_2020-01-14_20251126175409.pdf</v>
      </c>
      <c r="H181" s="7" t="str">
        <f aca="false">HYPERLINK("https://mncourtfraud.com/file/75e21fa9a9bdc384542bd50e00c9b7f4860cc0b38dfe58cd2d38855996a77889.png","75e21fa9a9bdc384542bd50e00c9b7f4860cc0b38dfe58cd2d38855996a77889")</f>
        <v>75e21fa9a9bdc384542bd50e00c9b7f4860cc0b38dfe58cd2d38855996a77889</v>
      </c>
      <c r="I181" s="1" t="s">
        <v>3406</v>
      </c>
      <c r="K181" s="2" t="s">
        <v>3411</v>
      </c>
      <c r="L181" s="2" t="s">
        <v>3412</v>
      </c>
      <c r="M181" s="2" t="n">
        <v>1341</v>
      </c>
      <c r="S181" s="2" t="n">
        <v>782</v>
      </c>
      <c r="T181" s="2" t="n">
        <v>300</v>
      </c>
    </row>
    <row r="182" customFormat="false" ht="18.7" hidden="false" customHeight="true" outlineLevel="0" collapsed="false">
      <c r="A182" s="1" t="n">
        <v>181</v>
      </c>
      <c r="B182" s="7" t="str">
        <f aca="false">HYPERLINK("https://mncourtfraud.com/file/27-CR-19-5875.pdf","27-CR-19-5875")</f>
        <v>27-CR-19-5875</v>
      </c>
      <c r="C182" s="1" t="n">
        <v>1</v>
      </c>
      <c r="D182" s="2" t="s">
        <v>12</v>
      </c>
      <c r="E182" s="8" t="n">
        <v>43844</v>
      </c>
      <c r="F182" s="2" t="s">
        <v>13</v>
      </c>
      <c r="G182" s="7" t="str">
        <f aca="false">HYPERLINK("https://mncourtfraud.com/file/MCRO_27-CR-19-5875_Find of Fact-Order, Pet Commitment-Dfd Found Incompetent_2020-01-14_20251126175409.pdf","MCRO_27-CR-19-5875_Find of Fact-Order, Pet Commitment-Dfd Found Incompetent_2020-01-14_20251126175409.pdf")</f>
        <v>MCRO_27-CR-19-5875_Find of Fact-Order, Pet Commitment-Dfd Found Incompetent_2020-01-14_20251126175409.pdf</v>
      </c>
      <c r="H182" s="7" t="str">
        <f aca="false">HYPERLINK("https://mncourtfraud.com/file/95e6865b2beecf994b6b3b3be604e2d4cce8ab9b21659c9bcdb841e9cac71015.ttf","95e6865b2beecf994b6b3b3be604e2d4cce8ab9b21659c9bcdb841e9cac71015")</f>
        <v>95e6865b2beecf994b6b3b3be604e2d4cce8ab9b21659c9bcdb841e9cac71015</v>
      </c>
      <c r="I182" s="1" t="s">
        <v>3413</v>
      </c>
      <c r="J182" s="2" t="s">
        <v>3414</v>
      </c>
      <c r="K182" s="2" t="s">
        <v>3414</v>
      </c>
      <c r="L182" s="2" t="s">
        <v>3415</v>
      </c>
      <c r="M182" s="2" t="n">
        <v>64488</v>
      </c>
    </row>
    <row r="183" customFormat="false" ht="18.7" hidden="false" customHeight="true" outlineLevel="0" collapsed="false">
      <c r="A183" s="1" t="n">
        <v>182</v>
      </c>
      <c r="B183" s="7" t="str">
        <f aca="false">HYPERLINK("https://mncourtfraud.com/file/27-CR-19-5875.pdf","27-CR-19-5875")</f>
        <v>27-CR-19-5875</v>
      </c>
      <c r="C183" s="1" t="n">
        <v>1</v>
      </c>
      <c r="D183" s="2" t="s">
        <v>12</v>
      </c>
      <c r="E183" s="8" t="n">
        <v>43844</v>
      </c>
      <c r="F183" s="2" t="s">
        <v>13</v>
      </c>
      <c r="G183" s="7" t="str">
        <f aca="false">HYPERLINK("https://mncourtfraud.com/file/MCRO_27-CR-19-5875_Find of Fact-Order, Pet Commitment-Dfd Found Incompetent_2020-01-14_20251126175409.pdf","MCRO_27-CR-19-5875_Find of Fact-Order, Pet Commitment-Dfd Found Incompetent_2020-01-14_20251126175409.pdf")</f>
        <v>MCRO_27-CR-19-5875_Find of Fact-Order, Pet Commitment-Dfd Found Incompetent_2020-01-14_20251126175409.pdf</v>
      </c>
      <c r="H183" s="7" t="str">
        <f aca="false">HYPERLINK("https://mncourtfraud.com/file/d85226137c53579f37f2c87321a4ff209a309a82330591d9457774d7d697befc.ttf","d85226137c53579f37f2c87321a4ff209a309a82330591d9457774d7d697befc")</f>
        <v>d85226137c53579f37f2c87321a4ff209a309a82330591d9457774d7d697befc</v>
      </c>
      <c r="I183" s="1" t="s">
        <v>3413</v>
      </c>
      <c r="J183" s="2" t="s">
        <v>3414</v>
      </c>
      <c r="K183" s="2" t="s">
        <v>3416</v>
      </c>
      <c r="L183" s="2" t="s">
        <v>3415</v>
      </c>
      <c r="M183" s="2" t="n">
        <v>49992</v>
      </c>
    </row>
    <row r="184" customFormat="false" ht="18.7" hidden="false" customHeight="true" outlineLevel="0" collapsed="false">
      <c r="A184" s="1" t="n">
        <v>183</v>
      </c>
      <c r="B184" s="7" t="str">
        <f aca="false">HYPERLINK("https://mncourtfraud.com/file/27-CR-19-5875.pdf","27-CR-19-5875")</f>
        <v>27-CR-19-5875</v>
      </c>
      <c r="C184" s="1" t="n">
        <v>1</v>
      </c>
      <c r="D184" s="2" t="s">
        <v>12</v>
      </c>
      <c r="E184" s="8" t="n">
        <v>43902</v>
      </c>
      <c r="F184" s="2" t="s">
        <v>15</v>
      </c>
      <c r="G184" s="7" t="str">
        <f aca="false">HYPERLINK("https://mncourtfraud.com/file/MCRO_27-CR-19-5875_Order-Evaluation for Competency to Proceed (Rule 20.01)_2020-03-12_20251126175636.pdf","MCRO_27-CR-19-5875_Order-Evaluation for Competency to Proceed (Rule 20.01)_2020-03-12_20251126175636.pdf")</f>
        <v>MCRO_27-CR-19-5875_Order-Evaluation for Competency to Proceed (Rule 20.01)_2020-03-12_20251126175636.pdf</v>
      </c>
      <c r="H184" s="7" t="str">
        <f aca="false">HYPERLINK("https://mncourtfraud.com/file/4de935ca71d807d6de1b6c0268b2253eb61ee03db635a0e4ec5b205cf9dd5599.ttf","4de935ca71d807d6de1b6c0268b2253eb61ee03db635a0e4ec5b205cf9dd5599")</f>
        <v>4de935ca71d807d6de1b6c0268b2253eb61ee03db635a0e4ec5b205cf9dd5599</v>
      </c>
      <c r="I184" s="1" t="s">
        <v>3413</v>
      </c>
      <c r="L184" s="2" t="s">
        <v>3415</v>
      </c>
      <c r="M184" s="2" t="n">
        <v>12924</v>
      </c>
    </row>
    <row r="185" customFormat="false" ht="18.7" hidden="false" customHeight="true" outlineLevel="0" collapsed="false">
      <c r="A185" s="1" t="n">
        <v>184</v>
      </c>
      <c r="B185" s="7" t="str">
        <f aca="false">HYPERLINK("https://mncourtfraud.com/file/27-CR-19-5875.pdf","27-CR-19-5875")</f>
        <v>27-CR-19-5875</v>
      </c>
      <c r="C185" s="1" t="n">
        <v>1</v>
      </c>
      <c r="D185" s="2" t="s">
        <v>12</v>
      </c>
      <c r="E185" s="8" t="n">
        <v>43902</v>
      </c>
      <c r="F185" s="2" t="s">
        <v>15</v>
      </c>
      <c r="G185" s="7" t="str">
        <f aca="false">HYPERLINK("https://mncourtfraud.com/file/MCRO_27-CR-19-5875_Order-Evaluation for Competency to Proceed (Rule 20.01)_2020-03-12_20251126175636.pdf","MCRO_27-CR-19-5875_Order-Evaluation for Competency to Proceed (Rule 20.01)_2020-03-12_20251126175636.pdf")</f>
        <v>MCRO_27-CR-19-5875_Order-Evaluation for Competency to Proceed (Rule 20.01)_2020-03-12_20251126175636.pdf</v>
      </c>
      <c r="H185" s="7" t="str">
        <f aca="false">HYPERLINK("https://mncourtfraud.com/file/999baaf9c476cde7b4dd42511788be2e0a03919334b6b6590f8347ebda9de3f8.jpg","999baaf9c476cde7b4dd42511788be2e0a03919334b6b6590f8347ebda9de3f8")</f>
        <v>999baaf9c476cde7b4dd42511788be2e0a03919334b6b6590f8347ebda9de3f8</v>
      </c>
      <c r="I185" s="1" t="s">
        <v>3417</v>
      </c>
      <c r="L185" s="2" t="s">
        <v>3418</v>
      </c>
      <c r="M185" s="2" t="n">
        <v>634331</v>
      </c>
      <c r="S185" s="2" t="n">
        <v>2550</v>
      </c>
      <c r="T185" s="2" t="n">
        <v>3300</v>
      </c>
    </row>
    <row r="186" customFormat="false" ht="18.7" hidden="false" customHeight="true" outlineLevel="0" collapsed="false">
      <c r="A186" s="1" t="n">
        <v>185</v>
      </c>
      <c r="B186" s="7" t="str">
        <f aca="false">HYPERLINK("https://mncourtfraud.com/file/27-CR-19-5875.pdf","27-CR-19-5875")</f>
        <v>27-CR-19-5875</v>
      </c>
      <c r="C186" s="1" t="n">
        <v>1</v>
      </c>
      <c r="D186" s="2" t="s">
        <v>12</v>
      </c>
      <c r="E186" s="8" t="n">
        <v>43902</v>
      </c>
      <c r="F186" s="2" t="s">
        <v>15</v>
      </c>
      <c r="G186" s="7" t="str">
        <f aca="false">HYPERLINK("https://mncourtfraud.com/file/MCRO_27-CR-19-5875_Order-Evaluation for Competency to Proceed (Rule 20.01)_2020-03-12_20251126175636.pdf","MCRO_27-CR-19-5875_Order-Evaluation for Competency to Proceed (Rule 20.01)_2020-03-12_20251126175636.pdf")</f>
        <v>MCRO_27-CR-19-5875_Order-Evaluation for Competency to Proceed (Rule 20.01)_2020-03-12_20251126175636.pdf</v>
      </c>
      <c r="H186" s="7" t="str">
        <f aca="false">HYPERLINK("https://mncourtfraud.com/file/d08759ddd6bfd9ad0e52dafa30f78034d5920428f1e730ae158f89ccd55781f6.jpg","d08759ddd6bfd9ad0e52dafa30f78034d5920428f1e730ae158f89ccd55781f6")</f>
        <v>d08759ddd6bfd9ad0e52dafa30f78034d5920428f1e730ae158f89ccd55781f6</v>
      </c>
      <c r="I186" s="1" t="s">
        <v>3417</v>
      </c>
      <c r="L186" s="2" t="s">
        <v>3418</v>
      </c>
      <c r="M186" s="2" t="n">
        <v>566879</v>
      </c>
      <c r="S186" s="2" t="n">
        <v>2550</v>
      </c>
      <c r="T186" s="2" t="n">
        <v>3300</v>
      </c>
    </row>
    <row r="187" customFormat="false" ht="18.7" hidden="false" customHeight="true" outlineLevel="0" collapsed="false">
      <c r="A187" s="1" t="n">
        <v>186</v>
      </c>
      <c r="B187" s="7" t="str">
        <f aca="false">HYPERLINK("https://mncourtfraud.com/file/27-CR-19-5875.pdf","27-CR-19-5875")</f>
        <v>27-CR-19-5875</v>
      </c>
      <c r="C187" s="1" t="n">
        <v>1</v>
      </c>
      <c r="D187" s="2" t="s">
        <v>12</v>
      </c>
      <c r="E187" s="8" t="n">
        <v>43970</v>
      </c>
      <c r="F187" s="2" t="s">
        <v>17</v>
      </c>
      <c r="G187" s="7" t="str">
        <f aca="false">HYPERLINK("https://mncourtfraud.com/file/MCRO_27-CR-19-5875_Returned Mail_2020-05-19_20251126175700.pdf","MCRO_27-CR-19-5875_Returned Mail_2020-05-19_20251126175700.pdf")</f>
        <v>MCRO_27-CR-19-5875_Returned Mail_2020-05-19_20251126175700.pdf</v>
      </c>
      <c r="H187" s="7" t="str">
        <f aca="false">HYPERLINK("https://mncourtfraud.com/file/0a6d95d1becdf9eb6c58da13b100362792caefda72d549096c0bda16a04654ea.ttf","0a6d95d1becdf9eb6c58da13b100362792caefda72d549096c0bda16a04654ea")</f>
        <v>0a6d95d1becdf9eb6c58da13b100362792caefda72d549096c0bda16a04654ea</v>
      </c>
      <c r="I187" s="1" t="s">
        <v>3413</v>
      </c>
      <c r="L187" s="2" t="s">
        <v>3415</v>
      </c>
      <c r="M187" s="2" t="n">
        <v>8220</v>
      </c>
    </row>
    <row r="188" customFormat="false" ht="18.7" hidden="false" customHeight="true" outlineLevel="0" collapsed="false">
      <c r="A188" s="1" t="n">
        <v>187</v>
      </c>
      <c r="B188" s="7" t="str">
        <f aca="false">HYPERLINK("https://mncourtfraud.com/file/27-CR-19-5875.pdf","27-CR-19-5875")</f>
        <v>27-CR-19-5875</v>
      </c>
      <c r="C188" s="1" t="n">
        <v>1</v>
      </c>
      <c r="D188" s="2" t="s">
        <v>12</v>
      </c>
      <c r="E188" s="8" t="n">
        <v>43970</v>
      </c>
      <c r="F188" s="2" t="s">
        <v>17</v>
      </c>
      <c r="G188" s="7" t="str">
        <f aca="false">HYPERLINK("https://mncourtfraud.com/file/MCRO_27-CR-19-5875_Returned Mail_2020-05-19_20251126175700.pdf","MCRO_27-CR-19-5875_Returned Mail_2020-05-19_20251126175700.pdf")</f>
        <v>MCRO_27-CR-19-5875_Returned Mail_2020-05-19_20251126175700.pdf</v>
      </c>
      <c r="H188" s="7" t="str">
        <f aca="false">HYPERLINK("https://mncourtfraud.com/file/30bceaaafce4807fd93a4b01e1c63e9a3e3333311b6902c72e7c6066ebd12d80.jpg","30bceaaafce4807fd93a4b01e1c63e9a3e3333311b6902c72e7c6066ebd12d80")</f>
        <v>30bceaaafce4807fd93a4b01e1c63e9a3e3333311b6902c72e7c6066ebd12d80</v>
      </c>
      <c r="I188" s="1" t="s">
        <v>3417</v>
      </c>
      <c r="L188" s="2" t="s">
        <v>3419</v>
      </c>
      <c r="M188" s="2" t="n">
        <v>198731</v>
      </c>
      <c r="S188" s="2" t="n">
        <v>2552</v>
      </c>
      <c r="T188" s="2" t="n">
        <v>3300</v>
      </c>
    </row>
    <row r="189" customFormat="false" ht="18.7" hidden="false" customHeight="true" outlineLevel="0" collapsed="false">
      <c r="A189" s="1" t="n">
        <v>188</v>
      </c>
      <c r="B189" s="7" t="str">
        <f aca="false">HYPERLINK("https://mncourtfraud.com/file/27-CR-19-5875.pdf","27-CR-19-5875")</f>
        <v>27-CR-19-5875</v>
      </c>
      <c r="C189" s="1" t="n">
        <v>1</v>
      </c>
      <c r="D189" s="2" t="s">
        <v>12</v>
      </c>
      <c r="E189" s="8" t="n">
        <v>44103</v>
      </c>
      <c r="F189" s="2" t="s">
        <v>19</v>
      </c>
      <c r="G189" s="7" t="str">
        <f aca="false">HYPERLINK("https://mncourtfraud.com/file/MCRO_27-CR-19-5875_Findings and Order_2020-09-29_20251126175434.pdf","MCRO_27-CR-19-5875_Findings and Order_2020-09-29_20251126175434.pdf")</f>
        <v>MCRO_27-CR-19-5875_Findings and Order_2020-09-29_20251126175434.pdf</v>
      </c>
      <c r="H189" s="7" t="str">
        <f aca="false">HYPERLINK("https://mncourtfraud.com/file/07e316fd6acde14e6752ac35fdb3665e9ff5ef9e00e600946974d23aa824e93e.png","07e316fd6acde14e6752ac35fdb3665e9ff5ef9e00e600946974d23aa824e93e")</f>
        <v>07e316fd6acde14e6752ac35fdb3665e9ff5ef9e00e600946974d23aa824e93e</v>
      </c>
      <c r="I189" s="1" t="s">
        <v>3406</v>
      </c>
      <c r="L189" s="2" t="s">
        <v>3412</v>
      </c>
      <c r="M189" s="2" t="n">
        <v>111400</v>
      </c>
      <c r="S189" s="2" t="n">
        <v>2560</v>
      </c>
      <c r="T189" s="2" t="n">
        <v>3300</v>
      </c>
    </row>
    <row r="190" customFormat="false" ht="18.7" hidden="false" customHeight="true" outlineLevel="0" collapsed="false">
      <c r="A190" s="1" t="n">
        <v>189</v>
      </c>
      <c r="B190" s="7" t="str">
        <f aca="false">HYPERLINK("https://mncourtfraud.com/file/27-CR-19-5875.pdf","27-CR-19-5875")</f>
        <v>27-CR-19-5875</v>
      </c>
      <c r="C190" s="1" t="n">
        <v>1</v>
      </c>
      <c r="D190" s="2" t="s">
        <v>12</v>
      </c>
      <c r="E190" s="8" t="n">
        <v>44103</v>
      </c>
      <c r="F190" s="2" t="s">
        <v>19</v>
      </c>
      <c r="G190" s="7" t="str">
        <f aca="false">HYPERLINK("https://mncourtfraud.com/file/MCRO_27-CR-19-5875_Findings and Order_2020-09-29_20251126175434.pdf","MCRO_27-CR-19-5875_Findings and Order_2020-09-29_20251126175434.pdf")</f>
        <v>MCRO_27-CR-19-5875_Findings and Order_2020-09-29_20251126175434.pdf</v>
      </c>
      <c r="H190" s="7" t="str">
        <f aca="false">HYPERLINK("https://mncourtfraud.com/file/11d6853f752025b4a249aab4251b562f847a3e41fb629b4cbcb4ec8dff13315a.png","11d6853f752025b4a249aab4251b562f847a3e41fb629b4cbcb4ec8dff13315a")</f>
        <v>11d6853f752025b4a249aab4251b562f847a3e41fb629b4cbcb4ec8dff13315a</v>
      </c>
      <c r="I190" s="1" t="s">
        <v>3406</v>
      </c>
      <c r="L190" s="2" t="s">
        <v>3412</v>
      </c>
      <c r="M190" s="2" t="n">
        <v>112047</v>
      </c>
      <c r="S190" s="2" t="n">
        <v>2560</v>
      </c>
      <c r="T190" s="2" t="n">
        <v>3300</v>
      </c>
    </row>
    <row r="191" customFormat="false" ht="18.7" hidden="false" customHeight="true" outlineLevel="0" collapsed="false">
      <c r="A191" s="1" t="n">
        <v>190</v>
      </c>
      <c r="B191" s="7" t="str">
        <f aca="false">HYPERLINK("https://mncourtfraud.com/file/27-CR-19-5875.pdf","27-CR-19-5875")</f>
        <v>27-CR-19-5875</v>
      </c>
      <c r="C191" s="1" t="n">
        <v>1</v>
      </c>
      <c r="D191" s="2" t="s">
        <v>12</v>
      </c>
      <c r="E191" s="8" t="n">
        <v>44103</v>
      </c>
      <c r="F191" s="2" t="s">
        <v>19</v>
      </c>
      <c r="G191" s="7" t="str">
        <f aca="false">HYPERLINK("https://mncourtfraud.com/file/MCRO_27-CR-19-5875_Findings and Order_2020-09-29_20251126175434.pdf","MCRO_27-CR-19-5875_Findings and Order_2020-09-29_20251126175434.pdf")</f>
        <v>MCRO_27-CR-19-5875_Findings and Order_2020-09-29_20251126175434.pdf</v>
      </c>
      <c r="H191" s="7" t="str">
        <f aca="false">HYPERLINK("https://mncourtfraud.com/file/127cb2cdb982ab960ee2d2f125b54b1d346457e50895c842b62b1be6393cf7ea.png","127cb2cdb982ab960ee2d2f125b54b1d346457e50895c842b62b1be6393cf7ea")</f>
        <v>127cb2cdb982ab960ee2d2f125b54b1d346457e50895c842b62b1be6393cf7ea</v>
      </c>
      <c r="I191" s="1" t="s">
        <v>3406</v>
      </c>
      <c r="L191" s="2" t="s">
        <v>3412</v>
      </c>
      <c r="M191" s="2" t="n">
        <v>128592</v>
      </c>
      <c r="S191" s="2" t="n">
        <v>2560</v>
      </c>
      <c r="T191" s="2" t="n">
        <v>3300</v>
      </c>
    </row>
    <row r="192" customFormat="false" ht="18.7" hidden="false" customHeight="true" outlineLevel="0" collapsed="false">
      <c r="A192" s="1" t="n">
        <v>191</v>
      </c>
      <c r="B192" s="7" t="str">
        <f aca="false">HYPERLINK("https://mncourtfraud.com/file/27-CR-19-5875.pdf","27-CR-19-5875")</f>
        <v>27-CR-19-5875</v>
      </c>
      <c r="C192" s="1" t="n">
        <v>1</v>
      </c>
      <c r="D192" s="2" t="s">
        <v>12</v>
      </c>
      <c r="E192" s="8" t="n">
        <v>44103</v>
      </c>
      <c r="F192" s="2" t="s">
        <v>19</v>
      </c>
      <c r="G192" s="7" t="str">
        <f aca="false">HYPERLINK("https://mncourtfraud.com/file/MCRO_27-CR-19-5875_Findings and Order_2020-09-29_20251126175434.pdf","MCRO_27-CR-19-5875_Findings and Order_2020-09-29_20251126175434.pdf")</f>
        <v>MCRO_27-CR-19-5875_Findings and Order_2020-09-29_20251126175434.pdf</v>
      </c>
      <c r="H192" s="7" t="str">
        <f aca="false">HYPERLINK("https://mncourtfraud.com/file/5ee07b0391e4f938d4624dade86775142f093b69d44110679cb386a9fcdb51dc.png","5ee07b0391e4f938d4624dade86775142f093b69d44110679cb386a9fcdb51dc")</f>
        <v>5ee07b0391e4f938d4624dade86775142f093b69d44110679cb386a9fcdb51dc</v>
      </c>
      <c r="I192" s="1" t="s">
        <v>3406</v>
      </c>
      <c r="L192" s="2" t="s">
        <v>3412</v>
      </c>
      <c r="M192" s="2" t="n">
        <v>141864</v>
      </c>
      <c r="S192" s="2" t="n">
        <v>2560</v>
      </c>
      <c r="T192" s="2" t="n">
        <v>3300</v>
      </c>
    </row>
    <row r="193" customFormat="false" ht="18.7" hidden="false" customHeight="true" outlineLevel="0" collapsed="false">
      <c r="A193" s="1" t="n">
        <v>192</v>
      </c>
      <c r="B193" s="7" t="str">
        <f aca="false">HYPERLINK("https://mncourtfraud.com/file/27-CR-19-5875.pdf","27-CR-19-5875")</f>
        <v>27-CR-19-5875</v>
      </c>
      <c r="C193" s="1" t="n">
        <v>1</v>
      </c>
      <c r="D193" s="2" t="s">
        <v>12</v>
      </c>
      <c r="E193" s="8" t="n">
        <v>44103</v>
      </c>
      <c r="F193" s="2" t="s">
        <v>19</v>
      </c>
      <c r="G193" s="7" t="str">
        <f aca="false">HYPERLINK("https://mncourtfraud.com/file/MCRO_27-CR-19-5875_Findings and Order_2020-09-29_20251126175434.pdf","MCRO_27-CR-19-5875_Findings and Order_2020-09-29_20251126175434.pdf")</f>
        <v>MCRO_27-CR-19-5875_Findings and Order_2020-09-29_20251126175434.pdf</v>
      </c>
      <c r="H193" s="7" t="str">
        <f aca="false">HYPERLINK("https://mncourtfraud.com/file/9298e052f4612cb0f1a6b3a16e09a68c67c5100b302cdb5815615d0bef9cb57b.png","9298e052f4612cb0f1a6b3a16e09a68c67c5100b302cdb5815615d0bef9cb57b")</f>
        <v>9298e052f4612cb0f1a6b3a16e09a68c67c5100b302cdb5815615d0bef9cb57b</v>
      </c>
      <c r="I193" s="1" t="s">
        <v>3406</v>
      </c>
      <c r="L193" s="2" t="s">
        <v>3412</v>
      </c>
      <c r="M193" s="2" t="n">
        <v>132457</v>
      </c>
      <c r="S193" s="2" t="n">
        <v>2560</v>
      </c>
      <c r="T193" s="2" t="n">
        <v>3300</v>
      </c>
    </row>
    <row r="194" customFormat="false" ht="18.7" hidden="false" customHeight="true" outlineLevel="0" collapsed="false">
      <c r="A194" s="1" t="n">
        <v>193</v>
      </c>
      <c r="B194" s="7" t="str">
        <f aca="false">HYPERLINK("https://mncourtfraud.com/file/27-CR-19-5875.pdf","27-CR-19-5875")</f>
        <v>27-CR-19-5875</v>
      </c>
      <c r="C194" s="1" t="n">
        <v>1</v>
      </c>
      <c r="D194" s="2" t="s">
        <v>12</v>
      </c>
      <c r="E194" s="8" t="n">
        <v>44103</v>
      </c>
      <c r="F194" s="2" t="s">
        <v>19</v>
      </c>
      <c r="G194" s="7" t="str">
        <f aca="false">HYPERLINK("https://mncourtfraud.com/file/MCRO_27-CR-19-5875_Findings and Order_2020-09-29_20251126175434.pdf","MCRO_27-CR-19-5875_Findings and Order_2020-09-29_20251126175434.pdf")</f>
        <v>MCRO_27-CR-19-5875_Findings and Order_2020-09-29_20251126175434.pdf</v>
      </c>
      <c r="H194" s="7" t="str">
        <f aca="false">HYPERLINK("https://mncourtfraud.com/file/ed475875d3636fc55785bfc0d90873f236925934528f91fa7187443759c8d7a9.ttf","ed475875d3636fc55785bfc0d90873f236925934528f91fa7187443759c8d7a9")</f>
        <v>ed475875d3636fc55785bfc0d90873f236925934528f91fa7187443759c8d7a9</v>
      </c>
      <c r="I194" s="1" t="s">
        <v>3413</v>
      </c>
      <c r="L194" s="2" t="s">
        <v>3415</v>
      </c>
      <c r="M194" s="2" t="n">
        <v>12924</v>
      </c>
    </row>
    <row r="195" customFormat="false" ht="18.7" hidden="false" customHeight="true" outlineLevel="0" collapsed="false">
      <c r="A195" s="1" t="n">
        <v>194</v>
      </c>
      <c r="B195" s="7" t="str">
        <f aca="false">HYPERLINK("https://mncourtfraud.com/file/27-CR-19-5875.pdf","27-CR-19-5875")</f>
        <v>27-CR-19-5875</v>
      </c>
      <c r="C195" s="1" t="n">
        <v>1</v>
      </c>
      <c r="D195" s="2" t="s">
        <v>12</v>
      </c>
      <c r="E195" s="8" t="n">
        <v>44225</v>
      </c>
      <c r="F195" s="2" t="s">
        <v>15</v>
      </c>
      <c r="G195" s="7" t="str">
        <f aca="false">HYPERLINK("https://mncourtfraud.com/file/MCRO_27-CR-19-5875_Order-Evaluation for Competency to Proceed (Rule 20.01)_2021-01-29_20251126175645.pdf","MCRO_27-CR-19-5875_Order-Evaluation for Competency to Proceed (Rule 20.01)_2021-01-29_20251126175645.pdf")</f>
        <v>MCRO_27-CR-19-5875_Order-Evaluation for Competency to Proceed (Rule 20.01)_2021-01-29_20251126175645.pdf</v>
      </c>
      <c r="H195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95" s="1" t="s">
        <v>3406</v>
      </c>
      <c r="K195" s="2" t="s">
        <v>3420</v>
      </c>
      <c r="L195" s="2" t="s">
        <v>3408</v>
      </c>
      <c r="M195" s="2" t="n">
        <v>7306</v>
      </c>
      <c r="O195" s="2" t="s">
        <v>3409</v>
      </c>
      <c r="P195" s="2" t="s">
        <v>3410</v>
      </c>
      <c r="S195" s="2" t="n">
        <v>319</v>
      </c>
      <c r="T195" s="2" t="n">
        <v>105</v>
      </c>
    </row>
    <row r="196" customFormat="false" ht="18.7" hidden="false" customHeight="true" outlineLevel="0" collapsed="false">
      <c r="A196" s="1" t="n">
        <v>195</v>
      </c>
      <c r="B196" s="7" t="str">
        <f aca="false">HYPERLINK("https://mncourtfraud.com/file/27-CR-19-5875.pdf","27-CR-19-5875")</f>
        <v>27-CR-19-5875</v>
      </c>
      <c r="C196" s="1" t="n">
        <v>1</v>
      </c>
      <c r="D196" s="2" t="s">
        <v>12</v>
      </c>
      <c r="E196" s="8" t="n">
        <v>44225</v>
      </c>
      <c r="F196" s="2" t="s">
        <v>15</v>
      </c>
      <c r="G196" s="7" t="str">
        <f aca="false">HYPERLINK("https://mncourtfraud.com/file/MCRO_27-CR-19-5875_Order-Evaluation for Competency to Proceed (Rule 20.01)_2021-01-29_20251126175645.pdf","MCRO_27-CR-19-5875_Order-Evaluation for Competency to Proceed (Rule 20.01)_2021-01-29_20251126175645.pdf")</f>
        <v>MCRO_27-CR-19-5875_Order-Evaluation for Competency to Proceed (Rule 20.01)_2021-01-29_20251126175645.pdf</v>
      </c>
      <c r="H196" s="7" t="str">
        <f aca="false">HYPERLINK("https://mncourtfraud.com/file/546304e2050278ff497f628e7aee653da606219dd05bf0397179732462a20afc.ttf","546304e2050278ff497f628e7aee653da606219dd05bf0397179732462a20afc")</f>
        <v>546304e2050278ff497f628e7aee653da606219dd05bf0397179732462a20afc</v>
      </c>
      <c r="I196" s="1" t="s">
        <v>3413</v>
      </c>
      <c r="J196" s="2" t="s">
        <v>3421</v>
      </c>
      <c r="K196" s="2" t="s">
        <v>3421</v>
      </c>
      <c r="L196" s="2" t="s">
        <v>3415</v>
      </c>
      <c r="M196" s="2" t="n">
        <v>399420</v>
      </c>
    </row>
    <row r="197" customFormat="false" ht="18.7" hidden="false" customHeight="true" outlineLevel="0" collapsed="false">
      <c r="A197" s="1" t="n">
        <v>196</v>
      </c>
      <c r="B197" s="7" t="str">
        <f aca="false">HYPERLINK("https://mncourtfraud.com/file/27-CR-19-5875.pdf","27-CR-19-5875")</f>
        <v>27-CR-19-5875</v>
      </c>
      <c r="C197" s="1" t="n">
        <v>1</v>
      </c>
      <c r="D197" s="2" t="s">
        <v>12</v>
      </c>
      <c r="E197" s="8" t="n">
        <v>44225</v>
      </c>
      <c r="F197" s="2" t="s">
        <v>15</v>
      </c>
      <c r="G197" s="7" t="str">
        <f aca="false">HYPERLINK("https://mncourtfraud.com/file/MCRO_27-CR-19-5875_Order-Evaluation for Competency to Proceed (Rule 20.01)_2021-01-29_20251126175645.pdf","MCRO_27-CR-19-5875_Order-Evaluation for Competency to Proceed (Rule 20.01)_2021-01-29_20251126175645.pdf")</f>
        <v>MCRO_27-CR-19-5875_Order-Evaluation for Competency to Proceed (Rule 20.01)_2021-01-29_20251126175645.pdf</v>
      </c>
      <c r="H197" s="7" t="str">
        <f aca="false">HYPERLINK("https://mncourtfraud.com/file/5fe279e2bb67346d4b9382b6d426f3b2037a8a7faa39183d4cc98bf1b3eac581.ttf","5fe279e2bb67346d4b9382b6d426f3b2037a8a7faa39183d4cc98bf1b3eac581")</f>
        <v>5fe279e2bb67346d4b9382b6d426f3b2037a8a7faa39183d4cc98bf1b3eac581</v>
      </c>
      <c r="I197" s="1" t="s">
        <v>3413</v>
      </c>
      <c r="J197" s="2" t="s">
        <v>3422</v>
      </c>
      <c r="K197" s="2" t="s">
        <v>3422</v>
      </c>
      <c r="L197" s="2" t="s">
        <v>3415</v>
      </c>
      <c r="M197" s="2" t="n">
        <v>584320</v>
      </c>
    </row>
    <row r="198" customFormat="false" ht="18.7" hidden="false" customHeight="true" outlineLevel="0" collapsed="false">
      <c r="A198" s="1" t="n">
        <v>197</v>
      </c>
      <c r="B198" s="7" t="str">
        <f aca="false">HYPERLINK("https://mncourtfraud.com/file/27-CR-19-5875.pdf","27-CR-19-5875")</f>
        <v>27-CR-19-5875</v>
      </c>
      <c r="C198" s="1" t="n">
        <v>1</v>
      </c>
      <c r="D198" s="2" t="s">
        <v>12</v>
      </c>
      <c r="E198" s="8" t="n">
        <v>44225</v>
      </c>
      <c r="F198" s="2" t="s">
        <v>15</v>
      </c>
      <c r="G198" s="7" t="str">
        <f aca="false">HYPERLINK("https://mncourtfraud.com/file/MCRO_27-CR-19-5875_Order-Evaluation for Competency to Proceed (Rule 20.01)_2021-01-29_20251126175645.pdf","MCRO_27-CR-19-5875_Order-Evaluation for Competency to Proceed (Rule 20.01)_2021-01-29_20251126175645.pdf")</f>
        <v>MCRO_27-CR-19-5875_Order-Evaluation for Competency to Proceed (Rule 20.01)_2021-01-29_20251126175645.pdf</v>
      </c>
      <c r="H198" s="7" t="str">
        <f aca="false">HYPERLINK("https://mncourtfraud.com/file/b1c2362109b3c1555dd5946549cada931b8066060cb7036e6b0b500de41c44e8.ttf","b1c2362109b3c1555dd5946549cada931b8066060cb7036e6b0b500de41c44e8")</f>
        <v>b1c2362109b3c1555dd5946549cada931b8066060cb7036e6b0b500de41c44e8</v>
      </c>
      <c r="I198" s="1" t="s">
        <v>3413</v>
      </c>
      <c r="J198" s="2" t="s">
        <v>3423</v>
      </c>
      <c r="K198" s="2" t="s">
        <v>3423</v>
      </c>
      <c r="L198" s="2" t="s">
        <v>3415</v>
      </c>
      <c r="M198" s="2" t="n">
        <v>25228</v>
      </c>
    </row>
    <row r="199" customFormat="false" ht="18.7" hidden="false" customHeight="true" outlineLevel="0" collapsed="false">
      <c r="A199" s="1" t="n">
        <v>198</v>
      </c>
      <c r="B199" s="7" t="str">
        <f aca="false">HYPERLINK("https://mncourtfraud.com/file/27-CR-19-5875.pdf","27-CR-19-5875")</f>
        <v>27-CR-19-5875</v>
      </c>
      <c r="C199" s="1" t="n">
        <v>1</v>
      </c>
      <c r="D199" s="2" t="s">
        <v>12</v>
      </c>
      <c r="E199" s="8" t="n">
        <v>44225</v>
      </c>
      <c r="F199" s="2" t="s">
        <v>15</v>
      </c>
      <c r="G199" s="7" t="str">
        <f aca="false">HYPERLINK("https://mncourtfraud.com/file/MCRO_27-CR-19-5875_Order-Evaluation for Competency to Proceed (Rule 20.01)_2021-01-29_20251126175645.pdf","MCRO_27-CR-19-5875_Order-Evaluation for Competency to Proceed (Rule 20.01)_2021-01-29_20251126175645.pdf")</f>
        <v>MCRO_27-CR-19-5875_Order-Evaluation for Competency to Proceed (Rule 20.01)_2021-01-29_20251126175645.pdf</v>
      </c>
      <c r="H199" s="7" t="str">
        <f aca="false">HYPERLINK("https://mncourtfraud.com/file/d2c62141a1ec41646c92beed2b2984b9af228aca51b9dba5d40aa343c9c7fc50.ttf","d2c62141a1ec41646c92beed2b2984b9af228aca51b9dba5d40aa343c9c7fc50")</f>
        <v>d2c62141a1ec41646c92beed2b2984b9af228aca51b9dba5d40aa343c9c7fc50</v>
      </c>
      <c r="I199" s="1" t="s">
        <v>3413</v>
      </c>
      <c r="J199" s="2" t="s">
        <v>3424</v>
      </c>
      <c r="K199" s="2" t="s">
        <v>3424</v>
      </c>
      <c r="L199" s="2" t="s">
        <v>3415</v>
      </c>
      <c r="M199" s="2" t="n">
        <v>29188</v>
      </c>
    </row>
    <row r="200" customFormat="false" ht="18.7" hidden="false" customHeight="true" outlineLevel="0" collapsed="false">
      <c r="A200" s="1" t="n">
        <v>199</v>
      </c>
      <c r="B200" s="7" t="str">
        <f aca="false">HYPERLINK("https://mncourtfraud.com/file/27-CR-19-5875.pdf","27-CR-19-5875")</f>
        <v>27-CR-19-5875</v>
      </c>
      <c r="C200" s="1" t="n">
        <v>1</v>
      </c>
      <c r="D200" s="2" t="s">
        <v>12</v>
      </c>
      <c r="E200" s="8" t="n">
        <v>44225</v>
      </c>
      <c r="F200" s="2" t="s">
        <v>15</v>
      </c>
      <c r="G200" s="7" t="str">
        <f aca="false">HYPERLINK("https://mncourtfraud.com/file/MCRO_27-CR-19-5875_Order-Evaluation for Competency to Proceed (Rule 20.01)_2021-01-29_20251126175645.pdf","MCRO_27-CR-19-5875_Order-Evaluation for Competency to Proceed (Rule 20.01)_2021-01-29_20251126175645.pdf")</f>
        <v>MCRO_27-CR-19-5875_Order-Evaluation for Competency to Proceed (Rule 20.01)_2021-01-29_20251126175645.pdf</v>
      </c>
      <c r="H200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200" s="1" t="s">
        <v>3406</v>
      </c>
      <c r="K200" s="2" t="s">
        <v>3425</v>
      </c>
      <c r="L200" s="2" t="s">
        <v>3408</v>
      </c>
      <c r="M200" s="2" t="n">
        <v>21225</v>
      </c>
      <c r="O200" s="2" t="s">
        <v>3409</v>
      </c>
      <c r="P200" s="2" t="s">
        <v>3410</v>
      </c>
      <c r="S200" s="2" t="n">
        <v>319</v>
      </c>
      <c r="T200" s="2" t="n">
        <v>105</v>
      </c>
    </row>
    <row r="201" customFormat="false" ht="18.7" hidden="false" customHeight="true" outlineLevel="0" collapsed="false">
      <c r="A201" s="1" t="n">
        <v>200</v>
      </c>
      <c r="B201" s="7" t="str">
        <f aca="false">HYPERLINK("https://mncourtfraud.com/file/27-CR-19-5875.pdf","27-CR-19-5875")</f>
        <v>27-CR-19-5875</v>
      </c>
      <c r="C201" s="1" t="n">
        <v>1</v>
      </c>
      <c r="D201" s="2" t="s">
        <v>12</v>
      </c>
      <c r="E201" s="8" t="n">
        <v>44396</v>
      </c>
      <c r="F201" s="2" t="s">
        <v>15</v>
      </c>
      <c r="G201" s="7" t="str">
        <f aca="false">HYPERLINK("https://mncourtfraud.com/file/MCRO_27-CR-19-5875_Order-Evaluation for Competency to Proceed (Rule 20.01)_2021-07-19_20251126175529.pdf","MCRO_27-CR-19-5875_Order-Evaluation for Competency to Proceed (Rule 20.01)_2021-07-19_20251126175529.pdf")</f>
        <v>MCRO_27-CR-19-5875_Order-Evaluation for Competency to Proceed (Rule 20.01)_2021-07-19_20251126175529.pdf</v>
      </c>
      <c r="H201" s="7" t="str">
        <f aca="false">HYPERLINK("https://mncourtfraud.com/file/2bb8acb2c0598ae5139f871544da58f5f35ae8502dda9140694cb43ef9b4a29c.png","2bb8acb2c0598ae5139f871544da58f5f35ae8502dda9140694cb43ef9b4a29c")</f>
        <v>2bb8acb2c0598ae5139f871544da58f5f35ae8502dda9140694cb43ef9b4a29c</v>
      </c>
      <c r="I201" s="1" t="s">
        <v>3406</v>
      </c>
      <c r="L201" s="2" t="s">
        <v>3412</v>
      </c>
      <c r="M201" s="2" t="n">
        <v>142959</v>
      </c>
      <c r="S201" s="2" t="n">
        <v>2550</v>
      </c>
      <c r="T201" s="2" t="n">
        <v>3300</v>
      </c>
    </row>
    <row r="202" customFormat="false" ht="18.7" hidden="false" customHeight="true" outlineLevel="0" collapsed="false">
      <c r="A202" s="1" t="n">
        <v>201</v>
      </c>
      <c r="B202" s="7" t="str">
        <f aca="false">HYPERLINK("https://mncourtfraud.com/file/27-CR-19-5875.pdf","27-CR-19-5875")</f>
        <v>27-CR-19-5875</v>
      </c>
      <c r="C202" s="1" t="n">
        <v>1</v>
      </c>
      <c r="D202" s="2" t="s">
        <v>12</v>
      </c>
      <c r="E202" s="8" t="n">
        <v>44396</v>
      </c>
      <c r="F202" s="2" t="s">
        <v>15</v>
      </c>
      <c r="G202" s="7" t="str">
        <f aca="false">HYPERLINK("https://mncourtfraud.com/file/MCRO_27-CR-19-5875_Order-Evaluation for Competency to Proceed (Rule 20.01)_2021-07-19_20251126175529.pdf","MCRO_27-CR-19-5875_Order-Evaluation for Competency to Proceed (Rule 20.01)_2021-07-19_20251126175529.pdf")</f>
        <v>MCRO_27-CR-19-5875_Order-Evaluation for Competency to Proceed (Rule 20.01)_2021-07-19_20251126175529.pdf</v>
      </c>
      <c r="H202" s="7" t="str">
        <f aca="false">HYPERLINK("https://mncourtfraud.com/file/3d77e4a1fab8f5290d949838e204456d289587344f75c037ba9fb4d2875907a9.png","3d77e4a1fab8f5290d949838e204456d289587344f75c037ba9fb4d2875907a9")</f>
        <v>3d77e4a1fab8f5290d949838e204456d289587344f75c037ba9fb4d2875907a9</v>
      </c>
      <c r="I202" s="1" t="s">
        <v>3406</v>
      </c>
      <c r="L202" s="2" t="s">
        <v>3412</v>
      </c>
      <c r="M202" s="2" t="n">
        <v>155677</v>
      </c>
      <c r="S202" s="2" t="n">
        <v>2550</v>
      </c>
      <c r="T202" s="2" t="n">
        <v>3300</v>
      </c>
    </row>
    <row r="203" customFormat="false" ht="18.7" hidden="false" customHeight="true" outlineLevel="0" collapsed="false">
      <c r="A203" s="1" t="n">
        <v>202</v>
      </c>
      <c r="B203" s="7" t="str">
        <f aca="false">HYPERLINK("https://mncourtfraud.com/file/27-CR-19-5875.pdf","27-CR-19-5875")</f>
        <v>27-CR-19-5875</v>
      </c>
      <c r="C203" s="1" t="n">
        <v>1</v>
      </c>
      <c r="D203" s="2" t="s">
        <v>12</v>
      </c>
      <c r="E203" s="8" t="n">
        <v>44396</v>
      </c>
      <c r="F203" s="2" t="s">
        <v>15</v>
      </c>
      <c r="G203" s="7" t="str">
        <f aca="false">HYPERLINK("https://mncourtfraud.com/file/MCRO_27-CR-19-5875_Order-Evaluation for Competency to Proceed (Rule 20.01)_2021-07-19_20251126175529.pdf","MCRO_27-CR-19-5875_Order-Evaluation for Competency to Proceed (Rule 20.01)_2021-07-19_20251126175529.pdf")</f>
        <v>MCRO_27-CR-19-5875_Order-Evaluation for Competency to Proceed (Rule 20.01)_2021-07-19_20251126175529.pdf</v>
      </c>
      <c r="H203" s="7" t="str">
        <f aca="false">HYPERLINK("https://mncourtfraud.com/file/9a3d54a2bfe0b1e0c009c7530372ec33da7b546e10fbf5ace1ef7cf1665b078b.ttf","9a3d54a2bfe0b1e0c009c7530372ec33da7b546e10fbf5ace1ef7cf1665b078b")</f>
        <v>9a3d54a2bfe0b1e0c009c7530372ec33da7b546e10fbf5ace1ef7cf1665b078b</v>
      </c>
      <c r="I203" s="1" t="s">
        <v>3413</v>
      </c>
      <c r="L203" s="2" t="s">
        <v>3415</v>
      </c>
      <c r="M203" s="2" t="n">
        <v>333584</v>
      </c>
    </row>
    <row r="204" customFormat="false" ht="18.7" hidden="false" customHeight="true" outlineLevel="0" collapsed="false">
      <c r="A204" s="1" t="n">
        <v>203</v>
      </c>
      <c r="B204" s="7" t="str">
        <f aca="false">HYPERLINK("https://mncourtfraud.com/file/27-CR-19-5875.pdf","27-CR-19-5875")</f>
        <v>27-CR-19-5875</v>
      </c>
      <c r="C204" s="1" t="n">
        <v>1</v>
      </c>
      <c r="D204" s="2" t="s">
        <v>12</v>
      </c>
      <c r="E204" s="8" t="n">
        <v>44439</v>
      </c>
      <c r="F204" s="2" t="s">
        <v>19</v>
      </c>
      <c r="G204" s="7" t="str">
        <f aca="false">HYPERLINK("https://mncourtfraud.com/file/MCRO_27-CR-19-5875_Findings and Order_2021-08-31_20251126175446.pdf","MCRO_27-CR-19-5875_Findings and Order_2021-08-31_20251126175446.pdf")</f>
        <v>MCRO_27-CR-19-5875_Findings and Order_2021-08-31_20251126175446.pdf</v>
      </c>
      <c r="H204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204" s="1" t="s">
        <v>3413</v>
      </c>
      <c r="J204" s="2" t="s">
        <v>3426</v>
      </c>
      <c r="K204" s="2" t="s">
        <v>3426</v>
      </c>
      <c r="L204" s="2" t="s">
        <v>3415</v>
      </c>
      <c r="M204" s="2" t="n">
        <v>74997</v>
      </c>
      <c r="N204" s="2" t="s">
        <v>3427</v>
      </c>
    </row>
    <row r="205" customFormat="false" ht="18.7" hidden="false" customHeight="true" outlineLevel="0" collapsed="false">
      <c r="A205" s="1" t="n">
        <v>204</v>
      </c>
      <c r="B205" s="7" t="str">
        <f aca="false">HYPERLINK("https://mncourtfraud.com/file/27-CR-19-5875.pdf","27-CR-19-5875")</f>
        <v>27-CR-19-5875</v>
      </c>
      <c r="C205" s="1" t="n">
        <v>1</v>
      </c>
      <c r="D205" s="2" t="s">
        <v>12</v>
      </c>
      <c r="E205" s="8" t="n">
        <v>44439</v>
      </c>
      <c r="F205" s="2" t="s">
        <v>19</v>
      </c>
      <c r="G205" s="7" t="str">
        <f aca="false">HYPERLINK("https://mncourtfraud.com/file/MCRO_27-CR-19-5875_Findings and Order_2021-08-31_20251126175446.pdf","MCRO_27-CR-19-5875_Findings and Order_2021-08-31_20251126175446.pdf")</f>
        <v>MCRO_27-CR-19-5875_Findings and Order_2021-08-31_20251126175446.pdf</v>
      </c>
      <c r="H205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205" s="1" t="s">
        <v>3413</v>
      </c>
      <c r="J205" s="2" t="s">
        <v>3414</v>
      </c>
      <c r="K205" s="2" t="s">
        <v>3414</v>
      </c>
      <c r="L205" s="2" t="s">
        <v>3415</v>
      </c>
      <c r="M205" s="2" t="n">
        <v>65384</v>
      </c>
    </row>
    <row r="206" customFormat="false" ht="18.7" hidden="false" customHeight="true" outlineLevel="0" collapsed="false">
      <c r="A206" s="1" t="n">
        <v>205</v>
      </c>
      <c r="B206" s="7" t="str">
        <f aca="false">HYPERLINK("https://mncourtfraud.com/file/27-CR-19-5875.pdf","27-CR-19-5875")</f>
        <v>27-CR-19-5875</v>
      </c>
      <c r="C206" s="1" t="n">
        <v>1</v>
      </c>
      <c r="D206" s="2" t="s">
        <v>12</v>
      </c>
      <c r="E206" s="8" t="n">
        <v>44439</v>
      </c>
      <c r="F206" s="2" t="s">
        <v>19</v>
      </c>
      <c r="G206" s="7" t="str">
        <f aca="false">HYPERLINK("https://mncourtfraud.com/file/MCRO_27-CR-19-5875_Findings and Order_2021-08-31_20251126175446.pdf","MCRO_27-CR-19-5875_Findings and Order_2021-08-31_20251126175446.pdf")</f>
        <v>MCRO_27-CR-19-5875_Findings and Order_2021-08-31_20251126175446.pdf</v>
      </c>
      <c r="H206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206" s="1" t="s">
        <v>3413</v>
      </c>
      <c r="J206" s="2" t="s">
        <v>3414</v>
      </c>
      <c r="K206" s="2" t="s">
        <v>3414</v>
      </c>
      <c r="L206" s="2" t="s">
        <v>3415</v>
      </c>
      <c r="M206" s="2" t="n">
        <v>65384</v>
      </c>
    </row>
    <row r="207" customFormat="false" ht="18.7" hidden="false" customHeight="true" outlineLevel="0" collapsed="false">
      <c r="A207" s="1" t="n">
        <v>206</v>
      </c>
      <c r="B207" s="7" t="str">
        <f aca="false">HYPERLINK("https://mncourtfraud.com/file/27-CR-19-5875.pdf","27-CR-19-5875")</f>
        <v>27-CR-19-5875</v>
      </c>
      <c r="C207" s="1" t="n">
        <v>1</v>
      </c>
      <c r="D207" s="2" t="s">
        <v>12</v>
      </c>
      <c r="E207" s="8" t="n">
        <v>44439</v>
      </c>
      <c r="F207" s="2" t="s">
        <v>19</v>
      </c>
      <c r="G207" s="7" t="str">
        <f aca="false">HYPERLINK("https://mncourtfraud.com/file/MCRO_27-CR-19-5875_Findings and Order_2021-08-31_20251126175446.pdf","MCRO_27-CR-19-5875_Findings and Order_2021-08-31_20251126175446.pdf")</f>
        <v>MCRO_27-CR-19-5875_Findings and Order_2021-08-31_20251126175446.pdf</v>
      </c>
      <c r="H207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207" s="1" t="s">
        <v>3428</v>
      </c>
      <c r="J207" s="2" t="s">
        <v>3429</v>
      </c>
      <c r="K207" s="2" t="s">
        <v>3429</v>
      </c>
      <c r="L207" s="2" t="s">
        <v>3415</v>
      </c>
      <c r="M207" s="2" t="n">
        <v>86093</v>
      </c>
    </row>
    <row r="208" customFormat="false" ht="18.7" hidden="false" customHeight="true" outlineLevel="0" collapsed="false">
      <c r="A208" s="1" t="n">
        <v>207</v>
      </c>
      <c r="B208" s="7" t="str">
        <f aca="false">HYPERLINK("https://mncourtfraud.com/file/27-CR-19-5875.pdf","27-CR-19-5875")</f>
        <v>27-CR-19-5875</v>
      </c>
      <c r="C208" s="1" t="n">
        <v>1</v>
      </c>
      <c r="D208" s="2" t="s">
        <v>12</v>
      </c>
      <c r="E208" s="8" t="n">
        <v>44439</v>
      </c>
      <c r="F208" s="2" t="s">
        <v>19</v>
      </c>
      <c r="G208" s="7" t="str">
        <f aca="false">HYPERLINK("https://mncourtfraud.com/file/MCRO_27-CR-19-5875_Findings and Order_2021-08-31_20251126175446.pdf","MCRO_27-CR-19-5875_Findings and Order_2021-08-31_20251126175446.pdf")</f>
        <v>MCRO_27-CR-19-5875_Findings and Order_2021-08-31_20251126175446.pdf</v>
      </c>
      <c r="H208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208" s="1" t="s">
        <v>3406</v>
      </c>
      <c r="K208" s="2" t="s">
        <v>3430</v>
      </c>
      <c r="L208" s="2" t="s">
        <v>3408</v>
      </c>
      <c r="M208" s="2" t="n">
        <v>28069</v>
      </c>
      <c r="O208" s="2" t="s">
        <v>3409</v>
      </c>
      <c r="P208" s="2" t="s">
        <v>3410</v>
      </c>
      <c r="S208" s="2" t="n">
        <v>448</v>
      </c>
      <c r="T208" s="2" t="n">
        <v>128</v>
      </c>
    </row>
    <row r="209" customFormat="false" ht="18.7" hidden="false" customHeight="true" outlineLevel="0" collapsed="false">
      <c r="A209" s="1" t="n">
        <v>208</v>
      </c>
      <c r="B209" s="7" t="str">
        <f aca="false">HYPERLINK("https://mncourtfraud.com/file/27-CR-19-5875.pdf","27-CR-19-5875")</f>
        <v>27-CR-19-5875</v>
      </c>
      <c r="C209" s="1" t="n">
        <v>1</v>
      </c>
      <c r="D209" s="2" t="s">
        <v>12</v>
      </c>
      <c r="E209" s="8" t="n">
        <v>44439</v>
      </c>
      <c r="F209" s="2" t="s">
        <v>19</v>
      </c>
      <c r="G209" s="7" t="str">
        <f aca="false">HYPERLINK("https://mncourtfraud.com/file/MCRO_27-CR-19-5875_Findings and Order_2021-08-31_20251126175446.pdf","MCRO_27-CR-19-5875_Findings and Order_2021-08-31_20251126175446.pdf")</f>
        <v>MCRO_27-CR-19-5875_Findings and Order_2021-08-31_20251126175446.pdf</v>
      </c>
      <c r="H209" s="7" t="str">
        <f aca="false">HYPERLINK("https://mncourtfraud.com/file/d85226137c53579f37f2c87321a4ff209a309a82330591d9457774d7d697befc.ttf","d85226137c53579f37f2c87321a4ff209a309a82330591d9457774d7d697befc")</f>
        <v>d85226137c53579f37f2c87321a4ff209a309a82330591d9457774d7d697befc</v>
      </c>
      <c r="I209" s="1" t="s">
        <v>3413</v>
      </c>
      <c r="J209" s="2" t="s">
        <v>3414</v>
      </c>
      <c r="K209" s="2" t="s">
        <v>3416</v>
      </c>
      <c r="L209" s="2" t="s">
        <v>3415</v>
      </c>
      <c r="M209" s="2" t="n">
        <v>49992</v>
      </c>
    </row>
    <row r="210" customFormat="false" ht="18.7" hidden="false" customHeight="true" outlineLevel="0" collapsed="false">
      <c r="A210" s="1" t="n">
        <v>209</v>
      </c>
      <c r="B210" s="7" t="str">
        <f aca="false">HYPERLINK("https://mncourtfraud.com/file/27-CR-19-5875.pdf","27-CR-19-5875")</f>
        <v>27-CR-19-5875</v>
      </c>
      <c r="C210" s="1" t="n">
        <v>1</v>
      </c>
      <c r="D210" s="2" t="s">
        <v>12</v>
      </c>
      <c r="E210" s="8" t="n">
        <v>44460</v>
      </c>
      <c r="F210" s="2" t="s">
        <v>24</v>
      </c>
      <c r="G210" s="7" t="str">
        <f aca="false">HYPERLINK("https://mncourtfraud.com/file/MCRO_27-CR-19-5875_Order for Conditional Release_2021-09-21_20251126175513.pdf","MCRO_27-CR-19-5875_Order for Conditional Release_2021-09-21_20251126175513.pdf")</f>
        <v>MCRO_27-CR-19-5875_Order for Conditional Release_2021-09-21_20251126175513.pdf</v>
      </c>
      <c r="H210" s="7" t="str">
        <f aca="false">HYPERLINK("https://mncourtfraud.com/file/02dfb6e08fd11b3563d1b9b621b56dbf2dc11acbd85e42bfd83f728fb300bef2.ttf","02dfb6e08fd11b3563d1b9b621b56dbf2dc11acbd85e42bfd83f728fb300bef2")</f>
        <v>02dfb6e08fd11b3563d1b9b621b56dbf2dc11acbd85e42bfd83f728fb300bef2</v>
      </c>
      <c r="I210" s="1" t="s">
        <v>3413</v>
      </c>
      <c r="L210" s="2" t="s">
        <v>3415</v>
      </c>
      <c r="M210" s="2" t="n">
        <v>333576</v>
      </c>
    </row>
    <row r="211" customFormat="false" ht="18.7" hidden="false" customHeight="true" outlineLevel="0" collapsed="false">
      <c r="A211" s="1" t="n">
        <v>210</v>
      </c>
      <c r="B211" s="7" t="str">
        <f aca="false">HYPERLINK("https://mncourtfraud.com/file/27-CR-19-5875.pdf","27-CR-19-5875")</f>
        <v>27-CR-19-5875</v>
      </c>
      <c r="C211" s="1" t="n">
        <v>1</v>
      </c>
      <c r="D211" s="2" t="s">
        <v>12</v>
      </c>
      <c r="E211" s="8" t="n">
        <v>44460</v>
      </c>
      <c r="F211" s="2" t="s">
        <v>24</v>
      </c>
      <c r="G211" s="7" t="str">
        <f aca="false">HYPERLINK("https://mncourtfraud.com/file/MCRO_27-CR-19-5875_Order for Conditional Release_2021-09-21_20251126175513.pdf","MCRO_27-CR-19-5875_Order for Conditional Release_2021-09-21_20251126175513.pdf")</f>
        <v>MCRO_27-CR-19-5875_Order for Conditional Release_2021-09-21_20251126175513.pdf</v>
      </c>
      <c r="H211" s="7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211" s="1" t="s">
        <v>3406</v>
      </c>
      <c r="L211" s="2" t="s">
        <v>3412</v>
      </c>
      <c r="M211" s="2" t="n">
        <v>152962</v>
      </c>
      <c r="S211" s="2" t="n">
        <v>2560</v>
      </c>
      <c r="T211" s="2" t="n">
        <v>3300</v>
      </c>
    </row>
    <row r="212" customFormat="false" ht="18.7" hidden="false" customHeight="true" outlineLevel="0" collapsed="false">
      <c r="A212" s="1" t="n">
        <v>211</v>
      </c>
      <c r="B212" s="7" t="str">
        <f aca="false">HYPERLINK("https://mncourtfraud.com/file/27-CR-19-5875.pdf","27-CR-19-5875")</f>
        <v>27-CR-19-5875</v>
      </c>
      <c r="C212" s="1" t="n">
        <v>1</v>
      </c>
      <c r="D212" s="2" t="s">
        <v>12</v>
      </c>
      <c r="E212" s="8" t="n">
        <v>44468</v>
      </c>
      <c r="F212" s="2" t="s">
        <v>24</v>
      </c>
      <c r="G212" s="7" t="str">
        <f aca="false">HYPERLINK("https://mncourtfraud.com/file/MCRO_27-CR-19-5875_Order for Conditional Release_2021-09-29_20251126175502.pdf","MCRO_27-CR-19-5875_Order for Conditional Release_2021-09-29_20251126175502.pdf")</f>
        <v>MCRO_27-CR-19-5875_Order for Conditional Release_2021-09-29_20251126175502.pdf</v>
      </c>
      <c r="H212" s="7" t="str">
        <f aca="false">HYPERLINK("https://mncourtfraud.com/file/29d541cb6920f2a0815a72232c8164e19ffda7ff89f025261d343aef97d55c23.png","29d541cb6920f2a0815a72232c8164e19ffda7ff89f025261d343aef97d55c23")</f>
        <v>29d541cb6920f2a0815a72232c8164e19ffda7ff89f025261d343aef97d55c23</v>
      </c>
      <c r="I212" s="1" t="s">
        <v>3406</v>
      </c>
      <c r="L212" s="2" t="s">
        <v>3412</v>
      </c>
      <c r="M212" s="2" t="n">
        <v>104</v>
      </c>
      <c r="S212" s="2" t="n">
        <v>5</v>
      </c>
      <c r="T212" s="2" t="n">
        <v>75</v>
      </c>
    </row>
    <row r="213" customFormat="false" ht="18.7" hidden="false" customHeight="true" outlineLevel="0" collapsed="false">
      <c r="A213" s="1" t="n">
        <v>212</v>
      </c>
      <c r="B213" s="7" t="str">
        <f aca="false">HYPERLINK("https://mncourtfraud.com/file/27-CR-19-5875.pdf","27-CR-19-5875")</f>
        <v>27-CR-19-5875</v>
      </c>
      <c r="C213" s="1" t="n">
        <v>1</v>
      </c>
      <c r="D213" s="2" t="s">
        <v>12</v>
      </c>
      <c r="E213" s="8" t="n">
        <v>44468</v>
      </c>
      <c r="F213" s="2" t="s">
        <v>24</v>
      </c>
      <c r="G213" s="7" t="str">
        <f aca="false">HYPERLINK("https://mncourtfraud.com/file/MCRO_27-CR-19-5875_Order for Conditional Release_2021-09-29_20251126175502.pdf","MCRO_27-CR-19-5875_Order for Conditional Release_2021-09-29_20251126175502.pdf")</f>
        <v>MCRO_27-CR-19-5875_Order for Conditional Release_2021-09-29_20251126175502.pdf</v>
      </c>
      <c r="H213" s="7" t="str">
        <f aca="false">HYPERLINK("https://mncourtfraud.com/file/3d978c70f8a4a91fd25d0f653c2931516767fdd837fcadff75a8c3cd2ba3a28e.png","3d978c70f8a4a91fd25d0f653c2931516767fdd837fcadff75a8c3cd2ba3a28e")</f>
        <v>3d978c70f8a4a91fd25d0f653c2931516767fdd837fcadff75a8c3cd2ba3a28e</v>
      </c>
      <c r="I213" s="1" t="s">
        <v>3406</v>
      </c>
      <c r="L213" s="2" t="s">
        <v>3412</v>
      </c>
      <c r="M213" s="2" t="n">
        <v>2435</v>
      </c>
      <c r="S213" s="2" t="n">
        <v>1069</v>
      </c>
      <c r="T213" s="2" t="n">
        <v>679</v>
      </c>
    </row>
    <row r="214" customFormat="false" ht="18.7" hidden="false" customHeight="true" outlineLevel="0" collapsed="false">
      <c r="A214" s="1" t="n">
        <v>213</v>
      </c>
      <c r="B214" s="7" t="str">
        <f aca="false">HYPERLINK("https://mncourtfraud.com/file/27-CR-19-5875.pdf","27-CR-19-5875")</f>
        <v>27-CR-19-5875</v>
      </c>
      <c r="C214" s="1" t="n">
        <v>1</v>
      </c>
      <c r="D214" s="2" t="s">
        <v>12</v>
      </c>
      <c r="E214" s="8" t="n">
        <v>44468</v>
      </c>
      <c r="F214" s="2" t="s">
        <v>24</v>
      </c>
      <c r="G214" s="7" t="str">
        <f aca="false">HYPERLINK("https://mncourtfraud.com/file/MCRO_27-CR-19-5875_Order for Conditional Release_2021-09-29_20251126175502.pdf","MCRO_27-CR-19-5875_Order for Conditional Release_2021-09-29_20251126175502.pdf")</f>
        <v>MCRO_27-CR-19-5875_Order for Conditional Release_2021-09-29_20251126175502.pdf</v>
      </c>
      <c r="H214" s="7" t="str">
        <f aca="false">HYPERLINK("https://mncourtfraud.com/file/3f202249d41f264cabf7a4fd2c634829df7886c25cb759658f06c1a8bca28360.cid","3f202249d41f264cabf7a4fd2c634829df7886c25cb759658f06c1a8bca28360")</f>
        <v>3f202249d41f264cabf7a4fd2c634829df7886c25cb759658f06c1a8bca28360</v>
      </c>
      <c r="I214" s="1" t="s">
        <v>3431</v>
      </c>
      <c r="L214" s="2" t="s">
        <v>3415</v>
      </c>
      <c r="M214" s="2" t="n">
        <v>1397</v>
      </c>
    </row>
    <row r="215" customFormat="false" ht="18.7" hidden="false" customHeight="true" outlineLevel="0" collapsed="false">
      <c r="A215" s="1" t="n">
        <v>214</v>
      </c>
      <c r="B215" s="7" t="str">
        <f aca="false">HYPERLINK("https://mncourtfraud.com/file/27-CR-19-5875.pdf","27-CR-19-5875")</f>
        <v>27-CR-19-5875</v>
      </c>
      <c r="C215" s="1" t="n">
        <v>1</v>
      </c>
      <c r="D215" s="2" t="s">
        <v>12</v>
      </c>
      <c r="E215" s="8" t="n">
        <v>44468</v>
      </c>
      <c r="F215" s="2" t="s">
        <v>24</v>
      </c>
      <c r="G215" s="7" t="str">
        <f aca="false">HYPERLINK("https://mncourtfraud.com/file/MCRO_27-CR-19-5875_Order for Conditional Release_2021-09-29_20251126175502.pdf","MCRO_27-CR-19-5875_Order for Conditional Release_2021-09-29_20251126175502.pdf")</f>
        <v>MCRO_27-CR-19-5875_Order for Conditional Release_2021-09-29_20251126175502.pdf</v>
      </c>
      <c r="H215" s="7" t="str">
        <f aca="false">HYPERLINK("https://mncourtfraud.com/file/425a64ecdc19aa0c86b927b2be8980d179c92ac4af2a49d3c3ad0aa278728c52.png","425a64ecdc19aa0c86b927b2be8980d179c92ac4af2a49d3c3ad0aa278728c52")</f>
        <v>425a64ecdc19aa0c86b927b2be8980d179c92ac4af2a49d3c3ad0aa278728c52</v>
      </c>
      <c r="I215" s="1" t="s">
        <v>3406</v>
      </c>
      <c r="L215" s="2" t="s">
        <v>3412</v>
      </c>
      <c r="M215" s="2" t="n">
        <v>520</v>
      </c>
      <c r="S215" s="2" t="n">
        <v>126</v>
      </c>
      <c r="T215" s="2" t="n">
        <v>150</v>
      </c>
    </row>
    <row r="216" customFormat="false" ht="18.7" hidden="false" customHeight="true" outlineLevel="0" collapsed="false">
      <c r="A216" s="1" t="n">
        <v>215</v>
      </c>
      <c r="B216" s="7" t="str">
        <f aca="false">HYPERLINK("https://mncourtfraud.com/file/27-CR-19-5875.pdf","27-CR-19-5875")</f>
        <v>27-CR-19-5875</v>
      </c>
      <c r="C216" s="1" t="n">
        <v>1</v>
      </c>
      <c r="D216" s="2" t="s">
        <v>12</v>
      </c>
      <c r="E216" s="8" t="n">
        <v>44468</v>
      </c>
      <c r="F216" s="2" t="s">
        <v>24</v>
      </c>
      <c r="G216" s="7" t="str">
        <f aca="false">HYPERLINK("https://mncourtfraud.com/file/MCRO_27-CR-19-5875_Order for Conditional Release_2021-09-29_20251126175502.pdf","MCRO_27-CR-19-5875_Order for Conditional Release_2021-09-29_20251126175502.pdf")</f>
        <v>MCRO_27-CR-19-5875_Order for Conditional Release_2021-09-29_20251126175502.pdf</v>
      </c>
      <c r="H216" s="7" t="str">
        <f aca="false">HYPERLINK("https://mncourtfraud.com/file/4458a2b033c8132fd890227750c1df180ec4563b9dc0a6394b3691240425c9b3.cid","4458a2b033c8132fd890227750c1df180ec4563b9dc0a6394b3691240425c9b3")</f>
        <v>4458a2b033c8132fd890227750c1df180ec4563b9dc0a6394b3691240425c9b3</v>
      </c>
      <c r="I216" s="1" t="s">
        <v>3431</v>
      </c>
      <c r="L216" s="2" t="s">
        <v>3415</v>
      </c>
      <c r="M216" s="2" t="n">
        <v>3580</v>
      </c>
    </row>
    <row r="217" customFormat="false" ht="18.7" hidden="false" customHeight="true" outlineLevel="0" collapsed="false">
      <c r="A217" s="1" t="n">
        <v>216</v>
      </c>
      <c r="B217" s="7" t="str">
        <f aca="false">HYPERLINK("https://mncourtfraud.com/file/27-CR-19-5875.pdf","27-CR-19-5875")</f>
        <v>27-CR-19-5875</v>
      </c>
      <c r="C217" s="1" t="n">
        <v>1</v>
      </c>
      <c r="D217" s="2" t="s">
        <v>12</v>
      </c>
      <c r="E217" s="8" t="n">
        <v>44468</v>
      </c>
      <c r="F217" s="2" t="s">
        <v>24</v>
      </c>
      <c r="G217" s="7" t="str">
        <f aca="false">HYPERLINK("https://mncourtfraud.com/file/MCRO_27-CR-19-5875_Order for Conditional Release_2021-09-29_20251126175502.pdf","MCRO_27-CR-19-5875_Order for Conditional Release_2021-09-29_20251126175502.pdf")</f>
        <v>MCRO_27-CR-19-5875_Order for Conditional Release_2021-09-29_20251126175502.pdf</v>
      </c>
      <c r="H217" s="7" t="str">
        <f aca="false">HYPERLINK("https://mncourtfraud.com/file/45a9f49ddf96d4a4dcf4561d2702204f448986045babf3fdd52fa18200557e31.png","45a9f49ddf96d4a4dcf4561d2702204f448986045babf3fdd52fa18200557e31")</f>
        <v>45a9f49ddf96d4a4dcf4561d2702204f448986045babf3fdd52fa18200557e31</v>
      </c>
      <c r="I217" s="1" t="s">
        <v>3406</v>
      </c>
      <c r="L217" s="2" t="s">
        <v>3412</v>
      </c>
      <c r="M217" s="2" t="n">
        <v>97</v>
      </c>
      <c r="S217" s="2" t="n">
        <v>3</v>
      </c>
      <c r="T217" s="2" t="n">
        <v>4</v>
      </c>
    </row>
    <row r="218" customFormat="false" ht="18.7" hidden="false" customHeight="true" outlineLevel="0" collapsed="false">
      <c r="A218" s="1" t="n">
        <v>217</v>
      </c>
      <c r="B218" s="7" t="str">
        <f aca="false">HYPERLINK("https://mncourtfraud.com/file/27-CR-19-5875.pdf","27-CR-19-5875")</f>
        <v>27-CR-19-5875</v>
      </c>
      <c r="C218" s="1" t="n">
        <v>1</v>
      </c>
      <c r="D218" s="2" t="s">
        <v>12</v>
      </c>
      <c r="E218" s="8" t="n">
        <v>44468</v>
      </c>
      <c r="F218" s="2" t="s">
        <v>24</v>
      </c>
      <c r="G218" s="7" t="str">
        <f aca="false">HYPERLINK("https://mncourtfraud.com/file/MCRO_27-CR-19-5875_Order for Conditional Release_2021-09-29_20251126175502.pdf","MCRO_27-CR-19-5875_Order for Conditional Release_2021-09-29_20251126175502.pdf")</f>
        <v>MCRO_27-CR-19-5875_Order for Conditional Release_2021-09-29_20251126175502.pdf</v>
      </c>
      <c r="H218" s="7" t="str">
        <f aca="false">HYPERLINK("https://mncourtfraud.com/file/50457dc3e0bb6204f128f3222c76884dffaf132a86395902e3967a44a5d511ed.cid","50457dc3e0bb6204f128f3222c76884dffaf132a86395902e3967a44a5d511ed")</f>
        <v>50457dc3e0bb6204f128f3222c76884dffaf132a86395902e3967a44a5d511ed</v>
      </c>
      <c r="I218" s="1" t="s">
        <v>3431</v>
      </c>
      <c r="L218" s="2" t="s">
        <v>3415</v>
      </c>
      <c r="M218" s="2" t="n">
        <v>2839</v>
      </c>
    </row>
    <row r="219" customFormat="false" ht="18.7" hidden="false" customHeight="true" outlineLevel="0" collapsed="false">
      <c r="A219" s="1" t="n">
        <v>218</v>
      </c>
      <c r="B219" s="7" t="str">
        <f aca="false">HYPERLINK("https://mncourtfraud.com/file/27-CR-19-5875.pdf","27-CR-19-5875")</f>
        <v>27-CR-19-5875</v>
      </c>
      <c r="C219" s="1" t="n">
        <v>1</v>
      </c>
      <c r="D219" s="2" t="s">
        <v>12</v>
      </c>
      <c r="E219" s="8" t="n">
        <v>44468</v>
      </c>
      <c r="F219" s="2" t="s">
        <v>24</v>
      </c>
      <c r="G219" s="7" t="str">
        <f aca="false">HYPERLINK("https://mncourtfraud.com/file/MCRO_27-CR-19-5875_Order for Conditional Release_2021-09-29_20251126175502.pdf","MCRO_27-CR-19-5875_Order for Conditional Release_2021-09-29_20251126175502.pdf")</f>
        <v>MCRO_27-CR-19-5875_Order for Conditional Release_2021-09-29_20251126175502.pdf</v>
      </c>
      <c r="H219" s="7" t="str">
        <f aca="false">HYPERLINK("https://mncourtfraud.com/file/52f2827f81e9a21813e5089396a7afa6accf4023998e877d3b9460283e0bb9a5.cid","52f2827f81e9a21813e5089396a7afa6accf4023998e877d3b9460283e0bb9a5")</f>
        <v>52f2827f81e9a21813e5089396a7afa6accf4023998e877d3b9460283e0bb9a5</v>
      </c>
      <c r="I219" s="1" t="s">
        <v>3431</v>
      </c>
      <c r="L219" s="2" t="s">
        <v>3415</v>
      </c>
      <c r="M219" s="2" t="n">
        <v>381</v>
      </c>
    </row>
    <row r="220" customFormat="false" ht="18.7" hidden="false" customHeight="true" outlineLevel="0" collapsed="false">
      <c r="A220" s="1" t="n">
        <v>219</v>
      </c>
      <c r="B220" s="7" t="str">
        <f aca="false">HYPERLINK("https://mncourtfraud.com/file/27-CR-19-5875.pdf","27-CR-19-5875")</f>
        <v>27-CR-19-5875</v>
      </c>
      <c r="C220" s="1" t="n">
        <v>1</v>
      </c>
      <c r="D220" s="2" t="s">
        <v>12</v>
      </c>
      <c r="E220" s="8" t="n">
        <v>44468</v>
      </c>
      <c r="F220" s="2" t="s">
        <v>24</v>
      </c>
      <c r="G220" s="7" t="str">
        <f aca="false">HYPERLINK("https://mncourtfraud.com/file/MCRO_27-CR-19-5875_Order for Conditional Release_2021-09-29_20251126175502.pdf","MCRO_27-CR-19-5875_Order for Conditional Release_2021-09-29_20251126175502.pdf")</f>
        <v>MCRO_27-CR-19-5875_Order for Conditional Release_2021-09-29_20251126175502.pdf</v>
      </c>
      <c r="H220" s="7" t="str">
        <f aca="false">HYPERLINK("https://mncourtfraud.com/file/5bf127b8427f0831bc8864aa549643604be6b63d8ca96ff1ba7182ccec9bc2ad.cid","5bf127b8427f0831bc8864aa549643604be6b63d8ca96ff1ba7182ccec9bc2ad")</f>
        <v>5bf127b8427f0831bc8864aa549643604be6b63d8ca96ff1ba7182ccec9bc2ad</v>
      </c>
      <c r="I220" s="1" t="s">
        <v>3431</v>
      </c>
      <c r="L220" s="2" t="s">
        <v>3415</v>
      </c>
      <c r="M220" s="2" t="n">
        <v>7990</v>
      </c>
    </row>
    <row r="221" customFormat="false" ht="18.7" hidden="false" customHeight="true" outlineLevel="0" collapsed="false">
      <c r="A221" s="1" t="n">
        <v>220</v>
      </c>
      <c r="B221" s="7" t="str">
        <f aca="false">HYPERLINK("https://mncourtfraud.com/file/27-CR-19-5875.pdf","27-CR-19-5875")</f>
        <v>27-CR-19-5875</v>
      </c>
      <c r="C221" s="1" t="n">
        <v>1</v>
      </c>
      <c r="D221" s="2" t="s">
        <v>12</v>
      </c>
      <c r="E221" s="8" t="n">
        <v>44468</v>
      </c>
      <c r="F221" s="2" t="s">
        <v>24</v>
      </c>
      <c r="G221" s="7" t="str">
        <f aca="false">HYPERLINK("https://mncourtfraud.com/file/MCRO_27-CR-19-5875_Order for Conditional Release_2021-09-29_20251126175502.pdf","MCRO_27-CR-19-5875_Order for Conditional Release_2021-09-29_20251126175502.pdf")</f>
        <v>MCRO_27-CR-19-5875_Order for Conditional Release_2021-09-29_20251126175502.pdf</v>
      </c>
      <c r="H221" s="7" t="str">
        <f aca="false">HYPERLINK("https://mncourtfraud.com/file/614121b29b009262816a5b70532c1a04ec73c5d83786c4500719e9e7d614a562.cid","614121b29b009262816a5b70532c1a04ec73c5d83786c4500719e9e7d614a562")</f>
        <v>614121b29b009262816a5b70532c1a04ec73c5d83786c4500719e9e7d614a562</v>
      </c>
      <c r="I221" s="1" t="s">
        <v>3431</v>
      </c>
      <c r="L221" s="2" t="s">
        <v>3415</v>
      </c>
      <c r="M221" s="2" t="n">
        <v>5970</v>
      </c>
    </row>
    <row r="222" customFormat="false" ht="18.7" hidden="false" customHeight="true" outlineLevel="0" collapsed="false">
      <c r="A222" s="1" t="n">
        <v>221</v>
      </c>
      <c r="B222" s="7" t="str">
        <f aca="false">HYPERLINK("https://mncourtfraud.com/file/27-CR-19-5875.pdf","27-CR-19-5875")</f>
        <v>27-CR-19-5875</v>
      </c>
      <c r="C222" s="1" t="n">
        <v>1</v>
      </c>
      <c r="D222" s="2" t="s">
        <v>12</v>
      </c>
      <c r="E222" s="8" t="n">
        <v>44468</v>
      </c>
      <c r="F222" s="2" t="s">
        <v>24</v>
      </c>
      <c r="G222" s="7" t="str">
        <f aca="false">HYPERLINK("https://mncourtfraud.com/file/MCRO_27-CR-19-5875_Order for Conditional Release_2021-09-29_20251126175502.pdf","MCRO_27-CR-19-5875_Order for Conditional Release_2021-09-29_20251126175502.pdf")</f>
        <v>MCRO_27-CR-19-5875_Order for Conditional Release_2021-09-29_20251126175502.pdf</v>
      </c>
      <c r="H222" s="7" t="str">
        <f aca="false">HYPERLINK("https://mncourtfraud.com/file/7e14169e8fd6eddddd43bc2fc14557202f527587078dd29e867ad63570714e07.png","7e14169e8fd6eddddd43bc2fc14557202f527587078dd29e867ad63570714e07")</f>
        <v>7e14169e8fd6eddddd43bc2fc14557202f527587078dd29e867ad63570714e07</v>
      </c>
      <c r="I222" s="1" t="s">
        <v>3406</v>
      </c>
      <c r="L222" s="2" t="s">
        <v>3412</v>
      </c>
      <c r="M222" s="2" t="n">
        <v>100</v>
      </c>
      <c r="S222" s="2" t="n">
        <v>5</v>
      </c>
      <c r="T222" s="2" t="n">
        <v>5</v>
      </c>
    </row>
    <row r="223" customFormat="false" ht="18.7" hidden="false" customHeight="true" outlineLevel="0" collapsed="false">
      <c r="A223" s="1" t="n">
        <v>222</v>
      </c>
      <c r="B223" s="7" t="str">
        <f aca="false">HYPERLINK("https://mncourtfraud.com/file/27-CR-19-5875.pdf","27-CR-19-5875")</f>
        <v>27-CR-19-5875</v>
      </c>
      <c r="C223" s="1" t="n">
        <v>1</v>
      </c>
      <c r="D223" s="2" t="s">
        <v>12</v>
      </c>
      <c r="E223" s="8" t="n">
        <v>44468</v>
      </c>
      <c r="F223" s="2" t="s">
        <v>24</v>
      </c>
      <c r="G223" s="7" t="str">
        <f aca="false">HYPERLINK("https://mncourtfraud.com/file/MCRO_27-CR-19-5875_Order for Conditional Release_2021-09-29_20251126175502.pdf","MCRO_27-CR-19-5875_Order for Conditional Release_2021-09-29_20251126175502.pdf")</f>
        <v>MCRO_27-CR-19-5875_Order for Conditional Release_2021-09-29_20251126175502.pdf</v>
      </c>
      <c r="H223" s="7" t="str">
        <f aca="false">HYPERLINK("https://mncourtfraud.com/file/8198df5372238cac138bb64883627cf42bfc08ac483ff14b35858ae098fa3e09.cid","8198df5372238cac138bb64883627cf42bfc08ac483ff14b35858ae098fa3e09")</f>
        <v>8198df5372238cac138bb64883627cf42bfc08ac483ff14b35858ae098fa3e09</v>
      </c>
      <c r="I223" s="1" t="s">
        <v>3431</v>
      </c>
      <c r="L223" s="2" t="s">
        <v>3415</v>
      </c>
      <c r="M223" s="2" t="n">
        <v>3966</v>
      </c>
    </row>
    <row r="224" customFormat="false" ht="18.7" hidden="false" customHeight="true" outlineLevel="0" collapsed="false">
      <c r="A224" s="1" t="n">
        <v>223</v>
      </c>
      <c r="B224" s="7" t="str">
        <f aca="false">HYPERLINK("https://mncourtfraud.com/file/27-CR-19-5875.pdf","27-CR-19-5875")</f>
        <v>27-CR-19-5875</v>
      </c>
      <c r="C224" s="1" t="n">
        <v>1</v>
      </c>
      <c r="D224" s="2" t="s">
        <v>12</v>
      </c>
      <c r="E224" s="8" t="n">
        <v>44468</v>
      </c>
      <c r="F224" s="2" t="s">
        <v>24</v>
      </c>
      <c r="G224" s="7" t="str">
        <f aca="false">HYPERLINK("https://mncourtfraud.com/file/MCRO_27-CR-19-5875_Order for Conditional Release_2021-09-29_20251126175502.pdf","MCRO_27-CR-19-5875_Order for Conditional Release_2021-09-29_20251126175502.pdf")</f>
        <v>MCRO_27-CR-19-5875_Order for Conditional Release_2021-09-29_20251126175502.pdf</v>
      </c>
      <c r="H224" s="7" t="str">
        <f aca="false">HYPERLINK("https://mncourtfraud.com/file/8793bfb8eeebb59de729b22461b75a010eda532097214bf8285117449fae5b3c.png","8793bfb8eeebb59de729b22461b75a010eda532097214bf8285117449fae5b3c")</f>
        <v>8793bfb8eeebb59de729b22461b75a010eda532097214bf8285117449fae5b3c</v>
      </c>
      <c r="I224" s="1" t="s">
        <v>3406</v>
      </c>
      <c r="L224" s="2" t="s">
        <v>3412</v>
      </c>
      <c r="M224" s="2" t="n">
        <v>104</v>
      </c>
      <c r="S224" s="2" t="n">
        <v>6</v>
      </c>
      <c r="T224" s="2" t="n">
        <v>4</v>
      </c>
    </row>
    <row r="225" customFormat="false" ht="18.7" hidden="false" customHeight="true" outlineLevel="0" collapsed="false">
      <c r="A225" s="1" t="n">
        <v>224</v>
      </c>
      <c r="B225" s="7" t="str">
        <f aca="false">HYPERLINK("https://mncourtfraud.com/file/27-CR-19-5875.pdf","27-CR-19-5875")</f>
        <v>27-CR-19-5875</v>
      </c>
      <c r="C225" s="1" t="n">
        <v>1</v>
      </c>
      <c r="D225" s="2" t="s">
        <v>12</v>
      </c>
      <c r="E225" s="8" t="n">
        <v>44468</v>
      </c>
      <c r="F225" s="2" t="s">
        <v>24</v>
      </c>
      <c r="G225" s="7" t="str">
        <f aca="false">HYPERLINK("https://mncourtfraud.com/file/MCRO_27-CR-19-5875_Order for Conditional Release_2021-09-29_20251126175502.pdf","MCRO_27-CR-19-5875_Order for Conditional Release_2021-09-29_20251126175502.pdf")</f>
        <v>MCRO_27-CR-19-5875_Order for Conditional Release_2021-09-29_20251126175502.pdf</v>
      </c>
      <c r="H225" s="7" t="str">
        <f aca="false">HYPERLINK("https://mncourtfraud.com/file/8c2e00c7a4e8974eff73eba397a59d5f5f25d249433535298973d70a9f79dec8.png","8c2e00c7a4e8974eff73eba397a59d5f5f25d249433535298973d70a9f79dec8")</f>
        <v>8c2e00c7a4e8974eff73eba397a59d5f5f25d249433535298973d70a9f79dec8</v>
      </c>
      <c r="I225" s="1" t="s">
        <v>3406</v>
      </c>
      <c r="L225" s="2" t="s">
        <v>3412</v>
      </c>
      <c r="M225" s="2" t="n">
        <v>810</v>
      </c>
      <c r="S225" s="2" t="n">
        <v>519</v>
      </c>
      <c r="T225" s="2" t="n">
        <v>231</v>
      </c>
    </row>
    <row r="226" customFormat="false" ht="18.7" hidden="false" customHeight="true" outlineLevel="0" collapsed="false">
      <c r="A226" s="1" t="n">
        <v>225</v>
      </c>
      <c r="B226" s="7" t="str">
        <f aca="false">HYPERLINK("https://mncourtfraud.com/file/27-CR-19-5875.pdf","27-CR-19-5875")</f>
        <v>27-CR-19-5875</v>
      </c>
      <c r="C226" s="1" t="n">
        <v>1</v>
      </c>
      <c r="D226" s="2" t="s">
        <v>12</v>
      </c>
      <c r="E226" s="8" t="n">
        <v>44468</v>
      </c>
      <c r="F226" s="2" t="s">
        <v>24</v>
      </c>
      <c r="G226" s="7" t="str">
        <f aca="false">HYPERLINK("https://mncourtfraud.com/file/MCRO_27-CR-19-5875_Order for Conditional Release_2021-09-29_20251126175502.pdf","MCRO_27-CR-19-5875_Order for Conditional Release_2021-09-29_20251126175502.pdf")</f>
        <v>MCRO_27-CR-19-5875_Order for Conditional Release_2021-09-29_20251126175502.pdf</v>
      </c>
      <c r="H226" s="7" t="str">
        <f aca="false">HYPERLINK("https://mncourtfraud.com/file/a431b1b5f48186b4c98851d84352c1573e22c0e9b97117edbc0ad8603da3c307.png","a431b1b5f48186b4c98851d84352c1573e22c0e9b97117edbc0ad8603da3c307")</f>
        <v>a431b1b5f48186b4c98851d84352c1573e22c0e9b97117edbc0ad8603da3c307</v>
      </c>
      <c r="I226" s="1" t="s">
        <v>3406</v>
      </c>
      <c r="L226" s="2" t="s">
        <v>3412</v>
      </c>
      <c r="M226" s="2" t="n">
        <v>157</v>
      </c>
      <c r="S226" s="2" t="n">
        <v>7</v>
      </c>
      <c r="T226" s="2" t="n">
        <v>284</v>
      </c>
    </row>
    <row r="227" customFormat="false" ht="18.7" hidden="false" customHeight="true" outlineLevel="0" collapsed="false">
      <c r="A227" s="1" t="n">
        <v>226</v>
      </c>
      <c r="B227" s="7" t="str">
        <f aca="false">HYPERLINK("https://mncourtfraud.com/file/27-CR-19-5875.pdf","27-CR-19-5875")</f>
        <v>27-CR-19-5875</v>
      </c>
      <c r="C227" s="1" t="n">
        <v>1</v>
      </c>
      <c r="D227" s="2" t="s">
        <v>12</v>
      </c>
      <c r="E227" s="8" t="n">
        <v>44468</v>
      </c>
      <c r="F227" s="2" t="s">
        <v>24</v>
      </c>
      <c r="G227" s="7" t="str">
        <f aca="false">HYPERLINK("https://mncourtfraud.com/file/MCRO_27-CR-19-5875_Order for Conditional Release_2021-09-29_20251126175502.pdf","MCRO_27-CR-19-5875_Order for Conditional Release_2021-09-29_20251126175502.pdf")</f>
        <v>MCRO_27-CR-19-5875_Order for Conditional Release_2021-09-29_20251126175502.pdf</v>
      </c>
      <c r="H227" s="7" t="str">
        <f aca="false">HYPERLINK("https://mncourtfraud.com/file/ac369f378e3fbed88e7c1c71d7e27d3af59d79c8d2f8338a6182f69d0e17a2ef.cid","ac369f378e3fbed88e7c1c71d7e27d3af59d79c8d2f8338a6182f69d0e17a2ef")</f>
        <v>ac369f378e3fbed88e7c1c71d7e27d3af59d79c8d2f8338a6182f69d0e17a2ef</v>
      </c>
      <c r="I227" s="1" t="s">
        <v>3431</v>
      </c>
      <c r="L227" s="2" t="s">
        <v>3415</v>
      </c>
      <c r="M227" s="2" t="n">
        <v>14113</v>
      </c>
    </row>
    <row r="228" customFormat="false" ht="18.7" hidden="false" customHeight="true" outlineLevel="0" collapsed="false">
      <c r="A228" s="1" t="n">
        <v>227</v>
      </c>
      <c r="B228" s="7" t="str">
        <f aca="false">HYPERLINK("https://mncourtfraud.com/file/27-CR-19-5875.pdf","27-CR-19-5875")</f>
        <v>27-CR-19-5875</v>
      </c>
      <c r="C228" s="1" t="n">
        <v>1</v>
      </c>
      <c r="D228" s="2" t="s">
        <v>12</v>
      </c>
      <c r="E228" s="8" t="n">
        <v>44468</v>
      </c>
      <c r="F228" s="2" t="s">
        <v>24</v>
      </c>
      <c r="G228" s="7" t="str">
        <f aca="false">HYPERLINK("https://mncourtfraud.com/file/MCRO_27-CR-19-5875_Order for Conditional Release_2021-09-29_20251126175502.pdf","MCRO_27-CR-19-5875_Order for Conditional Release_2021-09-29_20251126175502.pdf")</f>
        <v>MCRO_27-CR-19-5875_Order for Conditional Release_2021-09-29_20251126175502.pdf</v>
      </c>
      <c r="H228" s="7" t="str">
        <f aca="false">HYPERLINK("https://mncourtfraud.com/file/b1c38e97038ce898a189d377f1fa9f4b673ae497ef07cd779e6d54764f350895.cid","b1c38e97038ce898a189d377f1fa9f4b673ae497ef07cd779e6d54764f350895")</f>
        <v>b1c38e97038ce898a189d377f1fa9f4b673ae497ef07cd779e6d54764f350895</v>
      </c>
      <c r="I228" s="1" t="s">
        <v>3431</v>
      </c>
      <c r="L228" s="2" t="s">
        <v>3415</v>
      </c>
      <c r="M228" s="2" t="n">
        <v>3783</v>
      </c>
    </row>
    <row r="229" customFormat="false" ht="18.7" hidden="false" customHeight="true" outlineLevel="0" collapsed="false">
      <c r="A229" s="1" t="n">
        <v>228</v>
      </c>
      <c r="B229" s="7" t="str">
        <f aca="false">HYPERLINK("https://mncourtfraud.com/file/27-CR-19-5875.pdf","27-CR-19-5875")</f>
        <v>27-CR-19-5875</v>
      </c>
      <c r="C229" s="1" t="n">
        <v>1</v>
      </c>
      <c r="D229" s="2" t="s">
        <v>12</v>
      </c>
      <c r="E229" s="8" t="n">
        <v>44468</v>
      </c>
      <c r="F229" s="2" t="s">
        <v>24</v>
      </c>
      <c r="G229" s="7" t="str">
        <f aca="false">HYPERLINK("https://mncourtfraud.com/file/MCRO_27-CR-19-5875_Order for Conditional Release_2021-09-29_20251126175502.pdf","MCRO_27-CR-19-5875_Order for Conditional Release_2021-09-29_20251126175502.pdf")</f>
        <v>MCRO_27-CR-19-5875_Order for Conditional Release_2021-09-29_20251126175502.pdf</v>
      </c>
      <c r="H229" s="7" t="str">
        <f aca="false">HYPERLINK("https://mncourtfraud.com/file/ba989ca65f54d43887ebbc930462a840e60360223cb0c16c223e7e9ed46afecb.cid","ba989ca65f54d43887ebbc930462a840e60360223cb0c16c223e7e9ed46afecb")</f>
        <v>ba989ca65f54d43887ebbc930462a840e60360223cb0c16c223e7e9ed46afecb</v>
      </c>
      <c r="I229" s="1" t="s">
        <v>3431</v>
      </c>
      <c r="L229" s="2" t="s">
        <v>3415</v>
      </c>
      <c r="M229" s="2" t="n">
        <v>444</v>
      </c>
    </row>
    <row r="230" customFormat="false" ht="18.7" hidden="false" customHeight="true" outlineLevel="0" collapsed="false">
      <c r="A230" s="1" t="n">
        <v>229</v>
      </c>
      <c r="B230" s="7" t="str">
        <f aca="false">HYPERLINK("https://mncourtfraud.com/file/27-CR-19-5875.pdf","27-CR-19-5875")</f>
        <v>27-CR-19-5875</v>
      </c>
      <c r="C230" s="1" t="n">
        <v>1</v>
      </c>
      <c r="D230" s="2" t="s">
        <v>12</v>
      </c>
      <c r="E230" s="8" t="n">
        <v>44468</v>
      </c>
      <c r="F230" s="2" t="s">
        <v>24</v>
      </c>
      <c r="G230" s="7" t="str">
        <f aca="false">HYPERLINK("https://mncourtfraud.com/file/MCRO_27-CR-19-5875_Order for Conditional Release_2021-09-29_20251126175502.pdf","MCRO_27-CR-19-5875_Order for Conditional Release_2021-09-29_20251126175502.pdf")</f>
        <v>MCRO_27-CR-19-5875_Order for Conditional Release_2021-09-29_20251126175502.pdf</v>
      </c>
      <c r="H230" s="7" t="str">
        <f aca="false">HYPERLINK("https://mncourtfraud.com/file/db9c8118091788c7a0a30157e363f5dd281f7a35fb525fad58599ee6371079a5.cid","db9c8118091788c7a0a30157e363f5dd281f7a35fb525fad58599ee6371079a5")</f>
        <v>db9c8118091788c7a0a30157e363f5dd281f7a35fb525fad58599ee6371079a5</v>
      </c>
      <c r="I230" s="1" t="s">
        <v>3431</v>
      </c>
      <c r="L230" s="2" t="s">
        <v>3415</v>
      </c>
      <c r="M230" s="2" t="n">
        <v>848</v>
      </c>
    </row>
    <row r="231" customFormat="false" ht="18.7" hidden="false" customHeight="true" outlineLevel="0" collapsed="false">
      <c r="A231" s="1" t="n">
        <v>230</v>
      </c>
      <c r="B231" s="7" t="str">
        <f aca="false">HYPERLINK("https://mncourtfraud.com/file/27-CR-19-5875.pdf","27-CR-19-5875")</f>
        <v>27-CR-19-5875</v>
      </c>
      <c r="C231" s="1" t="n">
        <v>1</v>
      </c>
      <c r="D231" s="2" t="s">
        <v>12</v>
      </c>
      <c r="E231" s="8" t="n">
        <v>44468</v>
      </c>
      <c r="F231" s="2" t="s">
        <v>24</v>
      </c>
      <c r="G231" s="7" t="str">
        <f aca="false">HYPERLINK("https://mncourtfraud.com/file/MCRO_27-CR-19-5875_Order for Conditional Release_2021-09-29_20251126175502.pdf","MCRO_27-CR-19-5875_Order for Conditional Release_2021-09-29_20251126175502.pdf")</f>
        <v>MCRO_27-CR-19-5875_Order for Conditional Release_2021-09-29_20251126175502.pdf</v>
      </c>
      <c r="H231" s="7" t="str">
        <f aca="false">HYPERLINK("https://mncourtfraud.com/file/e04b4db843c4bf02679b586bdc06323c2777cf59091b22718210a1dd2a0badc7.png","e04b4db843c4bf02679b586bdc06323c2777cf59091b22718210a1dd2a0badc7")</f>
        <v>e04b4db843c4bf02679b586bdc06323c2777cf59091b22718210a1dd2a0badc7</v>
      </c>
      <c r="I231" s="1" t="s">
        <v>3406</v>
      </c>
      <c r="L231" s="2" t="s">
        <v>3412</v>
      </c>
      <c r="M231" s="2" t="n">
        <v>199</v>
      </c>
      <c r="S231" s="2" t="n">
        <v>7</v>
      </c>
      <c r="T231" s="2" t="n">
        <v>347</v>
      </c>
    </row>
    <row r="232" customFormat="false" ht="18.7" hidden="false" customHeight="true" outlineLevel="0" collapsed="false">
      <c r="A232" s="1" t="n">
        <v>231</v>
      </c>
      <c r="B232" s="7" t="str">
        <f aca="false">HYPERLINK("https://mncourtfraud.com/file/27-CR-19-5875.pdf","27-CR-19-5875")</f>
        <v>27-CR-19-5875</v>
      </c>
      <c r="C232" s="1" t="n">
        <v>1</v>
      </c>
      <c r="D232" s="2" t="s">
        <v>12</v>
      </c>
      <c r="E232" s="8" t="n">
        <v>44468</v>
      </c>
      <c r="F232" s="2" t="s">
        <v>24</v>
      </c>
      <c r="G232" s="7" t="str">
        <f aca="false">HYPERLINK("https://mncourtfraud.com/file/MCRO_27-CR-19-5875_Order for Conditional Release_2021-09-29_20251126175502.pdf","MCRO_27-CR-19-5875_Order for Conditional Release_2021-09-29_20251126175502.pdf")</f>
        <v>MCRO_27-CR-19-5875_Order for Conditional Release_2021-09-29_20251126175502.pdf</v>
      </c>
      <c r="H232" s="7" t="str">
        <f aca="false">HYPERLINK("https://mncourtfraud.com/file/edbae421bba147262ba26ef60780ca6dfd5bedce23be39a1f883da7c23dae35f.cid","edbae421bba147262ba26ef60780ca6dfd5bedce23be39a1f883da7c23dae35f")</f>
        <v>edbae421bba147262ba26ef60780ca6dfd5bedce23be39a1f883da7c23dae35f</v>
      </c>
      <c r="I232" s="1" t="s">
        <v>3431</v>
      </c>
      <c r="L232" s="2" t="s">
        <v>3415</v>
      </c>
      <c r="M232" s="2" t="n">
        <v>21348</v>
      </c>
    </row>
    <row r="233" customFormat="false" ht="18.7" hidden="false" customHeight="true" outlineLevel="0" collapsed="false">
      <c r="A233" s="1" t="n">
        <v>232</v>
      </c>
      <c r="B233" s="7" t="str">
        <f aca="false">HYPERLINK("https://mncourtfraud.com/file/27-CR-19-5875.pdf","27-CR-19-5875")</f>
        <v>27-CR-19-5875</v>
      </c>
      <c r="C233" s="1" t="n">
        <v>1</v>
      </c>
      <c r="D233" s="2" t="s">
        <v>12</v>
      </c>
      <c r="E233" s="8" t="n">
        <v>44468</v>
      </c>
      <c r="F233" s="2" t="s">
        <v>24</v>
      </c>
      <c r="G233" s="7" t="str">
        <f aca="false">HYPERLINK("https://mncourtfraud.com/file/MCRO_27-CR-19-5875_Order for Conditional Release_2021-09-29_20251126175502.pdf","MCRO_27-CR-19-5875_Order for Conditional Release_2021-09-29_20251126175502.pdf")</f>
        <v>MCRO_27-CR-19-5875_Order for Conditional Release_2021-09-29_20251126175502.pdf</v>
      </c>
      <c r="H233" s="7" t="str">
        <f aca="false">HYPERLINK("https://mncourtfraud.com/file/efd944d517e9b552a77a910c5203f04540cf1249b7304a04f4907f542ec53c17.cid","efd944d517e9b552a77a910c5203f04540cf1249b7304a04f4907f542ec53c17")</f>
        <v>efd944d517e9b552a77a910c5203f04540cf1249b7304a04f4907f542ec53c17</v>
      </c>
      <c r="I233" s="1" t="s">
        <v>3431</v>
      </c>
      <c r="L233" s="2" t="s">
        <v>3415</v>
      </c>
      <c r="M233" s="2" t="n">
        <v>5521</v>
      </c>
    </row>
    <row r="234" customFormat="false" ht="18.7" hidden="false" customHeight="true" outlineLevel="0" collapsed="false">
      <c r="A234" s="1" t="n">
        <v>233</v>
      </c>
      <c r="B234" s="7" t="str">
        <f aca="false">HYPERLINK("https://mncourtfraud.com/file/27-CR-19-5875.pdf","27-CR-19-5875")</f>
        <v>27-CR-19-5875</v>
      </c>
      <c r="C234" s="1" t="n">
        <v>1</v>
      </c>
      <c r="D234" s="2" t="s">
        <v>12</v>
      </c>
      <c r="E234" s="8" t="n">
        <v>44468</v>
      </c>
      <c r="F234" s="2" t="s">
        <v>24</v>
      </c>
      <c r="G234" s="7" t="str">
        <f aca="false">HYPERLINK("https://mncourtfraud.com/file/MCRO_27-CR-19-5875_Order for Conditional Release_2021-09-29_20251126175502.pdf","MCRO_27-CR-19-5875_Order for Conditional Release_2021-09-29_20251126175502.pdf")</f>
        <v>MCRO_27-CR-19-5875_Order for Conditional Release_2021-09-29_20251126175502.pdf</v>
      </c>
      <c r="H234" s="7" t="str">
        <f aca="false">HYPERLINK("https://mncourtfraud.com/file/fe1965a60cba51fe144ad80b55474d56106539ec2835ed039f2e68d2691deed0.cid","fe1965a60cba51fe144ad80b55474d56106539ec2835ed039f2e68d2691deed0")</f>
        <v>fe1965a60cba51fe144ad80b55474d56106539ec2835ed039f2e68d2691deed0</v>
      </c>
      <c r="I234" s="1" t="s">
        <v>3431</v>
      </c>
      <c r="L234" s="2" t="s">
        <v>3415</v>
      </c>
      <c r="M234" s="2" t="n">
        <v>4323</v>
      </c>
    </row>
    <row r="235" customFormat="false" ht="18.7" hidden="false" customHeight="true" outlineLevel="0" collapsed="false">
      <c r="A235" s="1" t="n">
        <v>234</v>
      </c>
      <c r="B235" s="7" t="str">
        <f aca="false">HYPERLINK("https://mncourtfraud.com/file/27-CR-19-5875.pdf","27-CR-19-5875")</f>
        <v>27-CR-19-5875</v>
      </c>
      <c r="C235" s="1" t="n">
        <v>1</v>
      </c>
      <c r="D235" s="2" t="s">
        <v>12</v>
      </c>
      <c r="E235" s="8" t="n">
        <v>44468</v>
      </c>
      <c r="F235" s="2" t="s">
        <v>24</v>
      </c>
      <c r="G235" s="7" t="str">
        <f aca="false">HYPERLINK("https://mncourtfraud.com/file/MCRO_27-CR-19-5875_Order for Conditional Release_2021-09-29_20251126175502.pdf","MCRO_27-CR-19-5875_Order for Conditional Release_2021-09-29_20251126175502.pdf")</f>
        <v>MCRO_27-CR-19-5875_Order for Conditional Release_2021-09-29_20251126175502.pdf</v>
      </c>
      <c r="H235" s="7" t="str">
        <f aca="false">HYPERLINK("https://mncourtfraud.com/file/ff78f82f1ff3b9436a8d65df586b0bef19dd8fcf1b27941145ca7e723b37620b.cid","ff78f82f1ff3b9436a8d65df586b0bef19dd8fcf1b27941145ca7e723b37620b")</f>
        <v>ff78f82f1ff3b9436a8d65df586b0bef19dd8fcf1b27941145ca7e723b37620b</v>
      </c>
      <c r="I235" s="1" t="s">
        <v>3431</v>
      </c>
      <c r="L235" s="2" t="s">
        <v>3415</v>
      </c>
      <c r="M235" s="2" t="n">
        <v>339</v>
      </c>
    </row>
    <row r="236" customFormat="false" ht="18.7" hidden="false" customHeight="true" outlineLevel="0" collapsed="false">
      <c r="A236" s="1" t="n">
        <v>235</v>
      </c>
      <c r="B236" s="7" t="str">
        <f aca="false">HYPERLINK("https://mncourtfraud.com/file/27-CR-19-5875.pdf","27-CR-19-5875")</f>
        <v>27-CR-19-5875</v>
      </c>
      <c r="C236" s="1" t="n">
        <v>1</v>
      </c>
      <c r="D236" s="2" t="s">
        <v>12</v>
      </c>
      <c r="E236" s="8" t="n">
        <v>44543</v>
      </c>
      <c r="F236" s="2" t="s">
        <v>15</v>
      </c>
      <c r="G236" s="7" t="str">
        <f aca="false">HYPERLINK("https://mncourtfraud.com/file/MCRO_27-CR-19-5875_Order-Evaluation for Competency to Proceed (Rule 20.01)_2021-12-13_20251126175541.pdf","MCRO_27-CR-19-5875_Order-Evaluation for Competency to Proceed (Rule 20.01)_2021-12-13_20251126175541.pdf")</f>
        <v>MCRO_27-CR-19-5875_Order-Evaluation for Competency to Proceed (Rule 20.01)_2021-12-13_20251126175541.pdf</v>
      </c>
      <c r="H236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236" s="1" t="s">
        <v>3413</v>
      </c>
      <c r="J236" s="2" t="s">
        <v>3423</v>
      </c>
      <c r="K236" s="2" t="s">
        <v>3423</v>
      </c>
      <c r="L236" s="2" t="s">
        <v>3415</v>
      </c>
      <c r="M236" s="2" t="n">
        <v>11088</v>
      </c>
    </row>
    <row r="237" customFormat="false" ht="18.7" hidden="false" customHeight="true" outlineLevel="0" collapsed="false">
      <c r="A237" s="1" t="n">
        <v>236</v>
      </c>
      <c r="B237" s="7" t="str">
        <f aca="false">HYPERLINK("https://mncourtfraud.com/file/27-CR-19-5875.pdf","27-CR-19-5875")</f>
        <v>27-CR-19-5875</v>
      </c>
      <c r="C237" s="1" t="n">
        <v>1</v>
      </c>
      <c r="D237" s="2" t="s">
        <v>12</v>
      </c>
      <c r="E237" s="8" t="n">
        <v>44543</v>
      </c>
      <c r="F237" s="2" t="s">
        <v>15</v>
      </c>
      <c r="G237" s="7" t="str">
        <f aca="false">HYPERLINK("https://mncourtfraud.com/file/MCRO_27-CR-19-5875_Order-Evaluation for Competency to Proceed (Rule 20.01)_2021-12-13_20251126175541.pdf","MCRO_27-CR-19-5875_Order-Evaluation for Competency to Proceed (Rule 20.01)_2021-12-13_20251126175541.pdf")</f>
        <v>MCRO_27-CR-19-5875_Order-Evaluation for Competency to Proceed (Rule 20.01)_2021-12-13_20251126175541.pdf</v>
      </c>
      <c r="H237" s="7" t="str">
        <f aca="false">HYPERLINK("https://mncourtfraud.com/file/22be6394304ce5b678311fefb19c39c8cb0a49d25f23150f1efe21ad14b99c7b.ttf","22be6394304ce5b678311fefb19c39c8cb0a49d25f23150f1efe21ad14b99c7b")</f>
        <v>22be6394304ce5b678311fefb19c39c8cb0a49d25f23150f1efe21ad14b99c7b</v>
      </c>
      <c r="I237" s="1" t="s">
        <v>3413</v>
      </c>
      <c r="J237" s="2" t="s">
        <v>3421</v>
      </c>
      <c r="K237" s="2" t="s">
        <v>3421</v>
      </c>
      <c r="L237" s="2" t="s">
        <v>3415</v>
      </c>
      <c r="M237" s="2" t="n">
        <v>117192</v>
      </c>
    </row>
    <row r="238" customFormat="false" ht="18.7" hidden="false" customHeight="true" outlineLevel="0" collapsed="false">
      <c r="A238" s="1" t="n">
        <v>237</v>
      </c>
      <c r="B238" s="7" t="str">
        <f aca="false">HYPERLINK("https://mncourtfraud.com/file/27-CR-19-5875.pdf","27-CR-19-5875")</f>
        <v>27-CR-19-5875</v>
      </c>
      <c r="C238" s="1" t="n">
        <v>1</v>
      </c>
      <c r="D238" s="2" t="s">
        <v>12</v>
      </c>
      <c r="E238" s="8" t="n">
        <v>44543</v>
      </c>
      <c r="F238" s="2" t="s">
        <v>15</v>
      </c>
      <c r="G238" s="7" t="str">
        <f aca="false">HYPERLINK("https://mncourtfraud.com/file/MCRO_27-CR-19-5875_Order-Evaluation for Competency to Proceed (Rule 20.01)_2021-12-13_20251126175541.pdf","MCRO_27-CR-19-5875_Order-Evaluation for Competency to Proceed (Rule 20.01)_2021-12-13_20251126175541.pdf")</f>
        <v>MCRO_27-CR-19-5875_Order-Evaluation for Competency to Proceed (Rule 20.01)_2021-12-13_20251126175541.pdf</v>
      </c>
      <c r="H238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238" s="1" t="s">
        <v>3413</v>
      </c>
      <c r="J238" s="2" t="s">
        <v>3424</v>
      </c>
      <c r="K238" s="2" t="s">
        <v>3424</v>
      </c>
      <c r="L238" s="2" t="s">
        <v>3415</v>
      </c>
      <c r="M238" s="2" t="n">
        <v>14252</v>
      </c>
    </row>
    <row r="239" customFormat="false" ht="18.7" hidden="false" customHeight="true" outlineLevel="0" collapsed="false">
      <c r="A239" s="1" t="n">
        <v>238</v>
      </c>
      <c r="B239" s="7" t="str">
        <f aca="false">HYPERLINK("https://mncourtfraud.com/file/27-CR-19-5875.pdf","27-CR-19-5875")</f>
        <v>27-CR-19-5875</v>
      </c>
      <c r="C239" s="1" t="n">
        <v>1</v>
      </c>
      <c r="D239" s="2" t="s">
        <v>12</v>
      </c>
      <c r="E239" s="8" t="n">
        <v>44543</v>
      </c>
      <c r="F239" s="2" t="s">
        <v>15</v>
      </c>
      <c r="G239" s="7" t="str">
        <f aca="false">HYPERLINK("https://mncourtfraud.com/file/MCRO_27-CR-19-5875_Order-Evaluation for Competency to Proceed (Rule 20.01)_2021-12-13_20251126175541.pdf","MCRO_27-CR-19-5875_Order-Evaluation for Competency to Proceed (Rule 20.01)_2021-12-13_20251126175541.pdf")</f>
        <v>MCRO_27-CR-19-5875_Order-Evaluation for Competency to Proceed (Rule 20.01)_2021-12-13_20251126175541.pdf</v>
      </c>
      <c r="H239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239" s="1" t="s">
        <v>3406</v>
      </c>
      <c r="K239" s="2" t="s">
        <v>3420</v>
      </c>
      <c r="L239" s="2" t="s">
        <v>3408</v>
      </c>
      <c r="M239" s="2" t="n">
        <v>7306</v>
      </c>
      <c r="O239" s="2" t="s">
        <v>3409</v>
      </c>
      <c r="P239" s="2" t="s">
        <v>3410</v>
      </c>
      <c r="S239" s="2" t="n">
        <v>319</v>
      </c>
      <c r="T239" s="2" t="n">
        <v>105</v>
      </c>
    </row>
    <row r="240" customFormat="false" ht="18.7" hidden="false" customHeight="true" outlineLevel="0" collapsed="false">
      <c r="A240" s="1" t="n">
        <v>239</v>
      </c>
      <c r="B240" s="7" t="str">
        <f aca="false">HYPERLINK("https://mncourtfraud.com/file/27-CR-19-5875.pdf","27-CR-19-5875")</f>
        <v>27-CR-19-5875</v>
      </c>
      <c r="C240" s="1" t="n">
        <v>1</v>
      </c>
      <c r="D240" s="2" t="s">
        <v>12</v>
      </c>
      <c r="E240" s="8" t="n">
        <v>44543</v>
      </c>
      <c r="F240" s="2" t="s">
        <v>15</v>
      </c>
      <c r="G240" s="7" t="str">
        <f aca="false">HYPERLINK("https://mncourtfraud.com/file/MCRO_27-CR-19-5875_Order-Evaluation for Competency to Proceed (Rule 20.01)_2021-12-13_20251126175541.pdf","MCRO_27-CR-19-5875_Order-Evaluation for Competency to Proceed (Rule 20.01)_2021-12-13_20251126175541.pdf")</f>
        <v>MCRO_27-CR-19-5875_Order-Evaluation for Competency to Proceed (Rule 20.01)_2021-12-13_20251126175541.pdf</v>
      </c>
      <c r="H240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240" s="1" t="s">
        <v>3406</v>
      </c>
      <c r="K240" s="2" t="s">
        <v>3425</v>
      </c>
      <c r="L240" s="2" t="s">
        <v>3408</v>
      </c>
      <c r="M240" s="2" t="n">
        <v>21225</v>
      </c>
      <c r="O240" s="2" t="s">
        <v>3409</v>
      </c>
      <c r="P240" s="2" t="s">
        <v>3410</v>
      </c>
      <c r="S240" s="2" t="n">
        <v>319</v>
      </c>
      <c r="T240" s="2" t="n">
        <v>105</v>
      </c>
    </row>
    <row r="241" customFormat="false" ht="18.7" hidden="false" customHeight="true" outlineLevel="0" collapsed="false">
      <c r="A241" s="1" t="n">
        <v>240</v>
      </c>
      <c r="B241" s="7" t="str">
        <f aca="false">HYPERLINK("https://mncourtfraud.com/file/27-CR-19-5875.pdf","27-CR-19-5875")</f>
        <v>27-CR-19-5875</v>
      </c>
      <c r="C241" s="1" t="n">
        <v>1</v>
      </c>
      <c r="D241" s="2" t="s">
        <v>12</v>
      </c>
      <c r="E241" s="8" t="n">
        <v>44543</v>
      </c>
      <c r="F241" s="2" t="s">
        <v>15</v>
      </c>
      <c r="G241" s="7" t="str">
        <f aca="false">HYPERLINK("https://mncourtfraud.com/file/MCRO_27-CR-19-5875_Order-Evaluation for Competency to Proceed (Rule 20.01)_2021-12-13_20251126175541.pdf","MCRO_27-CR-19-5875_Order-Evaluation for Competency to Proceed (Rule 20.01)_2021-12-13_20251126175541.pdf")</f>
        <v>MCRO_27-CR-19-5875_Order-Evaluation for Competency to Proceed (Rule 20.01)_2021-12-13_20251126175541.pdf</v>
      </c>
      <c r="H241" s="7" t="str">
        <f aca="false">HYPERLINK("https://mncourtfraud.com/file/f942eca43ffd6bdbf3ee942fee873a73c8baea7707298295b91918b6d8b6d6ee.ttf","f942eca43ffd6bdbf3ee942fee873a73c8baea7707298295b91918b6d8b6d6ee")</f>
        <v>f942eca43ffd6bdbf3ee942fee873a73c8baea7707298295b91918b6d8b6d6ee</v>
      </c>
      <c r="I241" s="1" t="s">
        <v>3413</v>
      </c>
      <c r="J241" s="2" t="s">
        <v>3422</v>
      </c>
      <c r="K241" s="2" t="s">
        <v>3422</v>
      </c>
      <c r="L241" s="2" t="s">
        <v>3415</v>
      </c>
      <c r="M241" s="2" t="n">
        <v>125444</v>
      </c>
    </row>
    <row r="242" customFormat="false" ht="18.7" hidden="false" customHeight="true" outlineLevel="0" collapsed="false">
      <c r="A242" s="1" t="n">
        <v>241</v>
      </c>
      <c r="B242" s="7" t="str">
        <f aca="false">HYPERLINK("https://mncourtfraud.com/file/27-CR-19-5875.pdf","27-CR-19-5875")</f>
        <v>27-CR-19-5875</v>
      </c>
      <c r="C242" s="1" t="n">
        <v>1</v>
      </c>
      <c r="D242" s="2" t="s">
        <v>12</v>
      </c>
      <c r="E242" s="8" t="n">
        <v>44558</v>
      </c>
      <c r="F242" s="2" t="s">
        <v>15</v>
      </c>
      <c r="G242" s="7" t="str">
        <f aca="false">HYPERLINK("https://mncourtfraud.com/file/MCRO_27-CR-19-5875_Order-Evaluation for Competency to Proceed (Rule 20.01)_2021-12-28_20251126175553.pdf","MCRO_27-CR-19-5875_Order-Evaluation for Competency to Proceed (Rule 20.01)_2021-12-28_20251126175553.pdf")</f>
        <v>MCRO_27-CR-19-5875_Order-Evaluation for Competency to Proceed (Rule 20.01)_2021-12-28_20251126175553.pdf</v>
      </c>
      <c r="H242" s="7" t="str">
        <f aca="false">HYPERLINK("https://mncourtfraud.com/file/2a5aa8755cd58de1b6d203ceedc31f68b54e0a8639f32fd5e7beae51d8e8c54a.png","2a5aa8755cd58de1b6d203ceedc31f68b54e0a8639f32fd5e7beae51d8e8c54a")</f>
        <v>2a5aa8755cd58de1b6d203ceedc31f68b54e0a8639f32fd5e7beae51d8e8c54a</v>
      </c>
      <c r="I242" s="1" t="s">
        <v>3406</v>
      </c>
      <c r="L242" s="2" t="s">
        <v>3412</v>
      </c>
      <c r="M242" s="2" t="n">
        <v>98174</v>
      </c>
      <c r="S242" s="2" t="n">
        <v>2550</v>
      </c>
      <c r="T242" s="2" t="n">
        <v>3300</v>
      </c>
    </row>
    <row r="243" customFormat="false" ht="18.7" hidden="false" customHeight="true" outlineLevel="0" collapsed="false">
      <c r="A243" s="1" t="n">
        <v>242</v>
      </c>
      <c r="B243" s="7" t="str">
        <f aca="false">HYPERLINK("https://mncourtfraud.com/file/27-CR-19-5875.pdf","27-CR-19-5875")</f>
        <v>27-CR-19-5875</v>
      </c>
      <c r="C243" s="1" t="n">
        <v>1</v>
      </c>
      <c r="D243" s="2" t="s">
        <v>12</v>
      </c>
      <c r="E243" s="8" t="n">
        <v>44558</v>
      </c>
      <c r="F243" s="2" t="s">
        <v>15</v>
      </c>
      <c r="G243" s="7" t="str">
        <f aca="false">HYPERLINK("https://mncourtfraud.com/file/MCRO_27-CR-19-5875_Order-Evaluation for Competency to Proceed (Rule 20.01)_2021-12-28_20251126175553.pdf","MCRO_27-CR-19-5875_Order-Evaluation for Competency to Proceed (Rule 20.01)_2021-12-28_20251126175553.pdf")</f>
        <v>MCRO_27-CR-19-5875_Order-Evaluation for Competency to Proceed (Rule 20.01)_2021-12-28_20251126175553.pdf</v>
      </c>
      <c r="H243" s="7" t="str">
        <f aca="false">HYPERLINK("https://mncourtfraud.com/file/4017ab71b5654acb364d102a24411f8905562985a68594d68f275bf0b76e1477.png","4017ab71b5654acb364d102a24411f8905562985a68594d68f275bf0b76e1477")</f>
        <v>4017ab71b5654acb364d102a24411f8905562985a68594d68f275bf0b76e1477</v>
      </c>
      <c r="I243" s="1" t="s">
        <v>3406</v>
      </c>
      <c r="L243" s="2" t="s">
        <v>3412</v>
      </c>
      <c r="M243" s="2" t="n">
        <v>155321</v>
      </c>
      <c r="S243" s="2" t="n">
        <v>2550</v>
      </c>
      <c r="T243" s="2" t="n">
        <v>3300</v>
      </c>
    </row>
    <row r="244" customFormat="false" ht="18.7" hidden="false" customHeight="true" outlineLevel="0" collapsed="false">
      <c r="A244" s="1" t="n">
        <v>243</v>
      </c>
      <c r="B244" s="7" t="str">
        <f aca="false">HYPERLINK("https://mncourtfraud.com/file/27-CR-19-5875.pdf","27-CR-19-5875")</f>
        <v>27-CR-19-5875</v>
      </c>
      <c r="C244" s="1" t="n">
        <v>1</v>
      </c>
      <c r="D244" s="2" t="s">
        <v>12</v>
      </c>
      <c r="E244" s="8" t="n">
        <v>44558</v>
      </c>
      <c r="F244" s="2" t="s">
        <v>15</v>
      </c>
      <c r="G244" s="7" t="str">
        <f aca="false">HYPERLINK("https://mncourtfraud.com/file/MCRO_27-CR-19-5875_Order-Evaluation for Competency to Proceed (Rule 20.01)_2021-12-28_20251126175553.pdf","MCRO_27-CR-19-5875_Order-Evaluation for Competency to Proceed (Rule 20.01)_2021-12-28_20251126175553.pdf")</f>
        <v>MCRO_27-CR-19-5875_Order-Evaluation for Competency to Proceed (Rule 20.01)_2021-12-28_20251126175553.pdf</v>
      </c>
      <c r="H244" s="7" t="str">
        <f aca="false">HYPERLINK("https://mncourtfraud.com/file/aae3f893a8cad5a598cc6d0b45b30f09f84051662afb6aadb13658a7a9a506cb.png","aae3f893a8cad5a598cc6d0b45b30f09f84051662afb6aadb13658a7a9a506cb")</f>
        <v>aae3f893a8cad5a598cc6d0b45b30f09f84051662afb6aadb13658a7a9a506cb</v>
      </c>
      <c r="I244" s="1" t="s">
        <v>3406</v>
      </c>
      <c r="L244" s="2" t="s">
        <v>3412</v>
      </c>
      <c r="M244" s="2" t="n">
        <v>130635</v>
      </c>
      <c r="S244" s="2" t="n">
        <v>2550</v>
      </c>
      <c r="T244" s="2" t="n">
        <v>3300</v>
      </c>
    </row>
    <row r="245" customFormat="false" ht="18.7" hidden="false" customHeight="true" outlineLevel="0" collapsed="false">
      <c r="A245" s="1" t="n">
        <v>244</v>
      </c>
      <c r="B245" s="7" t="str">
        <f aca="false">HYPERLINK("https://mncourtfraud.com/file/27-CR-19-5875.pdf","27-CR-19-5875")</f>
        <v>27-CR-19-5875</v>
      </c>
      <c r="C245" s="1" t="n">
        <v>1</v>
      </c>
      <c r="D245" s="2" t="s">
        <v>12</v>
      </c>
      <c r="E245" s="8" t="n">
        <v>44558</v>
      </c>
      <c r="F245" s="2" t="s">
        <v>15</v>
      </c>
      <c r="G245" s="7" t="str">
        <f aca="false">HYPERLINK("https://mncourtfraud.com/file/MCRO_27-CR-19-5875_Order-Evaluation for Competency to Proceed (Rule 20.01)_2021-12-28_20251126175553.pdf","MCRO_27-CR-19-5875_Order-Evaluation for Competency to Proceed (Rule 20.01)_2021-12-28_20251126175553.pdf")</f>
        <v>MCRO_27-CR-19-5875_Order-Evaluation for Competency to Proceed (Rule 20.01)_2021-12-28_20251126175553.pdf</v>
      </c>
      <c r="H245" s="7" t="str">
        <f aca="false">HYPERLINK("https://mncourtfraud.com/file/d1c1aae8af897caac0aad844223270d2a6caf3189a9af0a4d22de070b7a144c7.ttf","d1c1aae8af897caac0aad844223270d2a6caf3189a9af0a4d22de070b7a144c7")</f>
        <v>d1c1aae8af897caac0aad844223270d2a6caf3189a9af0a4d22de070b7a144c7</v>
      </c>
      <c r="I245" s="1" t="s">
        <v>3413</v>
      </c>
      <c r="L245" s="2" t="s">
        <v>3415</v>
      </c>
      <c r="M245" s="2" t="n">
        <v>333576</v>
      </c>
    </row>
    <row r="246" customFormat="false" ht="18.7" hidden="false" customHeight="true" outlineLevel="0" collapsed="false">
      <c r="A246" s="1" t="n">
        <v>245</v>
      </c>
      <c r="B246" s="7" t="str">
        <f aca="false">HYPERLINK("https://mncourtfraud.com/file/27-CR-19-5875.pdf","27-CR-19-5875")</f>
        <v>27-CR-19-5875</v>
      </c>
      <c r="C246" s="1" t="n">
        <v>1</v>
      </c>
      <c r="D246" s="2" t="s">
        <v>12</v>
      </c>
      <c r="E246" s="8" t="n">
        <v>44593</v>
      </c>
      <c r="F246" s="2" t="s">
        <v>19</v>
      </c>
      <c r="G246" s="7" t="str">
        <f aca="false">HYPERLINK("https://mncourtfraud.com/file/MCRO_27-CR-19-5875_Findings and Order_2022-02-01_20251126175424.pdf","MCRO_27-CR-19-5875_Findings and Order_2022-02-01_20251126175424.pdf")</f>
        <v>MCRO_27-CR-19-5875_Findings and Order_2022-02-01_20251126175424.pdf</v>
      </c>
      <c r="H246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246" s="1" t="s">
        <v>3413</v>
      </c>
      <c r="J246" s="2" t="s">
        <v>3426</v>
      </c>
      <c r="K246" s="2" t="s">
        <v>3426</v>
      </c>
      <c r="L246" s="2" t="s">
        <v>3415</v>
      </c>
      <c r="M246" s="2" t="n">
        <v>74997</v>
      </c>
      <c r="N246" s="2" t="s">
        <v>3427</v>
      </c>
    </row>
    <row r="247" customFormat="false" ht="18.7" hidden="false" customHeight="true" outlineLevel="0" collapsed="false">
      <c r="A247" s="1" t="n">
        <v>246</v>
      </c>
      <c r="B247" s="7" t="str">
        <f aca="false">HYPERLINK("https://mncourtfraud.com/file/27-CR-19-5875.pdf","27-CR-19-5875")</f>
        <v>27-CR-19-5875</v>
      </c>
      <c r="C247" s="1" t="n">
        <v>1</v>
      </c>
      <c r="D247" s="2" t="s">
        <v>12</v>
      </c>
      <c r="E247" s="8" t="n">
        <v>44593</v>
      </c>
      <c r="F247" s="2" t="s">
        <v>19</v>
      </c>
      <c r="G247" s="7" t="str">
        <f aca="false">HYPERLINK("https://mncourtfraud.com/file/MCRO_27-CR-19-5875_Findings and Order_2022-02-01_20251126175424.pdf","MCRO_27-CR-19-5875_Findings and Order_2022-02-01_20251126175424.pdf")</f>
        <v>MCRO_27-CR-19-5875_Findings and Order_2022-02-01_20251126175424.pdf</v>
      </c>
      <c r="H247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247" s="1" t="s">
        <v>3428</v>
      </c>
      <c r="J247" s="2" t="s">
        <v>3429</v>
      </c>
      <c r="K247" s="2" t="s">
        <v>3429</v>
      </c>
      <c r="L247" s="2" t="s">
        <v>3415</v>
      </c>
      <c r="M247" s="2" t="n">
        <v>86093</v>
      </c>
    </row>
    <row r="248" customFormat="false" ht="18.7" hidden="false" customHeight="true" outlineLevel="0" collapsed="false">
      <c r="A248" s="1" t="n">
        <v>247</v>
      </c>
      <c r="B248" s="7" t="str">
        <f aca="false">HYPERLINK("https://mncourtfraud.com/file/27-CR-19-5875.pdf","27-CR-19-5875")</f>
        <v>27-CR-19-5875</v>
      </c>
      <c r="C248" s="1" t="n">
        <v>1</v>
      </c>
      <c r="D248" s="2" t="s">
        <v>12</v>
      </c>
      <c r="E248" s="8" t="n">
        <v>44593</v>
      </c>
      <c r="F248" s="2" t="s">
        <v>19</v>
      </c>
      <c r="G248" s="7" t="str">
        <f aca="false">HYPERLINK("https://mncourtfraud.com/file/MCRO_27-CR-19-5875_Findings and Order_2022-02-01_20251126175424.pdf","MCRO_27-CR-19-5875_Findings and Order_2022-02-01_20251126175424.pdf")</f>
        <v>MCRO_27-CR-19-5875_Findings and Order_2022-02-01_20251126175424.pdf</v>
      </c>
      <c r="H248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248" s="1" t="s">
        <v>3413</v>
      </c>
      <c r="J248" s="2" t="s">
        <v>3414</v>
      </c>
      <c r="K248" s="2" t="s">
        <v>3414</v>
      </c>
      <c r="L248" s="2" t="s">
        <v>3415</v>
      </c>
      <c r="M248" s="2" t="n">
        <v>42332</v>
      </c>
    </row>
    <row r="249" customFormat="false" ht="18.7" hidden="false" customHeight="true" outlineLevel="0" collapsed="false">
      <c r="A249" s="1" t="n">
        <v>248</v>
      </c>
      <c r="B249" s="7" t="str">
        <f aca="false">HYPERLINK("https://mncourtfraud.com/file/27-CR-19-5875.pdf","27-CR-19-5875")</f>
        <v>27-CR-19-5875</v>
      </c>
      <c r="C249" s="1" t="n">
        <v>1</v>
      </c>
      <c r="D249" s="2" t="s">
        <v>12</v>
      </c>
      <c r="E249" s="8" t="n">
        <v>44593</v>
      </c>
      <c r="F249" s="2" t="s">
        <v>19</v>
      </c>
      <c r="G249" s="7" t="str">
        <f aca="false">HYPERLINK("https://mncourtfraud.com/file/MCRO_27-CR-19-5875_Findings and Order_2022-02-01_20251126175424.pdf","MCRO_27-CR-19-5875_Findings and Order_2022-02-01_20251126175424.pdf")</f>
        <v>MCRO_27-CR-19-5875_Findings and Order_2022-02-01_20251126175424.pdf</v>
      </c>
      <c r="H249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249" s="1" t="s">
        <v>3413</v>
      </c>
      <c r="J249" s="2" t="s">
        <v>3414</v>
      </c>
      <c r="K249" s="2" t="s">
        <v>3414</v>
      </c>
      <c r="L249" s="2" t="s">
        <v>3415</v>
      </c>
      <c r="M249" s="2" t="n">
        <v>42332</v>
      </c>
    </row>
    <row r="250" customFormat="false" ht="18.7" hidden="false" customHeight="true" outlineLevel="0" collapsed="false">
      <c r="A250" s="1" t="n">
        <v>249</v>
      </c>
      <c r="B250" s="7" t="str">
        <f aca="false">HYPERLINK("https://mncourtfraud.com/file/27-CR-19-5875.pdf","27-CR-19-5875")</f>
        <v>27-CR-19-5875</v>
      </c>
      <c r="C250" s="1" t="n">
        <v>1</v>
      </c>
      <c r="D250" s="2" t="s">
        <v>12</v>
      </c>
      <c r="E250" s="8" t="n">
        <v>44593</v>
      </c>
      <c r="F250" s="2" t="s">
        <v>19</v>
      </c>
      <c r="G250" s="7" t="str">
        <f aca="false">HYPERLINK("https://mncourtfraud.com/file/MCRO_27-CR-19-5875_Findings and Order_2022-02-01_20251126175424.pdf","MCRO_27-CR-19-5875_Findings and Order_2022-02-01_20251126175424.pdf")</f>
        <v>MCRO_27-CR-19-5875_Findings and Order_2022-02-01_20251126175424.pdf</v>
      </c>
      <c r="H250" s="7" t="str">
        <f aca="false">HYPERLINK("https://mncourtfraud.com/file/d1e06f7a12c8d4ae1de62861dbfeadf4f6b52b1cfd6801e548bc1d08782c1451.ttf","d1e06f7a12c8d4ae1de62861dbfeadf4f6b52b1cfd6801e548bc1d08782c1451")</f>
        <v>d1e06f7a12c8d4ae1de62861dbfeadf4f6b52b1cfd6801e548bc1d08782c1451</v>
      </c>
      <c r="I250" s="1" t="s">
        <v>3413</v>
      </c>
      <c r="J250" s="2" t="s">
        <v>3414</v>
      </c>
      <c r="K250" s="2" t="s">
        <v>3416</v>
      </c>
      <c r="L250" s="2" t="s">
        <v>3415</v>
      </c>
      <c r="M250" s="2" t="n">
        <v>28584</v>
      </c>
    </row>
    <row r="251" customFormat="false" ht="18.7" hidden="false" customHeight="true" outlineLevel="0" collapsed="false">
      <c r="A251" s="1" t="n">
        <v>250</v>
      </c>
      <c r="B251" s="7" t="str">
        <f aca="false">HYPERLINK("https://mncourtfraud.com/file/27-CR-19-5875.pdf","27-CR-19-5875")</f>
        <v>27-CR-19-5875</v>
      </c>
      <c r="C251" s="1" t="n">
        <v>1</v>
      </c>
      <c r="D251" s="2" t="s">
        <v>12</v>
      </c>
      <c r="E251" s="8" t="n">
        <v>44593</v>
      </c>
      <c r="F251" s="2" t="s">
        <v>19</v>
      </c>
      <c r="G251" s="7" t="str">
        <f aca="false">HYPERLINK("https://mncourtfraud.com/file/MCRO_27-CR-19-5875_Findings and Order_2022-02-01_20251126175424.pdf","MCRO_27-CR-19-5875_Findings and Order_2022-02-01_20251126175424.pdf")</f>
        <v>MCRO_27-CR-19-5875_Findings and Order_2022-02-01_20251126175424.pdf</v>
      </c>
      <c r="H251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251" s="1" t="s">
        <v>3406</v>
      </c>
      <c r="K251" s="2" t="s">
        <v>3430</v>
      </c>
      <c r="L251" s="2" t="s">
        <v>3408</v>
      </c>
      <c r="M251" s="2" t="n">
        <v>28069</v>
      </c>
      <c r="O251" s="2" t="s">
        <v>3409</v>
      </c>
      <c r="P251" s="2" t="s">
        <v>3410</v>
      </c>
      <c r="S251" s="2" t="n">
        <v>448</v>
      </c>
      <c r="T251" s="2" t="n">
        <v>128</v>
      </c>
    </row>
    <row r="252" customFormat="false" ht="18.7" hidden="false" customHeight="true" outlineLevel="0" collapsed="false">
      <c r="A252" s="1" t="n">
        <v>251</v>
      </c>
      <c r="B252" s="7" t="str">
        <f aca="false">HYPERLINK("https://mncourtfraud.com/file/27-CR-19-5875.pdf","27-CR-19-5875")</f>
        <v>27-CR-19-5875</v>
      </c>
      <c r="C252" s="1" t="n">
        <v>1</v>
      </c>
      <c r="D252" s="2" t="s">
        <v>12</v>
      </c>
      <c r="E252" s="8" t="n">
        <v>44692</v>
      </c>
      <c r="F252" s="2" t="s">
        <v>15</v>
      </c>
      <c r="G252" s="7" t="str">
        <f aca="false">HYPERLINK("https://mncourtfraud.com/file/MCRO_27-CR-19-5875_Order-Evaluation for Competency to Proceed (Rule 20.01)_2022-05-11_20251126175604.pdf","MCRO_27-CR-19-5875_Order-Evaluation for Competency to Proceed (Rule 20.01)_2022-05-11_20251126175604.pdf")</f>
        <v>MCRO_27-CR-19-5875_Order-Evaluation for Competency to Proceed (Rule 20.01)_2022-05-11_20251126175604.pdf</v>
      </c>
      <c r="H252" s="7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252" s="1" t="s">
        <v>3406</v>
      </c>
      <c r="K252" s="2" t="s">
        <v>3432</v>
      </c>
      <c r="L252" s="2" t="s">
        <v>3408</v>
      </c>
      <c r="M252" s="2" t="n">
        <v>21121</v>
      </c>
      <c r="O252" s="2" t="s">
        <v>3409</v>
      </c>
      <c r="P252" s="2" t="s">
        <v>3410</v>
      </c>
      <c r="S252" s="2" t="n">
        <v>695</v>
      </c>
      <c r="T252" s="2" t="n">
        <v>233</v>
      </c>
    </row>
    <row r="253" customFormat="false" ht="18.7" hidden="false" customHeight="true" outlineLevel="0" collapsed="false">
      <c r="A253" s="1" t="n">
        <v>252</v>
      </c>
      <c r="B253" s="7" t="str">
        <f aca="false">HYPERLINK("https://mncourtfraud.com/file/27-CR-19-5875.pdf","27-CR-19-5875")</f>
        <v>27-CR-19-5875</v>
      </c>
      <c r="C253" s="1" t="n">
        <v>1</v>
      </c>
      <c r="D253" s="2" t="s">
        <v>12</v>
      </c>
      <c r="E253" s="8" t="n">
        <v>44692</v>
      </c>
      <c r="F253" s="2" t="s">
        <v>15</v>
      </c>
      <c r="G253" s="7" t="str">
        <f aca="false">HYPERLINK("https://mncourtfraud.com/file/MCRO_27-CR-19-5875_Order-Evaluation for Competency to Proceed (Rule 20.01)_2022-05-11_20251126175604.pdf","MCRO_27-CR-19-5875_Order-Evaluation for Competency to Proceed (Rule 20.01)_2022-05-11_20251126175604.pdf")</f>
        <v>MCRO_27-CR-19-5875_Order-Evaluation for Competency to Proceed (Rule 20.01)_2022-05-11_20251126175604.pdf</v>
      </c>
      <c r="H253" s="7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253" s="1" t="s">
        <v>3406</v>
      </c>
      <c r="K253" s="2" t="s">
        <v>3433</v>
      </c>
      <c r="L253" s="2" t="s">
        <v>3408</v>
      </c>
      <c r="M253" s="2" t="n">
        <v>53838</v>
      </c>
      <c r="O253" s="2" t="s">
        <v>3409</v>
      </c>
      <c r="P253" s="2" t="s">
        <v>3410</v>
      </c>
      <c r="S253" s="2" t="n">
        <v>695</v>
      </c>
      <c r="T253" s="2" t="n">
        <v>233</v>
      </c>
    </row>
    <row r="254" customFormat="false" ht="18.7" hidden="false" customHeight="true" outlineLevel="0" collapsed="false">
      <c r="A254" s="1" t="n">
        <v>253</v>
      </c>
      <c r="B254" s="7" t="str">
        <f aca="false">HYPERLINK("https://mncourtfraud.com/file/27-CR-19-5875.pdf","27-CR-19-5875")</f>
        <v>27-CR-19-5875</v>
      </c>
      <c r="C254" s="1" t="n">
        <v>1</v>
      </c>
      <c r="D254" s="2" t="s">
        <v>12</v>
      </c>
      <c r="E254" s="8" t="n">
        <v>44692</v>
      </c>
      <c r="F254" s="2" t="s">
        <v>15</v>
      </c>
      <c r="G254" s="7" t="str">
        <f aca="false">HYPERLINK("https://mncourtfraud.com/file/MCRO_27-CR-19-5875_Order-Evaluation for Competency to Proceed (Rule 20.01)_2022-05-11_20251126175604.pdf","MCRO_27-CR-19-5875_Order-Evaluation for Competency to Proceed (Rule 20.01)_2022-05-11_20251126175604.pdf")</f>
        <v>MCRO_27-CR-19-5875_Order-Evaluation for Competency to Proceed (Rule 20.01)_2022-05-11_20251126175604.pdf</v>
      </c>
      <c r="H254" s="7" t="str">
        <f aca="false">HYPERLINK("https://mncourtfraud.com/file/322fe0e9595a4df4693edf307e5f8a42a470721d59f006a7b0e86def92125a58.ttf","322fe0e9595a4df4693edf307e5f8a42a470721d59f006a7b0e86def92125a58")</f>
        <v>322fe0e9595a4df4693edf307e5f8a42a470721d59f006a7b0e86def92125a58</v>
      </c>
      <c r="I254" s="1" t="s">
        <v>3413</v>
      </c>
      <c r="J254" s="2" t="s">
        <v>3434</v>
      </c>
      <c r="K254" s="2" t="s">
        <v>3434</v>
      </c>
      <c r="L254" s="2" t="s">
        <v>3415</v>
      </c>
      <c r="M254" s="2" t="n">
        <v>46736</v>
      </c>
      <c r="N254" s="2" t="s">
        <v>3435</v>
      </c>
    </row>
    <row r="255" customFormat="false" ht="18.7" hidden="false" customHeight="true" outlineLevel="0" collapsed="false">
      <c r="A255" s="1" t="n">
        <v>254</v>
      </c>
      <c r="B255" s="7" t="str">
        <f aca="false">HYPERLINK("https://mncourtfraud.com/file/27-CR-19-5875.pdf","27-CR-19-5875")</f>
        <v>27-CR-19-5875</v>
      </c>
      <c r="C255" s="1" t="n">
        <v>1</v>
      </c>
      <c r="D255" s="2" t="s">
        <v>12</v>
      </c>
      <c r="E255" s="8" t="n">
        <v>44692</v>
      </c>
      <c r="F255" s="2" t="s">
        <v>15</v>
      </c>
      <c r="G255" s="7" t="str">
        <f aca="false">HYPERLINK("https://mncourtfraud.com/file/MCRO_27-CR-19-5875_Order-Evaluation for Competency to Proceed (Rule 20.01)_2022-05-11_20251126175604.pdf","MCRO_27-CR-19-5875_Order-Evaluation for Competency to Proceed (Rule 20.01)_2022-05-11_20251126175604.pdf")</f>
        <v>MCRO_27-CR-19-5875_Order-Evaluation for Competency to Proceed (Rule 20.01)_2022-05-11_20251126175604.pdf</v>
      </c>
      <c r="H255" s="7" t="str">
        <f aca="false">HYPERLINK("https://mncourtfraud.com/file/32ebada21768d6238e03c647b5e5acdf6ce656f0735d59c3fb698ce40418a709.ttf","32ebada21768d6238e03c647b5e5acdf6ce656f0735d59c3fb698ce40418a709")</f>
        <v>32ebada21768d6238e03c647b5e5acdf6ce656f0735d59c3fb698ce40418a709</v>
      </c>
      <c r="I255" s="1" t="s">
        <v>3413</v>
      </c>
      <c r="J255" s="2" t="s">
        <v>3436</v>
      </c>
      <c r="K255" s="2" t="s">
        <v>3436</v>
      </c>
      <c r="L255" s="2" t="s">
        <v>3415</v>
      </c>
      <c r="M255" s="2" t="n">
        <v>65744</v>
      </c>
      <c r="N255" s="2" t="s">
        <v>3437</v>
      </c>
    </row>
    <row r="256" customFormat="false" ht="18.7" hidden="false" customHeight="true" outlineLevel="0" collapsed="false">
      <c r="A256" s="1" t="n">
        <v>255</v>
      </c>
      <c r="B256" s="7" t="str">
        <f aca="false">HYPERLINK("https://mncourtfraud.com/file/27-CR-19-5875.pdf","27-CR-19-5875")</f>
        <v>27-CR-19-5875</v>
      </c>
      <c r="C256" s="1" t="n">
        <v>1</v>
      </c>
      <c r="D256" s="2" t="s">
        <v>12</v>
      </c>
      <c r="E256" s="8" t="n">
        <v>44692</v>
      </c>
      <c r="F256" s="2" t="s">
        <v>15</v>
      </c>
      <c r="G256" s="7" t="str">
        <f aca="false">HYPERLINK("https://mncourtfraud.com/file/MCRO_27-CR-19-5875_Order-Evaluation for Competency to Proceed (Rule 20.01)_2022-05-11_20251126175604.pdf","MCRO_27-CR-19-5875_Order-Evaluation for Competency to Proceed (Rule 20.01)_2022-05-11_20251126175604.pdf")</f>
        <v>MCRO_27-CR-19-5875_Order-Evaluation for Competency to Proceed (Rule 20.01)_2022-05-11_20251126175604.pdf</v>
      </c>
      <c r="H256" s="7" t="str">
        <f aca="false">HYPERLINK("https://mncourtfraud.com/file/694dcb82a5515430b7fddfbf16881b942820c8c41fee3eea3505a20c7d4e41e6.ttf","694dcb82a5515430b7fddfbf16881b942820c8c41fee3eea3505a20c7d4e41e6")</f>
        <v>694dcb82a5515430b7fddfbf16881b942820c8c41fee3eea3505a20c7d4e41e6</v>
      </c>
      <c r="I256" s="1" t="s">
        <v>3413</v>
      </c>
      <c r="J256" s="2" t="s">
        <v>3438</v>
      </c>
      <c r="K256" s="2" t="s">
        <v>3438</v>
      </c>
      <c r="L256" s="2" t="s">
        <v>3415</v>
      </c>
      <c r="M256" s="2" t="n">
        <v>72828</v>
      </c>
      <c r="N256" s="2" t="s">
        <v>3439</v>
      </c>
    </row>
    <row r="257" customFormat="false" ht="18.7" hidden="false" customHeight="true" outlineLevel="0" collapsed="false">
      <c r="A257" s="1" t="n">
        <v>256</v>
      </c>
      <c r="B257" s="7" t="str">
        <f aca="false">HYPERLINK("https://mncourtfraud.com/file/27-CR-19-5875.pdf","27-CR-19-5875")</f>
        <v>27-CR-19-5875</v>
      </c>
      <c r="C257" s="1" t="n">
        <v>1</v>
      </c>
      <c r="D257" s="2" t="s">
        <v>12</v>
      </c>
      <c r="E257" s="8" t="n">
        <v>44692</v>
      </c>
      <c r="F257" s="2" t="s">
        <v>15</v>
      </c>
      <c r="G257" s="7" t="str">
        <f aca="false">HYPERLINK("https://mncourtfraud.com/file/MCRO_27-CR-19-5875_Order-Evaluation for Competency to Proceed (Rule 20.01)_2022-05-11_20251126175604.pdf","MCRO_27-CR-19-5875_Order-Evaluation for Competency to Proceed (Rule 20.01)_2022-05-11_20251126175604.pdf")</f>
        <v>MCRO_27-CR-19-5875_Order-Evaluation for Competency to Proceed (Rule 20.01)_2022-05-11_20251126175604.pdf</v>
      </c>
      <c r="H257" s="7" t="str">
        <f aca="false">HYPERLINK("https://mncourtfraud.com/file/87764021d6d62f7c396208d3f1fa8113e5ad5f90bd03c35e7200536389af4e6a.ttf","87764021d6d62f7c396208d3f1fa8113e5ad5f90bd03c35e7200536389af4e6a")</f>
        <v>87764021d6d62f7c396208d3f1fa8113e5ad5f90bd03c35e7200536389af4e6a</v>
      </c>
      <c r="I257" s="1" t="s">
        <v>3413</v>
      </c>
      <c r="J257" s="2" t="s">
        <v>3440</v>
      </c>
      <c r="K257" s="2" t="s">
        <v>3440</v>
      </c>
      <c r="L257" s="2" t="s">
        <v>3415</v>
      </c>
      <c r="M257" s="2" t="n">
        <v>6280</v>
      </c>
      <c r="N257" s="2" t="s">
        <v>3441</v>
      </c>
    </row>
    <row r="258" customFormat="false" ht="18.7" hidden="false" customHeight="true" outlineLevel="0" collapsed="false">
      <c r="A258" s="1" t="n">
        <v>257</v>
      </c>
      <c r="B258" s="7" t="str">
        <f aca="false">HYPERLINK("https://mncourtfraud.com/file/27-CR-19-5875.pdf","27-CR-19-5875")</f>
        <v>27-CR-19-5875</v>
      </c>
      <c r="C258" s="1" t="n">
        <v>1</v>
      </c>
      <c r="D258" s="2" t="s">
        <v>12</v>
      </c>
      <c r="E258" s="8" t="n">
        <v>44692</v>
      </c>
      <c r="F258" s="2" t="s">
        <v>15</v>
      </c>
      <c r="G258" s="7" t="str">
        <f aca="false">HYPERLINK("https://mncourtfraud.com/file/MCRO_27-CR-19-5875_Order-Evaluation for Competency to Proceed (Rule 20.01)_2022-05-11_20251126175604.pdf","MCRO_27-CR-19-5875_Order-Evaluation for Competency to Proceed (Rule 20.01)_2022-05-11_20251126175604.pdf")</f>
        <v>MCRO_27-CR-19-5875_Order-Evaluation for Competency to Proceed (Rule 20.01)_2022-05-11_20251126175604.pdf</v>
      </c>
      <c r="H258" s="7" t="str">
        <f aca="false">HYPERLINK("https://mncourtfraud.com/file/a1ad71f465be26cf6bb430c59ae6133d3c381ada339ba3c6b2eadf32a9b4096b.ttf","a1ad71f465be26cf6bb430c59ae6133d3c381ada339ba3c6b2eadf32a9b4096b")</f>
        <v>a1ad71f465be26cf6bb430c59ae6133d3c381ada339ba3c6b2eadf32a9b4096b</v>
      </c>
      <c r="I258" s="1" t="s">
        <v>3413</v>
      </c>
      <c r="J258" s="2" t="s">
        <v>3442</v>
      </c>
      <c r="K258" s="2" t="s">
        <v>3442</v>
      </c>
      <c r="L258" s="2" t="s">
        <v>3415</v>
      </c>
      <c r="M258" s="2" t="n">
        <v>5988</v>
      </c>
      <c r="N258" s="2" t="s">
        <v>3443</v>
      </c>
    </row>
    <row r="259" customFormat="false" ht="18.7" hidden="false" customHeight="true" outlineLevel="0" collapsed="false">
      <c r="A259" s="1" t="n">
        <v>258</v>
      </c>
      <c r="B259" s="7" t="str">
        <f aca="false">HYPERLINK("https://mncourtfraud.com/file/27-CR-19-5875.pdf","27-CR-19-5875")</f>
        <v>27-CR-19-5875</v>
      </c>
      <c r="C259" s="1" t="n">
        <v>1</v>
      </c>
      <c r="D259" s="2" t="s">
        <v>12</v>
      </c>
      <c r="E259" s="8" t="n">
        <v>44692</v>
      </c>
      <c r="F259" s="2" t="s">
        <v>15</v>
      </c>
      <c r="G259" s="7" t="str">
        <f aca="false">HYPERLINK("https://mncourtfraud.com/file/MCRO_27-CR-19-5875_Order-Evaluation for Competency to Proceed (Rule 20.01)_2022-05-11_20251126175604.pdf","MCRO_27-CR-19-5875_Order-Evaluation for Competency to Proceed (Rule 20.01)_2022-05-11_20251126175604.pdf")</f>
        <v>MCRO_27-CR-19-5875_Order-Evaluation for Competency to Proceed (Rule 20.01)_2022-05-11_20251126175604.pdf</v>
      </c>
      <c r="H259" s="7" t="str">
        <f aca="false">HYPERLINK("https://mncourtfraud.com/file/e1befe23dc5d05be4c8e965e6fc9e74e95400600e0da0c86dd389645355f3ad1.ttf","e1befe23dc5d05be4c8e965e6fc9e74e95400600e0da0c86dd389645355f3ad1")</f>
        <v>e1befe23dc5d05be4c8e965e6fc9e74e95400600e0da0c86dd389645355f3ad1</v>
      </c>
      <c r="I259" s="1" t="s">
        <v>3413</v>
      </c>
      <c r="J259" s="2" t="s">
        <v>3444</v>
      </c>
      <c r="K259" s="2" t="s">
        <v>3444</v>
      </c>
      <c r="L259" s="2" t="s">
        <v>3415</v>
      </c>
      <c r="M259" s="2" t="n">
        <v>94308</v>
      </c>
      <c r="N259" s="2" t="s">
        <v>3445</v>
      </c>
    </row>
    <row r="260" customFormat="false" ht="18.7" hidden="false" customHeight="true" outlineLevel="0" collapsed="false">
      <c r="A260" s="1" t="n">
        <v>259</v>
      </c>
      <c r="B260" s="7" t="str">
        <f aca="false">HYPERLINK("https://mncourtfraud.com/file/27-CR-19-5875.pdf","27-CR-19-5875")</f>
        <v>27-CR-19-5875</v>
      </c>
      <c r="C260" s="1" t="n">
        <v>1</v>
      </c>
      <c r="D260" s="2" t="s">
        <v>12</v>
      </c>
      <c r="E260" s="8" t="n">
        <v>44895</v>
      </c>
      <c r="F260" s="2" t="s">
        <v>15</v>
      </c>
      <c r="G260" s="7" t="str">
        <f aca="false">HYPERLINK("https://mncourtfraud.com/file/MCRO_27-CR-19-5875_Order-Evaluation for Competency to Proceed (Rule 20.01)_2022-11-30_20251126175616.pdf","MCRO_27-CR-19-5875_Order-Evaluation for Competency to Proceed (Rule 20.01)_2022-11-30_20251126175616.pdf")</f>
        <v>MCRO_27-CR-19-5875_Order-Evaluation for Competency to Proceed (Rule 20.01)_2022-11-30_20251126175616.pdf</v>
      </c>
      <c r="H260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260" s="1" t="s">
        <v>3413</v>
      </c>
      <c r="J260" s="2" t="s">
        <v>3423</v>
      </c>
      <c r="K260" s="2" t="s">
        <v>3423</v>
      </c>
      <c r="L260" s="2" t="s">
        <v>3415</v>
      </c>
      <c r="M260" s="2" t="n">
        <v>11088</v>
      </c>
    </row>
    <row r="261" customFormat="false" ht="18.7" hidden="false" customHeight="true" outlineLevel="0" collapsed="false">
      <c r="A261" s="1" t="n">
        <v>260</v>
      </c>
      <c r="B261" s="7" t="str">
        <f aca="false">HYPERLINK("https://mncourtfraud.com/file/27-CR-19-5875.pdf","27-CR-19-5875")</f>
        <v>27-CR-19-5875</v>
      </c>
      <c r="C261" s="1" t="n">
        <v>1</v>
      </c>
      <c r="D261" s="2" t="s">
        <v>12</v>
      </c>
      <c r="E261" s="8" t="n">
        <v>44895</v>
      </c>
      <c r="F261" s="2" t="s">
        <v>15</v>
      </c>
      <c r="G261" s="7" t="str">
        <f aca="false">HYPERLINK("https://mncourtfraud.com/file/MCRO_27-CR-19-5875_Order-Evaluation for Competency to Proceed (Rule 20.01)_2022-11-30_20251126175616.pdf","MCRO_27-CR-19-5875_Order-Evaluation for Competency to Proceed (Rule 20.01)_2022-11-30_20251126175616.pdf")</f>
        <v>MCRO_27-CR-19-5875_Order-Evaluation for Competency to Proceed (Rule 20.01)_2022-11-30_20251126175616.pdf</v>
      </c>
      <c r="H261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261" s="1" t="s">
        <v>3413</v>
      </c>
      <c r="J261" s="2" t="s">
        <v>3446</v>
      </c>
      <c r="K261" s="2" t="s">
        <v>3446</v>
      </c>
      <c r="L261" s="2" t="s">
        <v>3415</v>
      </c>
      <c r="M261" s="2" t="n">
        <v>55072</v>
      </c>
      <c r="N261" s="2" t="s">
        <v>3447</v>
      </c>
    </row>
    <row r="262" customFormat="false" ht="18.7" hidden="false" customHeight="true" outlineLevel="0" collapsed="false">
      <c r="A262" s="1" t="n">
        <v>261</v>
      </c>
      <c r="B262" s="7" t="str">
        <f aca="false">HYPERLINK("https://mncourtfraud.com/file/27-CR-19-5875.pdf","27-CR-19-5875")</f>
        <v>27-CR-19-5875</v>
      </c>
      <c r="C262" s="1" t="n">
        <v>1</v>
      </c>
      <c r="D262" s="2" t="s">
        <v>12</v>
      </c>
      <c r="E262" s="8" t="n">
        <v>44895</v>
      </c>
      <c r="F262" s="2" t="s">
        <v>15</v>
      </c>
      <c r="G262" s="7" t="str">
        <f aca="false">HYPERLINK("https://mncourtfraud.com/file/MCRO_27-CR-19-5875_Order-Evaluation for Competency to Proceed (Rule 20.01)_2022-11-30_20251126175616.pdf","MCRO_27-CR-19-5875_Order-Evaluation for Competency to Proceed (Rule 20.01)_2022-11-30_20251126175616.pdf")</f>
        <v>MCRO_27-CR-19-5875_Order-Evaluation for Competency to Proceed (Rule 20.01)_2022-11-30_20251126175616.pdf</v>
      </c>
      <c r="H262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262" s="1" t="s">
        <v>3413</v>
      </c>
      <c r="J262" s="2" t="s">
        <v>3424</v>
      </c>
      <c r="K262" s="2" t="s">
        <v>3424</v>
      </c>
      <c r="L262" s="2" t="s">
        <v>3415</v>
      </c>
      <c r="M262" s="2" t="n">
        <v>14252</v>
      </c>
    </row>
    <row r="263" customFormat="false" ht="18.7" hidden="false" customHeight="true" outlineLevel="0" collapsed="false">
      <c r="A263" s="1" t="n">
        <v>262</v>
      </c>
      <c r="B263" s="7" t="str">
        <f aca="false">HYPERLINK("https://mncourtfraud.com/file/27-CR-19-5875.pdf","27-CR-19-5875")</f>
        <v>27-CR-19-5875</v>
      </c>
      <c r="C263" s="1" t="n">
        <v>1</v>
      </c>
      <c r="D263" s="2" t="s">
        <v>12</v>
      </c>
      <c r="E263" s="8" t="n">
        <v>44895</v>
      </c>
      <c r="F263" s="2" t="s">
        <v>15</v>
      </c>
      <c r="G263" s="7" t="str">
        <f aca="false">HYPERLINK("https://mncourtfraud.com/file/MCRO_27-CR-19-5875_Order-Evaluation for Competency to Proceed (Rule 20.01)_2022-11-30_20251126175616.pdf","MCRO_27-CR-19-5875_Order-Evaluation for Competency to Proceed (Rule 20.01)_2022-11-30_20251126175616.pdf")</f>
        <v>MCRO_27-CR-19-5875_Order-Evaluation for Competency to Proceed (Rule 20.01)_2022-11-30_20251126175616.pdf</v>
      </c>
      <c r="H263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263" s="1" t="s">
        <v>3406</v>
      </c>
      <c r="K263" s="2" t="s">
        <v>3420</v>
      </c>
      <c r="L263" s="2" t="s">
        <v>3408</v>
      </c>
      <c r="M263" s="2" t="n">
        <v>7306</v>
      </c>
      <c r="O263" s="2" t="s">
        <v>3409</v>
      </c>
      <c r="P263" s="2" t="s">
        <v>3410</v>
      </c>
      <c r="S263" s="2" t="n">
        <v>319</v>
      </c>
      <c r="T263" s="2" t="n">
        <v>105</v>
      </c>
    </row>
    <row r="264" customFormat="false" ht="18.7" hidden="false" customHeight="true" outlineLevel="0" collapsed="false">
      <c r="A264" s="1" t="n">
        <v>263</v>
      </c>
      <c r="B264" s="7" t="str">
        <f aca="false">HYPERLINK("https://mncourtfraud.com/file/27-CR-19-5875.pdf","27-CR-19-5875")</f>
        <v>27-CR-19-5875</v>
      </c>
      <c r="C264" s="1" t="n">
        <v>1</v>
      </c>
      <c r="D264" s="2" t="s">
        <v>12</v>
      </c>
      <c r="E264" s="8" t="n">
        <v>44895</v>
      </c>
      <c r="F264" s="2" t="s">
        <v>15</v>
      </c>
      <c r="G264" s="7" t="str">
        <f aca="false">HYPERLINK("https://mncourtfraud.com/file/MCRO_27-CR-19-5875_Order-Evaluation for Competency to Proceed (Rule 20.01)_2022-11-30_20251126175616.pdf","MCRO_27-CR-19-5875_Order-Evaluation for Competency to Proceed (Rule 20.01)_2022-11-30_20251126175616.pdf")</f>
        <v>MCRO_27-CR-19-5875_Order-Evaluation for Competency to Proceed (Rule 20.01)_2022-11-30_20251126175616.pdf</v>
      </c>
      <c r="H264" s="7" t="str">
        <f aca="false">HYPERLINK("https://mncourtfraud.com/file/677e52a3b8403ce87e338b0a2e31e6f8e5ddf03fb0ca7043a341135cf0255eaa.ttf","677e52a3b8403ce87e338b0a2e31e6f8e5ddf03fb0ca7043a341135cf0255eaa")</f>
        <v>677e52a3b8403ce87e338b0a2e31e6f8e5ddf03fb0ca7043a341135cf0255eaa</v>
      </c>
      <c r="I264" s="1" t="s">
        <v>3413</v>
      </c>
      <c r="J264" s="2" t="s">
        <v>3422</v>
      </c>
      <c r="K264" s="2" t="s">
        <v>3422</v>
      </c>
      <c r="L264" s="2" t="s">
        <v>3415</v>
      </c>
      <c r="M264" s="2" t="n">
        <v>149960</v>
      </c>
    </row>
    <row r="265" customFormat="false" ht="18.7" hidden="false" customHeight="true" outlineLevel="0" collapsed="false">
      <c r="A265" s="1" t="n">
        <v>264</v>
      </c>
      <c r="B265" s="7" t="str">
        <f aca="false">HYPERLINK("https://mncourtfraud.com/file/27-CR-19-5875.pdf","27-CR-19-5875")</f>
        <v>27-CR-19-5875</v>
      </c>
      <c r="C265" s="1" t="n">
        <v>1</v>
      </c>
      <c r="D265" s="2" t="s">
        <v>12</v>
      </c>
      <c r="E265" s="8" t="n">
        <v>44895</v>
      </c>
      <c r="F265" s="2" t="s">
        <v>15</v>
      </c>
      <c r="G265" s="7" t="str">
        <f aca="false">HYPERLINK("https://mncourtfraud.com/file/MCRO_27-CR-19-5875_Order-Evaluation for Competency to Proceed (Rule 20.01)_2022-11-30_20251126175616.pdf","MCRO_27-CR-19-5875_Order-Evaluation for Competency to Proceed (Rule 20.01)_2022-11-30_20251126175616.pdf")</f>
        <v>MCRO_27-CR-19-5875_Order-Evaluation for Competency to Proceed (Rule 20.01)_2022-11-30_20251126175616.pdf</v>
      </c>
      <c r="H265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265" s="1" t="s">
        <v>3413</v>
      </c>
      <c r="J265" s="2" t="s">
        <v>3448</v>
      </c>
      <c r="K265" s="2" t="s">
        <v>3448</v>
      </c>
      <c r="L265" s="2" t="s">
        <v>3415</v>
      </c>
      <c r="M265" s="2" t="n">
        <v>916684</v>
      </c>
    </row>
    <row r="266" customFormat="false" ht="18.7" hidden="false" customHeight="true" outlineLevel="0" collapsed="false">
      <c r="A266" s="1" t="n">
        <v>265</v>
      </c>
      <c r="B266" s="7" t="str">
        <f aca="false">HYPERLINK("https://mncourtfraud.com/file/27-CR-19-5875.pdf","27-CR-19-5875")</f>
        <v>27-CR-19-5875</v>
      </c>
      <c r="C266" s="1" t="n">
        <v>1</v>
      </c>
      <c r="D266" s="2" t="s">
        <v>12</v>
      </c>
      <c r="E266" s="8" t="n">
        <v>44895</v>
      </c>
      <c r="F266" s="2" t="s">
        <v>15</v>
      </c>
      <c r="G266" s="7" t="str">
        <f aca="false">HYPERLINK("https://mncourtfraud.com/file/MCRO_27-CR-19-5875_Order-Evaluation for Competency to Proceed (Rule 20.01)_2022-11-30_20251126175616.pdf","MCRO_27-CR-19-5875_Order-Evaluation for Competency to Proceed (Rule 20.01)_2022-11-30_20251126175616.pdf")</f>
        <v>MCRO_27-CR-19-5875_Order-Evaluation for Competency to Proceed (Rule 20.01)_2022-11-30_20251126175616.pdf</v>
      </c>
      <c r="H266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266" s="1" t="s">
        <v>3406</v>
      </c>
      <c r="K266" s="2" t="s">
        <v>3425</v>
      </c>
      <c r="L266" s="2" t="s">
        <v>3408</v>
      </c>
      <c r="M266" s="2" t="n">
        <v>21225</v>
      </c>
      <c r="O266" s="2" t="s">
        <v>3409</v>
      </c>
      <c r="P266" s="2" t="s">
        <v>3410</v>
      </c>
      <c r="S266" s="2" t="n">
        <v>319</v>
      </c>
      <c r="T266" s="2" t="n">
        <v>105</v>
      </c>
    </row>
    <row r="267" customFormat="false" ht="18.7" hidden="false" customHeight="true" outlineLevel="0" collapsed="false">
      <c r="A267" s="1" t="n">
        <v>266</v>
      </c>
      <c r="B267" s="7" t="str">
        <f aca="false">HYPERLINK("https://mncourtfraud.com/file/27-CR-19-5875.pdf","27-CR-19-5875")</f>
        <v>27-CR-19-5875</v>
      </c>
      <c r="C267" s="1" t="n">
        <v>1</v>
      </c>
      <c r="D267" s="2" t="s">
        <v>12</v>
      </c>
      <c r="E267" s="8" t="n">
        <v>44895</v>
      </c>
      <c r="F267" s="2" t="s">
        <v>15</v>
      </c>
      <c r="G267" s="7" t="str">
        <f aca="false">HYPERLINK("https://mncourtfraud.com/file/MCRO_27-CR-19-5875_Order-Evaluation for Competency to Proceed (Rule 20.01)_2022-11-30_20251126175616.pdf","MCRO_27-CR-19-5875_Order-Evaluation for Competency to Proceed (Rule 20.01)_2022-11-30_20251126175616.pdf")</f>
        <v>MCRO_27-CR-19-5875_Order-Evaluation for Competency to Proceed (Rule 20.01)_2022-11-30_20251126175616.pdf</v>
      </c>
      <c r="H267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267" s="1" t="s">
        <v>3413</v>
      </c>
      <c r="J267" s="2" t="s">
        <v>3449</v>
      </c>
      <c r="K267" s="2" t="s">
        <v>3449</v>
      </c>
      <c r="L267" s="2" t="s">
        <v>3415</v>
      </c>
      <c r="M267" s="2" t="n">
        <v>124664</v>
      </c>
    </row>
    <row r="268" customFormat="false" ht="18.7" hidden="false" customHeight="true" outlineLevel="0" collapsed="false">
      <c r="A268" s="1" t="n">
        <v>267</v>
      </c>
      <c r="B268" s="7" t="str">
        <f aca="false">HYPERLINK("https://mncourtfraud.com/file/27-CR-19-5875.pdf","27-CR-19-5875")</f>
        <v>27-CR-19-5875</v>
      </c>
      <c r="C268" s="1" t="n">
        <v>1</v>
      </c>
      <c r="D268" s="2" t="s">
        <v>12</v>
      </c>
      <c r="E268" s="8" t="n">
        <v>44895</v>
      </c>
      <c r="F268" s="2" t="s">
        <v>15</v>
      </c>
      <c r="G268" s="7" t="str">
        <f aca="false">HYPERLINK("https://mncourtfraud.com/file/MCRO_27-CR-19-5875_Order-Evaluation for Competency to Proceed (Rule 20.01)_2022-11-30_20251126175616.pdf","MCRO_27-CR-19-5875_Order-Evaluation for Competency to Proceed (Rule 20.01)_2022-11-30_20251126175616.pdf")</f>
        <v>MCRO_27-CR-19-5875_Order-Evaluation for Competency to Proceed (Rule 20.01)_2022-11-30_20251126175616.pdf</v>
      </c>
      <c r="H268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268" s="1" t="s">
        <v>3413</v>
      </c>
      <c r="J268" s="2" t="s">
        <v>3449</v>
      </c>
      <c r="K268" s="2" t="s">
        <v>3449</v>
      </c>
      <c r="L268" s="2" t="s">
        <v>3415</v>
      </c>
      <c r="M268" s="2" t="n">
        <v>124664</v>
      </c>
    </row>
    <row r="269" customFormat="false" ht="18.7" hidden="false" customHeight="true" outlineLevel="0" collapsed="false">
      <c r="A269" s="1" t="n">
        <v>268</v>
      </c>
      <c r="B269" s="7" t="str">
        <f aca="false">HYPERLINK("https://mncourtfraud.com/file/27-CR-20-14626.pdf","27-CR-20-14626")</f>
        <v>27-CR-20-14626</v>
      </c>
      <c r="C269" s="1" t="n">
        <v>1</v>
      </c>
      <c r="D269" s="2" t="s">
        <v>12</v>
      </c>
      <c r="E269" s="8" t="n">
        <v>44103</v>
      </c>
      <c r="F269" s="2" t="s">
        <v>19</v>
      </c>
      <c r="G269" s="7" t="str">
        <f aca="false">HYPERLINK("https://mncourtfraud.com/file/MCRO_27-CR-20-14626_Findings and Order_2020-09-29_20251126175748.pdf","MCRO_27-CR-20-14626_Findings and Order_2020-09-29_20251126175748.pdf")</f>
        <v>MCRO_27-CR-20-14626_Findings and Order_2020-09-29_20251126175748.pdf</v>
      </c>
      <c r="H269" s="7" t="str">
        <f aca="false">HYPERLINK("https://mncourtfraud.com/file/07e316fd6acde14e6752ac35fdb3665e9ff5ef9e00e600946974d23aa824e93e.png","07e316fd6acde14e6752ac35fdb3665e9ff5ef9e00e600946974d23aa824e93e")</f>
        <v>07e316fd6acde14e6752ac35fdb3665e9ff5ef9e00e600946974d23aa824e93e</v>
      </c>
      <c r="I269" s="1" t="s">
        <v>3406</v>
      </c>
      <c r="L269" s="2" t="s">
        <v>3412</v>
      </c>
      <c r="M269" s="2" t="n">
        <v>111400</v>
      </c>
      <c r="S269" s="2" t="n">
        <v>2560</v>
      </c>
      <c r="T269" s="2" t="n">
        <v>3300</v>
      </c>
    </row>
    <row r="270" customFormat="false" ht="18.7" hidden="false" customHeight="true" outlineLevel="0" collapsed="false">
      <c r="A270" s="1" t="n">
        <v>269</v>
      </c>
      <c r="B270" s="7" t="str">
        <f aca="false">HYPERLINK("https://mncourtfraud.com/file/27-CR-20-14626.pdf","27-CR-20-14626")</f>
        <v>27-CR-20-14626</v>
      </c>
      <c r="C270" s="1" t="n">
        <v>1</v>
      </c>
      <c r="D270" s="2" t="s">
        <v>12</v>
      </c>
      <c r="E270" s="8" t="n">
        <v>44103</v>
      </c>
      <c r="F270" s="2" t="s">
        <v>19</v>
      </c>
      <c r="G270" s="7" t="str">
        <f aca="false">HYPERLINK("https://mncourtfraud.com/file/MCRO_27-CR-20-14626_Findings and Order_2020-09-29_20251126175748.pdf","MCRO_27-CR-20-14626_Findings and Order_2020-09-29_20251126175748.pdf")</f>
        <v>MCRO_27-CR-20-14626_Findings and Order_2020-09-29_20251126175748.pdf</v>
      </c>
      <c r="H270" s="7" t="str">
        <f aca="false">HYPERLINK("https://mncourtfraud.com/file/11d6853f752025b4a249aab4251b562f847a3e41fb629b4cbcb4ec8dff13315a.png","11d6853f752025b4a249aab4251b562f847a3e41fb629b4cbcb4ec8dff13315a")</f>
        <v>11d6853f752025b4a249aab4251b562f847a3e41fb629b4cbcb4ec8dff13315a</v>
      </c>
      <c r="I270" s="1" t="s">
        <v>3406</v>
      </c>
      <c r="L270" s="2" t="s">
        <v>3412</v>
      </c>
      <c r="M270" s="2" t="n">
        <v>112047</v>
      </c>
      <c r="S270" s="2" t="n">
        <v>2560</v>
      </c>
      <c r="T270" s="2" t="n">
        <v>3300</v>
      </c>
    </row>
    <row r="271" customFormat="false" ht="18.7" hidden="false" customHeight="true" outlineLevel="0" collapsed="false">
      <c r="A271" s="1" t="n">
        <v>270</v>
      </c>
      <c r="B271" s="7" t="str">
        <f aca="false">HYPERLINK("https://mncourtfraud.com/file/27-CR-20-14626.pdf","27-CR-20-14626")</f>
        <v>27-CR-20-14626</v>
      </c>
      <c r="C271" s="1" t="n">
        <v>1</v>
      </c>
      <c r="D271" s="2" t="s">
        <v>12</v>
      </c>
      <c r="E271" s="8" t="n">
        <v>44103</v>
      </c>
      <c r="F271" s="2" t="s">
        <v>19</v>
      </c>
      <c r="G271" s="7" t="str">
        <f aca="false">HYPERLINK("https://mncourtfraud.com/file/MCRO_27-CR-20-14626_Findings and Order_2020-09-29_20251126175748.pdf","MCRO_27-CR-20-14626_Findings and Order_2020-09-29_20251126175748.pdf")</f>
        <v>MCRO_27-CR-20-14626_Findings and Order_2020-09-29_20251126175748.pdf</v>
      </c>
      <c r="H271" s="7" t="str">
        <f aca="false">HYPERLINK("https://mncourtfraud.com/file/127cb2cdb982ab960ee2d2f125b54b1d346457e50895c842b62b1be6393cf7ea.png","127cb2cdb982ab960ee2d2f125b54b1d346457e50895c842b62b1be6393cf7ea")</f>
        <v>127cb2cdb982ab960ee2d2f125b54b1d346457e50895c842b62b1be6393cf7ea</v>
      </c>
      <c r="I271" s="1" t="s">
        <v>3406</v>
      </c>
      <c r="L271" s="2" t="s">
        <v>3412</v>
      </c>
      <c r="M271" s="2" t="n">
        <v>128592</v>
      </c>
      <c r="S271" s="2" t="n">
        <v>2560</v>
      </c>
      <c r="T271" s="2" t="n">
        <v>3300</v>
      </c>
    </row>
    <row r="272" customFormat="false" ht="18.7" hidden="false" customHeight="true" outlineLevel="0" collapsed="false">
      <c r="A272" s="1" t="n">
        <v>271</v>
      </c>
      <c r="B272" s="7" t="str">
        <f aca="false">HYPERLINK("https://mncourtfraud.com/file/27-CR-20-14626.pdf","27-CR-20-14626")</f>
        <v>27-CR-20-14626</v>
      </c>
      <c r="C272" s="1" t="n">
        <v>1</v>
      </c>
      <c r="D272" s="2" t="s">
        <v>12</v>
      </c>
      <c r="E272" s="8" t="n">
        <v>44103</v>
      </c>
      <c r="F272" s="2" t="s">
        <v>19</v>
      </c>
      <c r="G272" s="7" t="str">
        <f aca="false">HYPERLINK("https://mncourtfraud.com/file/MCRO_27-CR-20-14626_Findings and Order_2020-09-29_20251126175748.pdf","MCRO_27-CR-20-14626_Findings and Order_2020-09-29_20251126175748.pdf")</f>
        <v>MCRO_27-CR-20-14626_Findings and Order_2020-09-29_20251126175748.pdf</v>
      </c>
      <c r="H272" s="7" t="str">
        <f aca="false">HYPERLINK("https://mncourtfraud.com/file/5ee07b0391e4f938d4624dade86775142f093b69d44110679cb386a9fcdb51dc.png","5ee07b0391e4f938d4624dade86775142f093b69d44110679cb386a9fcdb51dc")</f>
        <v>5ee07b0391e4f938d4624dade86775142f093b69d44110679cb386a9fcdb51dc</v>
      </c>
      <c r="I272" s="1" t="s">
        <v>3406</v>
      </c>
      <c r="L272" s="2" t="s">
        <v>3412</v>
      </c>
      <c r="M272" s="2" t="n">
        <v>141864</v>
      </c>
      <c r="S272" s="2" t="n">
        <v>2560</v>
      </c>
      <c r="T272" s="2" t="n">
        <v>3300</v>
      </c>
    </row>
    <row r="273" customFormat="false" ht="18.7" hidden="false" customHeight="true" outlineLevel="0" collapsed="false">
      <c r="A273" s="1" t="n">
        <v>272</v>
      </c>
      <c r="B273" s="7" t="str">
        <f aca="false">HYPERLINK("https://mncourtfraud.com/file/27-CR-20-14626.pdf","27-CR-20-14626")</f>
        <v>27-CR-20-14626</v>
      </c>
      <c r="C273" s="1" t="n">
        <v>1</v>
      </c>
      <c r="D273" s="2" t="s">
        <v>12</v>
      </c>
      <c r="E273" s="8" t="n">
        <v>44103</v>
      </c>
      <c r="F273" s="2" t="s">
        <v>19</v>
      </c>
      <c r="G273" s="7" t="str">
        <f aca="false">HYPERLINK("https://mncourtfraud.com/file/MCRO_27-CR-20-14626_Findings and Order_2020-09-29_20251126175748.pdf","MCRO_27-CR-20-14626_Findings and Order_2020-09-29_20251126175748.pdf")</f>
        <v>MCRO_27-CR-20-14626_Findings and Order_2020-09-29_20251126175748.pdf</v>
      </c>
      <c r="H273" s="7" t="str">
        <f aca="false">HYPERLINK("https://mncourtfraud.com/file/9298e052f4612cb0f1a6b3a16e09a68c67c5100b302cdb5815615d0bef9cb57b.png","9298e052f4612cb0f1a6b3a16e09a68c67c5100b302cdb5815615d0bef9cb57b")</f>
        <v>9298e052f4612cb0f1a6b3a16e09a68c67c5100b302cdb5815615d0bef9cb57b</v>
      </c>
      <c r="I273" s="1" t="s">
        <v>3406</v>
      </c>
      <c r="L273" s="2" t="s">
        <v>3412</v>
      </c>
      <c r="M273" s="2" t="n">
        <v>132457</v>
      </c>
      <c r="S273" s="2" t="n">
        <v>2560</v>
      </c>
      <c r="T273" s="2" t="n">
        <v>3300</v>
      </c>
    </row>
    <row r="274" customFormat="false" ht="18.7" hidden="false" customHeight="true" outlineLevel="0" collapsed="false">
      <c r="A274" s="1" t="n">
        <v>273</v>
      </c>
      <c r="B274" s="7" t="str">
        <f aca="false">HYPERLINK("https://mncourtfraud.com/file/27-CR-20-14626.pdf","27-CR-20-14626")</f>
        <v>27-CR-20-14626</v>
      </c>
      <c r="C274" s="1" t="n">
        <v>1</v>
      </c>
      <c r="D274" s="2" t="s">
        <v>12</v>
      </c>
      <c r="E274" s="8" t="n">
        <v>44103</v>
      </c>
      <c r="F274" s="2" t="s">
        <v>19</v>
      </c>
      <c r="G274" s="7" t="str">
        <f aca="false">HYPERLINK("https://mncourtfraud.com/file/MCRO_27-CR-20-14626_Findings and Order_2020-09-29_20251126175748.pdf","MCRO_27-CR-20-14626_Findings and Order_2020-09-29_20251126175748.pdf")</f>
        <v>MCRO_27-CR-20-14626_Findings and Order_2020-09-29_20251126175748.pdf</v>
      </c>
      <c r="H274" s="7" t="str">
        <f aca="false">HYPERLINK("https://mncourtfraud.com/file/ed475875d3636fc55785bfc0d90873f236925934528f91fa7187443759c8d7a9.ttf","ed475875d3636fc55785bfc0d90873f236925934528f91fa7187443759c8d7a9")</f>
        <v>ed475875d3636fc55785bfc0d90873f236925934528f91fa7187443759c8d7a9</v>
      </c>
      <c r="I274" s="1" t="s">
        <v>3413</v>
      </c>
      <c r="L274" s="2" t="s">
        <v>3415</v>
      </c>
      <c r="M274" s="2" t="n">
        <v>12924</v>
      </c>
    </row>
    <row r="275" customFormat="false" ht="18.7" hidden="false" customHeight="true" outlineLevel="0" collapsed="false">
      <c r="A275" s="1" t="n">
        <v>274</v>
      </c>
      <c r="B275" s="7" t="str">
        <f aca="false">HYPERLINK("https://mncourtfraud.com/file/27-CR-20-14626.pdf","27-CR-20-14626")</f>
        <v>27-CR-20-14626</v>
      </c>
      <c r="C275" s="1" t="n">
        <v>1</v>
      </c>
      <c r="D275" s="2" t="s">
        <v>12</v>
      </c>
      <c r="E275" s="8" t="n">
        <v>44225</v>
      </c>
      <c r="F275" s="2" t="s">
        <v>15</v>
      </c>
      <c r="G275" s="7" t="str">
        <f aca="false">HYPERLINK("https://mncourtfraud.com/file/MCRO_27-CR-20-14626_Order-Evaluation for Competency to Proceed (Rule 20.01)_2021-01-29_20251126175944.pdf","MCRO_27-CR-20-14626_Order-Evaluation for Competency to Proceed (Rule 20.01)_2021-01-29_20251126175944.pdf")</f>
        <v>MCRO_27-CR-20-14626_Order-Evaluation for Competency to Proceed (Rule 20.01)_2021-01-29_20251126175944.pdf</v>
      </c>
      <c r="H275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275" s="1" t="s">
        <v>3406</v>
      </c>
      <c r="K275" s="2" t="s">
        <v>3420</v>
      </c>
      <c r="L275" s="2" t="s">
        <v>3408</v>
      </c>
      <c r="M275" s="2" t="n">
        <v>7306</v>
      </c>
      <c r="O275" s="2" t="s">
        <v>3409</v>
      </c>
      <c r="P275" s="2" t="s">
        <v>3410</v>
      </c>
      <c r="S275" s="2" t="n">
        <v>319</v>
      </c>
      <c r="T275" s="2" t="n">
        <v>105</v>
      </c>
    </row>
    <row r="276" customFormat="false" ht="18.7" hidden="false" customHeight="true" outlineLevel="0" collapsed="false">
      <c r="A276" s="1" t="n">
        <v>275</v>
      </c>
      <c r="B276" s="7" t="str">
        <f aca="false">HYPERLINK("https://mncourtfraud.com/file/27-CR-20-14626.pdf","27-CR-20-14626")</f>
        <v>27-CR-20-14626</v>
      </c>
      <c r="C276" s="1" t="n">
        <v>1</v>
      </c>
      <c r="D276" s="2" t="s">
        <v>12</v>
      </c>
      <c r="E276" s="8" t="n">
        <v>44225</v>
      </c>
      <c r="F276" s="2" t="s">
        <v>15</v>
      </c>
      <c r="G276" s="7" t="str">
        <f aca="false">HYPERLINK("https://mncourtfraud.com/file/MCRO_27-CR-20-14626_Order-Evaluation for Competency to Proceed (Rule 20.01)_2021-01-29_20251126175944.pdf","MCRO_27-CR-20-14626_Order-Evaluation for Competency to Proceed (Rule 20.01)_2021-01-29_20251126175944.pdf")</f>
        <v>MCRO_27-CR-20-14626_Order-Evaluation for Competency to Proceed (Rule 20.01)_2021-01-29_20251126175944.pdf</v>
      </c>
      <c r="H276" s="7" t="str">
        <f aca="false">HYPERLINK("https://mncourtfraud.com/file/546304e2050278ff497f628e7aee653da606219dd05bf0397179732462a20afc.ttf","546304e2050278ff497f628e7aee653da606219dd05bf0397179732462a20afc")</f>
        <v>546304e2050278ff497f628e7aee653da606219dd05bf0397179732462a20afc</v>
      </c>
      <c r="I276" s="1" t="s">
        <v>3413</v>
      </c>
      <c r="J276" s="2" t="s">
        <v>3421</v>
      </c>
      <c r="K276" s="2" t="s">
        <v>3421</v>
      </c>
      <c r="L276" s="2" t="s">
        <v>3415</v>
      </c>
      <c r="M276" s="2" t="n">
        <v>399420</v>
      </c>
    </row>
    <row r="277" customFormat="false" ht="18.7" hidden="false" customHeight="true" outlineLevel="0" collapsed="false">
      <c r="A277" s="1" t="n">
        <v>276</v>
      </c>
      <c r="B277" s="7" t="str">
        <f aca="false">HYPERLINK("https://mncourtfraud.com/file/27-CR-20-14626.pdf","27-CR-20-14626")</f>
        <v>27-CR-20-14626</v>
      </c>
      <c r="C277" s="1" t="n">
        <v>1</v>
      </c>
      <c r="D277" s="2" t="s">
        <v>12</v>
      </c>
      <c r="E277" s="8" t="n">
        <v>44225</v>
      </c>
      <c r="F277" s="2" t="s">
        <v>15</v>
      </c>
      <c r="G277" s="7" t="str">
        <f aca="false">HYPERLINK("https://mncourtfraud.com/file/MCRO_27-CR-20-14626_Order-Evaluation for Competency to Proceed (Rule 20.01)_2021-01-29_20251126175944.pdf","MCRO_27-CR-20-14626_Order-Evaluation for Competency to Proceed (Rule 20.01)_2021-01-29_20251126175944.pdf")</f>
        <v>MCRO_27-CR-20-14626_Order-Evaluation for Competency to Proceed (Rule 20.01)_2021-01-29_20251126175944.pdf</v>
      </c>
      <c r="H277" s="7" t="str">
        <f aca="false">HYPERLINK("https://mncourtfraud.com/file/5fe279e2bb67346d4b9382b6d426f3b2037a8a7faa39183d4cc98bf1b3eac581.ttf","5fe279e2bb67346d4b9382b6d426f3b2037a8a7faa39183d4cc98bf1b3eac581")</f>
        <v>5fe279e2bb67346d4b9382b6d426f3b2037a8a7faa39183d4cc98bf1b3eac581</v>
      </c>
      <c r="I277" s="1" t="s">
        <v>3413</v>
      </c>
      <c r="J277" s="2" t="s">
        <v>3422</v>
      </c>
      <c r="K277" s="2" t="s">
        <v>3422</v>
      </c>
      <c r="L277" s="2" t="s">
        <v>3415</v>
      </c>
      <c r="M277" s="2" t="n">
        <v>584320</v>
      </c>
    </row>
    <row r="278" customFormat="false" ht="18.7" hidden="false" customHeight="true" outlineLevel="0" collapsed="false">
      <c r="A278" s="1" t="n">
        <v>277</v>
      </c>
      <c r="B278" s="7" t="str">
        <f aca="false">HYPERLINK("https://mncourtfraud.com/file/27-CR-20-14626.pdf","27-CR-20-14626")</f>
        <v>27-CR-20-14626</v>
      </c>
      <c r="C278" s="1" t="n">
        <v>1</v>
      </c>
      <c r="D278" s="2" t="s">
        <v>12</v>
      </c>
      <c r="E278" s="8" t="n">
        <v>44225</v>
      </c>
      <c r="F278" s="2" t="s">
        <v>15</v>
      </c>
      <c r="G278" s="7" t="str">
        <f aca="false">HYPERLINK("https://mncourtfraud.com/file/MCRO_27-CR-20-14626_Order-Evaluation for Competency to Proceed (Rule 20.01)_2021-01-29_20251126175944.pdf","MCRO_27-CR-20-14626_Order-Evaluation for Competency to Proceed (Rule 20.01)_2021-01-29_20251126175944.pdf")</f>
        <v>MCRO_27-CR-20-14626_Order-Evaluation for Competency to Proceed (Rule 20.01)_2021-01-29_20251126175944.pdf</v>
      </c>
      <c r="H278" s="7" t="str">
        <f aca="false">HYPERLINK("https://mncourtfraud.com/file/b1c2362109b3c1555dd5946549cada931b8066060cb7036e6b0b500de41c44e8.ttf","b1c2362109b3c1555dd5946549cada931b8066060cb7036e6b0b500de41c44e8")</f>
        <v>b1c2362109b3c1555dd5946549cada931b8066060cb7036e6b0b500de41c44e8</v>
      </c>
      <c r="I278" s="1" t="s">
        <v>3413</v>
      </c>
      <c r="J278" s="2" t="s">
        <v>3423</v>
      </c>
      <c r="K278" s="2" t="s">
        <v>3423</v>
      </c>
      <c r="L278" s="2" t="s">
        <v>3415</v>
      </c>
      <c r="M278" s="2" t="n">
        <v>25228</v>
      </c>
    </row>
    <row r="279" customFormat="false" ht="18.7" hidden="false" customHeight="true" outlineLevel="0" collapsed="false">
      <c r="A279" s="1" t="n">
        <v>278</v>
      </c>
      <c r="B279" s="7" t="str">
        <f aca="false">HYPERLINK("https://mncourtfraud.com/file/27-CR-20-14626.pdf","27-CR-20-14626")</f>
        <v>27-CR-20-14626</v>
      </c>
      <c r="C279" s="1" t="n">
        <v>1</v>
      </c>
      <c r="D279" s="2" t="s">
        <v>12</v>
      </c>
      <c r="E279" s="8" t="n">
        <v>44225</v>
      </c>
      <c r="F279" s="2" t="s">
        <v>15</v>
      </c>
      <c r="G279" s="7" t="str">
        <f aca="false">HYPERLINK("https://mncourtfraud.com/file/MCRO_27-CR-20-14626_Order-Evaluation for Competency to Proceed (Rule 20.01)_2021-01-29_20251126175944.pdf","MCRO_27-CR-20-14626_Order-Evaluation for Competency to Proceed (Rule 20.01)_2021-01-29_20251126175944.pdf")</f>
        <v>MCRO_27-CR-20-14626_Order-Evaluation for Competency to Proceed (Rule 20.01)_2021-01-29_20251126175944.pdf</v>
      </c>
      <c r="H279" s="7" t="str">
        <f aca="false">HYPERLINK("https://mncourtfraud.com/file/d2c62141a1ec41646c92beed2b2984b9af228aca51b9dba5d40aa343c9c7fc50.ttf","d2c62141a1ec41646c92beed2b2984b9af228aca51b9dba5d40aa343c9c7fc50")</f>
        <v>d2c62141a1ec41646c92beed2b2984b9af228aca51b9dba5d40aa343c9c7fc50</v>
      </c>
      <c r="I279" s="1" t="s">
        <v>3413</v>
      </c>
      <c r="J279" s="2" t="s">
        <v>3424</v>
      </c>
      <c r="K279" s="2" t="s">
        <v>3424</v>
      </c>
      <c r="L279" s="2" t="s">
        <v>3415</v>
      </c>
      <c r="M279" s="2" t="n">
        <v>29188</v>
      </c>
    </row>
    <row r="280" customFormat="false" ht="18.7" hidden="false" customHeight="true" outlineLevel="0" collapsed="false">
      <c r="A280" s="1" t="n">
        <v>279</v>
      </c>
      <c r="B280" s="7" t="str">
        <f aca="false">HYPERLINK("https://mncourtfraud.com/file/27-CR-20-14626.pdf","27-CR-20-14626")</f>
        <v>27-CR-20-14626</v>
      </c>
      <c r="C280" s="1" t="n">
        <v>1</v>
      </c>
      <c r="D280" s="2" t="s">
        <v>12</v>
      </c>
      <c r="E280" s="8" t="n">
        <v>44225</v>
      </c>
      <c r="F280" s="2" t="s">
        <v>15</v>
      </c>
      <c r="G280" s="7" t="str">
        <f aca="false">HYPERLINK("https://mncourtfraud.com/file/MCRO_27-CR-20-14626_Order-Evaluation for Competency to Proceed (Rule 20.01)_2021-01-29_20251126175944.pdf","MCRO_27-CR-20-14626_Order-Evaluation for Competency to Proceed (Rule 20.01)_2021-01-29_20251126175944.pdf")</f>
        <v>MCRO_27-CR-20-14626_Order-Evaluation for Competency to Proceed (Rule 20.01)_2021-01-29_20251126175944.pdf</v>
      </c>
      <c r="H280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280" s="1" t="s">
        <v>3406</v>
      </c>
      <c r="K280" s="2" t="s">
        <v>3425</v>
      </c>
      <c r="L280" s="2" t="s">
        <v>3408</v>
      </c>
      <c r="M280" s="2" t="n">
        <v>21225</v>
      </c>
      <c r="O280" s="2" t="s">
        <v>3409</v>
      </c>
      <c r="P280" s="2" t="s">
        <v>3410</v>
      </c>
      <c r="S280" s="2" t="n">
        <v>319</v>
      </c>
      <c r="T280" s="2" t="n">
        <v>105</v>
      </c>
    </row>
    <row r="281" customFormat="false" ht="18.7" hidden="false" customHeight="true" outlineLevel="0" collapsed="false">
      <c r="A281" s="1" t="n">
        <v>280</v>
      </c>
      <c r="B281" s="7" t="str">
        <f aca="false">HYPERLINK("https://mncourtfraud.com/file/27-CR-20-14626.pdf","27-CR-20-14626")</f>
        <v>27-CR-20-14626</v>
      </c>
      <c r="C281" s="1" t="n">
        <v>1</v>
      </c>
      <c r="D281" s="2" t="s">
        <v>12</v>
      </c>
      <c r="E281" s="8" t="n">
        <v>44396</v>
      </c>
      <c r="F281" s="2" t="s">
        <v>15</v>
      </c>
      <c r="G281" s="7" t="str">
        <f aca="false">HYPERLINK("https://mncourtfraud.com/file/MCRO_27-CR-20-14626_Order-Evaluation for Competency to Proceed (Rule 20.01)_2021-07-19_20251126175844.pdf","MCRO_27-CR-20-14626_Order-Evaluation for Competency to Proceed (Rule 20.01)_2021-07-19_20251126175844.pdf")</f>
        <v>MCRO_27-CR-20-14626_Order-Evaluation for Competency to Proceed (Rule 20.01)_2021-07-19_20251126175844.pdf</v>
      </c>
      <c r="H281" s="7" t="str">
        <f aca="false">HYPERLINK("https://mncourtfraud.com/file/1ea580750c02070b2ef02484c233e678391c224b1742dab6014bc398df5e0ad7.ttf","1ea580750c02070b2ef02484c233e678391c224b1742dab6014bc398df5e0ad7")</f>
        <v>1ea580750c02070b2ef02484c233e678391c224b1742dab6014bc398df5e0ad7</v>
      </c>
      <c r="I281" s="1" t="s">
        <v>3413</v>
      </c>
      <c r="L281" s="2" t="s">
        <v>3415</v>
      </c>
      <c r="M281" s="2" t="n">
        <v>333576</v>
      </c>
    </row>
    <row r="282" customFormat="false" ht="18.7" hidden="false" customHeight="true" outlineLevel="0" collapsed="false">
      <c r="A282" s="1" t="n">
        <v>281</v>
      </c>
      <c r="B282" s="7" t="str">
        <f aca="false">HYPERLINK("https://mncourtfraud.com/file/27-CR-20-14626.pdf","27-CR-20-14626")</f>
        <v>27-CR-20-14626</v>
      </c>
      <c r="C282" s="1" t="n">
        <v>1</v>
      </c>
      <c r="D282" s="2" t="s">
        <v>12</v>
      </c>
      <c r="E282" s="8" t="n">
        <v>44396</v>
      </c>
      <c r="F282" s="2" t="s">
        <v>15</v>
      </c>
      <c r="G282" s="7" t="str">
        <f aca="false">HYPERLINK("https://mncourtfraud.com/file/MCRO_27-CR-20-14626_Order-Evaluation for Competency to Proceed (Rule 20.01)_2021-07-19_20251126175844.pdf","MCRO_27-CR-20-14626_Order-Evaluation for Competency to Proceed (Rule 20.01)_2021-07-19_20251126175844.pdf")</f>
        <v>MCRO_27-CR-20-14626_Order-Evaluation for Competency to Proceed (Rule 20.01)_2021-07-19_20251126175844.pdf</v>
      </c>
      <c r="H282" s="7" t="str">
        <f aca="false">HYPERLINK("https://mncourtfraud.com/file/b349ccd65930a1ffcba1e173dc9dfc4f02fec9d78856ca88cb70c219ec41a78d.png","b349ccd65930a1ffcba1e173dc9dfc4f02fec9d78856ca88cb70c219ec41a78d")</f>
        <v>b349ccd65930a1ffcba1e173dc9dfc4f02fec9d78856ca88cb70c219ec41a78d</v>
      </c>
      <c r="I282" s="1" t="s">
        <v>3406</v>
      </c>
      <c r="L282" s="2" t="s">
        <v>3412</v>
      </c>
      <c r="M282" s="2" t="n">
        <v>155487</v>
      </c>
      <c r="S282" s="2" t="n">
        <v>2550</v>
      </c>
      <c r="T282" s="2" t="n">
        <v>3300</v>
      </c>
    </row>
    <row r="283" customFormat="false" ht="18.7" hidden="false" customHeight="true" outlineLevel="0" collapsed="false">
      <c r="A283" s="1" t="n">
        <v>282</v>
      </c>
      <c r="B283" s="7" t="str">
        <f aca="false">HYPERLINK("https://mncourtfraud.com/file/27-CR-20-14626.pdf","27-CR-20-14626")</f>
        <v>27-CR-20-14626</v>
      </c>
      <c r="C283" s="1" t="n">
        <v>1</v>
      </c>
      <c r="D283" s="2" t="s">
        <v>12</v>
      </c>
      <c r="E283" s="8" t="n">
        <v>44396</v>
      </c>
      <c r="F283" s="2" t="s">
        <v>15</v>
      </c>
      <c r="G283" s="7" t="str">
        <f aca="false">HYPERLINK("https://mncourtfraud.com/file/MCRO_27-CR-20-14626_Order-Evaluation for Competency to Proceed (Rule 20.01)_2021-07-19_20251126175844.pdf","MCRO_27-CR-20-14626_Order-Evaluation for Competency to Proceed (Rule 20.01)_2021-07-19_20251126175844.pdf")</f>
        <v>MCRO_27-CR-20-14626_Order-Evaluation for Competency to Proceed (Rule 20.01)_2021-07-19_20251126175844.pdf</v>
      </c>
      <c r="H283" s="7" t="str">
        <f aca="false">HYPERLINK("https://mncourtfraud.com/file/db8ddc89ca6b1533fb5434228144bc01e00c527aaece3feaacf8c253afa0a507.png","db8ddc89ca6b1533fb5434228144bc01e00c527aaece3feaacf8c253afa0a507")</f>
        <v>db8ddc89ca6b1533fb5434228144bc01e00c527aaece3feaacf8c253afa0a507</v>
      </c>
      <c r="I283" s="1" t="s">
        <v>3406</v>
      </c>
      <c r="L283" s="2" t="s">
        <v>3412</v>
      </c>
      <c r="M283" s="2" t="n">
        <v>145533</v>
      </c>
      <c r="S283" s="2" t="n">
        <v>2550</v>
      </c>
      <c r="T283" s="2" t="n">
        <v>3300</v>
      </c>
    </row>
    <row r="284" customFormat="false" ht="18.7" hidden="false" customHeight="true" outlineLevel="0" collapsed="false">
      <c r="A284" s="1" t="n">
        <v>283</v>
      </c>
      <c r="B284" s="7" t="str">
        <f aca="false">HYPERLINK("https://mncourtfraud.com/file/27-CR-20-14626.pdf","27-CR-20-14626")</f>
        <v>27-CR-20-14626</v>
      </c>
      <c r="C284" s="1" t="n">
        <v>1</v>
      </c>
      <c r="D284" s="2" t="s">
        <v>12</v>
      </c>
      <c r="E284" s="8" t="n">
        <v>44439</v>
      </c>
      <c r="F284" s="2" t="s">
        <v>19</v>
      </c>
      <c r="G284" s="7" t="str">
        <f aca="false">HYPERLINK("https://mncourtfraud.com/file/MCRO_27-CR-20-14626_Findings and Order_2021-08-31_20251126175800.pdf","MCRO_27-CR-20-14626_Findings and Order_2021-08-31_20251126175800.pdf")</f>
        <v>MCRO_27-CR-20-14626_Findings and Order_2021-08-31_20251126175800.pdf</v>
      </c>
      <c r="H284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284" s="1" t="s">
        <v>3413</v>
      </c>
      <c r="J284" s="2" t="s">
        <v>3426</v>
      </c>
      <c r="K284" s="2" t="s">
        <v>3426</v>
      </c>
      <c r="L284" s="2" t="s">
        <v>3415</v>
      </c>
      <c r="M284" s="2" t="n">
        <v>74997</v>
      </c>
      <c r="N284" s="2" t="s">
        <v>3427</v>
      </c>
    </row>
    <row r="285" customFormat="false" ht="18.7" hidden="false" customHeight="true" outlineLevel="0" collapsed="false">
      <c r="A285" s="1" t="n">
        <v>284</v>
      </c>
      <c r="B285" s="7" t="str">
        <f aca="false">HYPERLINK("https://mncourtfraud.com/file/27-CR-20-14626.pdf","27-CR-20-14626")</f>
        <v>27-CR-20-14626</v>
      </c>
      <c r="C285" s="1" t="n">
        <v>1</v>
      </c>
      <c r="D285" s="2" t="s">
        <v>12</v>
      </c>
      <c r="E285" s="8" t="n">
        <v>44439</v>
      </c>
      <c r="F285" s="2" t="s">
        <v>19</v>
      </c>
      <c r="G285" s="7" t="str">
        <f aca="false">HYPERLINK("https://mncourtfraud.com/file/MCRO_27-CR-20-14626_Findings and Order_2021-08-31_20251126175800.pdf","MCRO_27-CR-20-14626_Findings and Order_2021-08-31_20251126175800.pdf")</f>
        <v>MCRO_27-CR-20-14626_Findings and Order_2021-08-31_20251126175800.pdf</v>
      </c>
      <c r="H285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285" s="1" t="s">
        <v>3413</v>
      </c>
      <c r="J285" s="2" t="s">
        <v>3414</v>
      </c>
      <c r="K285" s="2" t="s">
        <v>3414</v>
      </c>
      <c r="L285" s="2" t="s">
        <v>3415</v>
      </c>
      <c r="M285" s="2" t="n">
        <v>65384</v>
      </c>
    </row>
    <row r="286" customFormat="false" ht="18.7" hidden="false" customHeight="true" outlineLevel="0" collapsed="false">
      <c r="A286" s="1" t="n">
        <v>285</v>
      </c>
      <c r="B286" s="7" t="str">
        <f aca="false">HYPERLINK("https://mncourtfraud.com/file/27-CR-20-14626.pdf","27-CR-20-14626")</f>
        <v>27-CR-20-14626</v>
      </c>
      <c r="C286" s="1" t="n">
        <v>1</v>
      </c>
      <c r="D286" s="2" t="s">
        <v>12</v>
      </c>
      <c r="E286" s="8" t="n">
        <v>44439</v>
      </c>
      <c r="F286" s="2" t="s">
        <v>19</v>
      </c>
      <c r="G286" s="7" t="str">
        <f aca="false">HYPERLINK("https://mncourtfraud.com/file/MCRO_27-CR-20-14626_Findings and Order_2021-08-31_20251126175800.pdf","MCRO_27-CR-20-14626_Findings and Order_2021-08-31_20251126175800.pdf")</f>
        <v>MCRO_27-CR-20-14626_Findings and Order_2021-08-31_20251126175800.pdf</v>
      </c>
      <c r="H286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286" s="1" t="s">
        <v>3413</v>
      </c>
      <c r="J286" s="2" t="s">
        <v>3414</v>
      </c>
      <c r="K286" s="2" t="s">
        <v>3414</v>
      </c>
      <c r="L286" s="2" t="s">
        <v>3415</v>
      </c>
      <c r="M286" s="2" t="n">
        <v>65384</v>
      </c>
    </row>
    <row r="287" customFormat="false" ht="18.7" hidden="false" customHeight="true" outlineLevel="0" collapsed="false">
      <c r="A287" s="1" t="n">
        <v>286</v>
      </c>
      <c r="B287" s="7" t="str">
        <f aca="false">HYPERLINK("https://mncourtfraud.com/file/27-CR-20-14626.pdf","27-CR-20-14626")</f>
        <v>27-CR-20-14626</v>
      </c>
      <c r="C287" s="1" t="n">
        <v>1</v>
      </c>
      <c r="D287" s="2" t="s">
        <v>12</v>
      </c>
      <c r="E287" s="8" t="n">
        <v>44439</v>
      </c>
      <c r="F287" s="2" t="s">
        <v>19</v>
      </c>
      <c r="G287" s="7" t="str">
        <f aca="false">HYPERLINK("https://mncourtfraud.com/file/MCRO_27-CR-20-14626_Findings and Order_2021-08-31_20251126175800.pdf","MCRO_27-CR-20-14626_Findings and Order_2021-08-31_20251126175800.pdf")</f>
        <v>MCRO_27-CR-20-14626_Findings and Order_2021-08-31_20251126175800.pdf</v>
      </c>
      <c r="H287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287" s="1" t="s">
        <v>3428</v>
      </c>
      <c r="J287" s="2" t="s">
        <v>3429</v>
      </c>
      <c r="K287" s="2" t="s">
        <v>3429</v>
      </c>
      <c r="L287" s="2" t="s">
        <v>3415</v>
      </c>
      <c r="M287" s="2" t="n">
        <v>86093</v>
      </c>
    </row>
    <row r="288" customFormat="false" ht="18.7" hidden="false" customHeight="true" outlineLevel="0" collapsed="false">
      <c r="A288" s="1" t="n">
        <v>287</v>
      </c>
      <c r="B288" s="7" t="str">
        <f aca="false">HYPERLINK("https://mncourtfraud.com/file/27-CR-20-14626.pdf","27-CR-20-14626")</f>
        <v>27-CR-20-14626</v>
      </c>
      <c r="C288" s="1" t="n">
        <v>1</v>
      </c>
      <c r="D288" s="2" t="s">
        <v>12</v>
      </c>
      <c r="E288" s="8" t="n">
        <v>44439</v>
      </c>
      <c r="F288" s="2" t="s">
        <v>19</v>
      </c>
      <c r="G288" s="7" t="str">
        <f aca="false">HYPERLINK("https://mncourtfraud.com/file/MCRO_27-CR-20-14626_Findings and Order_2021-08-31_20251126175800.pdf","MCRO_27-CR-20-14626_Findings and Order_2021-08-31_20251126175800.pdf")</f>
        <v>MCRO_27-CR-20-14626_Findings and Order_2021-08-31_20251126175800.pdf</v>
      </c>
      <c r="H288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288" s="1" t="s">
        <v>3406</v>
      </c>
      <c r="K288" s="2" t="s">
        <v>3430</v>
      </c>
      <c r="L288" s="2" t="s">
        <v>3408</v>
      </c>
      <c r="M288" s="2" t="n">
        <v>28069</v>
      </c>
      <c r="O288" s="2" t="s">
        <v>3409</v>
      </c>
      <c r="P288" s="2" t="s">
        <v>3410</v>
      </c>
      <c r="S288" s="2" t="n">
        <v>448</v>
      </c>
      <c r="T288" s="2" t="n">
        <v>128</v>
      </c>
    </row>
    <row r="289" customFormat="false" ht="18.7" hidden="false" customHeight="true" outlineLevel="0" collapsed="false">
      <c r="A289" s="1" t="n">
        <v>288</v>
      </c>
      <c r="B289" s="7" t="str">
        <f aca="false">HYPERLINK("https://mncourtfraud.com/file/27-CR-20-14626.pdf","27-CR-20-14626")</f>
        <v>27-CR-20-14626</v>
      </c>
      <c r="C289" s="1" t="n">
        <v>1</v>
      </c>
      <c r="D289" s="2" t="s">
        <v>12</v>
      </c>
      <c r="E289" s="8" t="n">
        <v>44439</v>
      </c>
      <c r="F289" s="2" t="s">
        <v>19</v>
      </c>
      <c r="G289" s="7" t="str">
        <f aca="false">HYPERLINK("https://mncourtfraud.com/file/MCRO_27-CR-20-14626_Findings and Order_2021-08-31_20251126175800.pdf","MCRO_27-CR-20-14626_Findings and Order_2021-08-31_20251126175800.pdf")</f>
        <v>MCRO_27-CR-20-14626_Findings and Order_2021-08-31_20251126175800.pdf</v>
      </c>
      <c r="H289" s="7" t="str">
        <f aca="false">HYPERLINK("https://mncourtfraud.com/file/d85226137c53579f37f2c87321a4ff209a309a82330591d9457774d7d697befc.ttf","d85226137c53579f37f2c87321a4ff209a309a82330591d9457774d7d697befc")</f>
        <v>d85226137c53579f37f2c87321a4ff209a309a82330591d9457774d7d697befc</v>
      </c>
      <c r="I289" s="1" t="s">
        <v>3413</v>
      </c>
      <c r="J289" s="2" t="s">
        <v>3414</v>
      </c>
      <c r="K289" s="2" t="s">
        <v>3416</v>
      </c>
      <c r="L289" s="2" t="s">
        <v>3415</v>
      </c>
      <c r="M289" s="2" t="n">
        <v>49992</v>
      </c>
    </row>
    <row r="290" customFormat="false" ht="18.7" hidden="false" customHeight="true" outlineLevel="0" collapsed="false">
      <c r="A290" s="1" t="n">
        <v>289</v>
      </c>
      <c r="B290" s="7" t="str">
        <f aca="false">HYPERLINK("https://mncourtfraud.com/file/27-CR-20-14626.pdf","27-CR-20-14626")</f>
        <v>27-CR-20-14626</v>
      </c>
      <c r="C290" s="1" t="n">
        <v>1</v>
      </c>
      <c r="D290" s="2" t="s">
        <v>12</v>
      </c>
      <c r="E290" s="8" t="n">
        <v>44460</v>
      </c>
      <c r="F290" s="2" t="s">
        <v>24</v>
      </c>
      <c r="G290" s="7" t="str">
        <f aca="false">HYPERLINK("https://mncourtfraud.com/file/MCRO_27-CR-20-14626_Order for Conditional Release_2021-09-21_20251126175819.pdf","MCRO_27-CR-20-14626_Order for Conditional Release_2021-09-21_20251126175819.pdf")</f>
        <v>MCRO_27-CR-20-14626_Order for Conditional Release_2021-09-21_20251126175819.pdf</v>
      </c>
      <c r="H290" s="7" t="str">
        <f aca="false">HYPERLINK("https://mncourtfraud.com/file/02dfb6e08fd11b3563d1b9b621b56dbf2dc11acbd85e42bfd83f728fb300bef2.ttf","02dfb6e08fd11b3563d1b9b621b56dbf2dc11acbd85e42bfd83f728fb300bef2")</f>
        <v>02dfb6e08fd11b3563d1b9b621b56dbf2dc11acbd85e42bfd83f728fb300bef2</v>
      </c>
      <c r="I290" s="1" t="s">
        <v>3413</v>
      </c>
      <c r="L290" s="2" t="s">
        <v>3415</v>
      </c>
      <c r="M290" s="2" t="n">
        <v>333576</v>
      </c>
    </row>
    <row r="291" customFormat="false" ht="18.7" hidden="false" customHeight="true" outlineLevel="0" collapsed="false">
      <c r="A291" s="1" t="n">
        <v>290</v>
      </c>
      <c r="B291" s="7" t="str">
        <f aca="false">HYPERLINK("https://mncourtfraud.com/file/27-CR-20-14626.pdf","27-CR-20-14626")</f>
        <v>27-CR-20-14626</v>
      </c>
      <c r="C291" s="1" t="n">
        <v>1</v>
      </c>
      <c r="D291" s="2" t="s">
        <v>12</v>
      </c>
      <c r="E291" s="8" t="n">
        <v>44460</v>
      </c>
      <c r="F291" s="2" t="s">
        <v>24</v>
      </c>
      <c r="G291" s="7" t="str">
        <f aca="false">HYPERLINK("https://mncourtfraud.com/file/MCRO_27-CR-20-14626_Order for Conditional Release_2021-09-21_20251126175819.pdf","MCRO_27-CR-20-14626_Order for Conditional Release_2021-09-21_20251126175819.pdf")</f>
        <v>MCRO_27-CR-20-14626_Order for Conditional Release_2021-09-21_20251126175819.pdf</v>
      </c>
      <c r="H291" s="7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291" s="1" t="s">
        <v>3406</v>
      </c>
      <c r="L291" s="2" t="s">
        <v>3412</v>
      </c>
      <c r="M291" s="2" t="n">
        <v>152962</v>
      </c>
      <c r="S291" s="2" t="n">
        <v>2560</v>
      </c>
      <c r="T291" s="2" t="n">
        <v>3300</v>
      </c>
    </row>
    <row r="292" customFormat="false" ht="18.7" hidden="false" customHeight="true" outlineLevel="0" collapsed="false">
      <c r="A292" s="1" t="n">
        <v>291</v>
      </c>
      <c r="B292" s="7" t="str">
        <f aca="false">HYPERLINK("https://mncourtfraud.com/file/27-CR-20-14626.pdf","27-CR-20-14626")</f>
        <v>27-CR-20-14626</v>
      </c>
      <c r="C292" s="1" t="n">
        <v>1</v>
      </c>
      <c r="D292" s="2" t="s">
        <v>12</v>
      </c>
      <c r="E292" s="8" t="n">
        <v>44468</v>
      </c>
      <c r="F292" s="2" t="s">
        <v>24</v>
      </c>
      <c r="G292" s="7" t="str">
        <f aca="false">HYPERLINK("https://mncourtfraud.com/file/MCRO_27-CR-20-14626_Order for Conditional Release_2021-09-29_20251126175828.pdf","MCRO_27-CR-20-14626_Order for Conditional Release_2021-09-29_20251126175828.pdf")</f>
        <v>MCRO_27-CR-20-14626_Order for Conditional Release_2021-09-29_20251126175828.pdf</v>
      </c>
      <c r="H292" s="7" t="str">
        <f aca="false">HYPERLINK("https://mncourtfraud.com/file/29d541cb6920f2a0815a72232c8164e19ffda7ff89f025261d343aef97d55c23.png","29d541cb6920f2a0815a72232c8164e19ffda7ff89f025261d343aef97d55c23")</f>
        <v>29d541cb6920f2a0815a72232c8164e19ffda7ff89f025261d343aef97d55c23</v>
      </c>
      <c r="I292" s="1" t="s">
        <v>3406</v>
      </c>
      <c r="L292" s="2" t="s">
        <v>3412</v>
      </c>
      <c r="M292" s="2" t="n">
        <v>104</v>
      </c>
      <c r="S292" s="2" t="n">
        <v>5</v>
      </c>
      <c r="T292" s="2" t="n">
        <v>75</v>
      </c>
    </row>
    <row r="293" customFormat="false" ht="18.7" hidden="false" customHeight="true" outlineLevel="0" collapsed="false">
      <c r="A293" s="1" t="n">
        <v>292</v>
      </c>
      <c r="B293" s="7" t="str">
        <f aca="false">HYPERLINK("https://mncourtfraud.com/file/27-CR-20-14626.pdf","27-CR-20-14626")</f>
        <v>27-CR-20-14626</v>
      </c>
      <c r="C293" s="1" t="n">
        <v>1</v>
      </c>
      <c r="D293" s="2" t="s">
        <v>12</v>
      </c>
      <c r="E293" s="8" t="n">
        <v>44468</v>
      </c>
      <c r="F293" s="2" t="s">
        <v>24</v>
      </c>
      <c r="G293" s="7" t="str">
        <f aca="false">HYPERLINK("https://mncourtfraud.com/file/MCRO_27-CR-20-14626_Order for Conditional Release_2021-09-29_20251126175828.pdf","MCRO_27-CR-20-14626_Order for Conditional Release_2021-09-29_20251126175828.pdf")</f>
        <v>MCRO_27-CR-20-14626_Order for Conditional Release_2021-09-29_20251126175828.pdf</v>
      </c>
      <c r="H293" s="7" t="str">
        <f aca="false">HYPERLINK("https://mncourtfraud.com/file/3d978c70f8a4a91fd25d0f653c2931516767fdd837fcadff75a8c3cd2ba3a28e.png","3d978c70f8a4a91fd25d0f653c2931516767fdd837fcadff75a8c3cd2ba3a28e")</f>
        <v>3d978c70f8a4a91fd25d0f653c2931516767fdd837fcadff75a8c3cd2ba3a28e</v>
      </c>
      <c r="I293" s="1" t="s">
        <v>3406</v>
      </c>
      <c r="L293" s="2" t="s">
        <v>3412</v>
      </c>
      <c r="M293" s="2" t="n">
        <v>2435</v>
      </c>
      <c r="S293" s="2" t="n">
        <v>1069</v>
      </c>
      <c r="T293" s="2" t="n">
        <v>679</v>
      </c>
    </row>
    <row r="294" customFormat="false" ht="18.7" hidden="false" customHeight="true" outlineLevel="0" collapsed="false">
      <c r="A294" s="1" t="n">
        <v>293</v>
      </c>
      <c r="B294" s="7" t="str">
        <f aca="false">HYPERLINK("https://mncourtfraud.com/file/27-CR-20-14626.pdf","27-CR-20-14626")</f>
        <v>27-CR-20-14626</v>
      </c>
      <c r="C294" s="1" t="n">
        <v>1</v>
      </c>
      <c r="D294" s="2" t="s">
        <v>12</v>
      </c>
      <c r="E294" s="8" t="n">
        <v>44468</v>
      </c>
      <c r="F294" s="2" t="s">
        <v>24</v>
      </c>
      <c r="G294" s="7" t="str">
        <f aca="false">HYPERLINK("https://mncourtfraud.com/file/MCRO_27-CR-20-14626_Order for Conditional Release_2021-09-29_20251126175828.pdf","MCRO_27-CR-20-14626_Order for Conditional Release_2021-09-29_20251126175828.pdf")</f>
        <v>MCRO_27-CR-20-14626_Order for Conditional Release_2021-09-29_20251126175828.pdf</v>
      </c>
      <c r="H294" s="7" t="str">
        <f aca="false">HYPERLINK("https://mncourtfraud.com/file/3f202249d41f264cabf7a4fd2c634829df7886c25cb759658f06c1a8bca28360.cid","3f202249d41f264cabf7a4fd2c634829df7886c25cb759658f06c1a8bca28360")</f>
        <v>3f202249d41f264cabf7a4fd2c634829df7886c25cb759658f06c1a8bca28360</v>
      </c>
      <c r="I294" s="1" t="s">
        <v>3431</v>
      </c>
      <c r="L294" s="2" t="s">
        <v>3415</v>
      </c>
      <c r="M294" s="2" t="n">
        <v>1397</v>
      </c>
    </row>
    <row r="295" customFormat="false" ht="18.7" hidden="false" customHeight="true" outlineLevel="0" collapsed="false">
      <c r="A295" s="1" t="n">
        <v>294</v>
      </c>
      <c r="B295" s="7" t="str">
        <f aca="false">HYPERLINK("https://mncourtfraud.com/file/27-CR-20-14626.pdf","27-CR-20-14626")</f>
        <v>27-CR-20-14626</v>
      </c>
      <c r="C295" s="1" t="n">
        <v>1</v>
      </c>
      <c r="D295" s="2" t="s">
        <v>12</v>
      </c>
      <c r="E295" s="8" t="n">
        <v>44468</v>
      </c>
      <c r="F295" s="2" t="s">
        <v>24</v>
      </c>
      <c r="G295" s="7" t="str">
        <f aca="false">HYPERLINK("https://mncourtfraud.com/file/MCRO_27-CR-20-14626_Order for Conditional Release_2021-09-29_20251126175828.pdf","MCRO_27-CR-20-14626_Order for Conditional Release_2021-09-29_20251126175828.pdf")</f>
        <v>MCRO_27-CR-20-14626_Order for Conditional Release_2021-09-29_20251126175828.pdf</v>
      </c>
      <c r="H295" s="7" t="str">
        <f aca="false">HYPERLINK("https://mncourtfraud.com/file/425a64ecdc19aa0c86b927b2be8980d179c92ac4af2a49d3c3ad0aa278728c52.png","425a64ecdc19aa0c86b927b2be8980d179c92ac4af2a49d3c3ad0aa278728c52")</f>
        <v>425a64ecdc19aa0c86b927b2be8980d179c92ac4af2a49d3c3ad0aa278728c52</v>
      </c>
      <c r="I295" s="1" t="s">
        <v>3406</v>
      </c>
      <c r="L295" s="2" t="s">
        <v>3412</v>
      </c>
      <c r="M295" s="2" t="n">
        <v>520</v>
      </c>
      <c r="S295" s="2" t="n">
        <v>126</v>
      </c>
      <c r="T295" s="2" t="n">
        <v>150</v>
      </c>
    </row>
    <row r="296" customFormat="false" ht="18.7" hidden="false" customHeight="true" outlineLevel="0" collapsed="false">
      <c r="A296" s="1" t="n">
        <v>295</v>
      </c>
      <c r="B296" s="7" t="str">
        <f aca="false">HYPERLINK("https://mncourtfraud.com/file/27-CR-20-14626.pdf","27-CR-20-14626")</f>
        <v>27-CR-20-14626</v>
      </c>
      <c r="C296" s="1" t="n">
        <v>1</v>
      </c>
      <c r="D296" s="2" t="s">
        <v>12</v>
      </c>
      <c r="E296" s="8" t="n">
        <v>44468</v>
      </c>
      <c r="F296" s="2" t="s">
        <v>24</v>
      </c>
      <c r="G296" s="7" t="str">
        <f aca="false">HYPERLINK("https://mncourtfraud.com/file/MCRO_27-CR-20-14626_Order for Conditional Release_2021-09-29_20251126175828.pdf","MCRO_27-CR-20-14626_Order for Conditional Release_2021-09-29_20251126175828.pdf")</f>
        <v>MCRO_27-CR-20-14626_Order for Conditional Release_2021-09-29_20251126175828.pdf</v>
      </c>
      <c r="H296" s="7" t="str">
        <f aca="false">HYPERLINK("https://mncourtfraud.com/file/4458a2b033c8132fd890227750c1df180ec4563b9dc0a6394b3691240425c9b3.cid","4458a2b033c8132fd890227750c1df180ec4563b9dc0a6394b3691240425c9b3")</f>
        <v>4458a2b033c8132fd890227750c1df180ec4563b9dc0a6394b3691240425c9b3</v>
      </c>
      <c r="I296" s="1" t="s">
        <v>3431</v>
      </c>
      <c r="L296" s="2" t="s">
        <v>3415</v>
      </c>
      <c r="M296" s="2" t="n">
        <v>3580</v>
      </c>
    </row>
    <row r="297" customFormat="false" ht="18.7" hidden="false" customHeight="true" outlineLevel="0" collapsed="false">
      <c r="A297" s="1" t="n">
        <v>296</v>
      </c>
      <c r="B297" s="7" t="str">
        <f aca="false">HYPERLINK("https://mncourtfraud.com/file/27-CR-20-14626.pdf","27-CR-20-14626")</f>
        <v>27-CR-20-14626</v>
      </c>
      <c r="C297" s="1" t="n">
        <v>1</v>
      </c>
      <c r="D297" s="2" t="s">
        <v>12</v>
      </c>
      <c r="E297" s="8" t="n">
        <v>44468</v>
      </c>
      <c r="F297" s="2" t="s">
        <v>24</v>
      </c>
      <c r="G297" s="7" t="str">
        <f aca="false">HYPERLINK("https://mncourtfraud.com/file/MCRO_27-CR-20-14626_Order for Conditional Release_2021-09-29_20251126175828.pdf","MCRO_27-CR-20-14626_Order for Conditional Release_2021-09-29_20251126175828.pdf")</f>
        <v>MCRO_27-CR-20-14626_Order for Conditional Release_2021-09-29_20251126175828.pdf</v>
      </c>
      <c r="H297" s="7" t="str">
        <f aca="false">HYPERLINK("https://mncourtfraud.com/file/45a9f49ddf96d4a4dcf4561d2702204f448986045babf3fdd52fa18200557e31.png","45a9f49ddf96d4a4dcf4561d2702204f448986045babf3fdd52fa18200557e31")</f>
        <v>45a9f49ddf96d4a4dcf4561d2702204f448986045babf3fdd52fa18200557e31</v>
      </c>
      <c r="I297" s="1" t="s">
        <v>3406</v>
      </c>
      <c r="L297" s="2" t="s">
        <v>3412</v>
      </c>
      <c r="M297" s="2" t="n">
        <v>97</v>
      </c>
      <c r="S297" s="2" t="n">
        <v>3</v>
      </c>
      <c r="T297" s="2" t="n">
        <v>4</v>
      </c>
    </row>
    <row r="298" customFormat="false" ht="18.7" hidden="false" customHeight="true" outlineLevel="0" collapsed="false">
      <c r="A298" s="1" t="n">
        <v>297</v>
      </c>
      <c r="B298" s="7" t="str">
        <f aca="false">HYPERLINK("https://mncourtfraud.com/file/27-CR-20-14626.pdf","27-CR-20-14626")</f>
        <v>27-CR-20-14626</v>
      </c>
      <c r="C298" s="1" t="n">
        <v>1</v>
      </c>
      <c r="D298" s="2" t="s">
        <v>12</v>
      </c>
      <c r="E298" s="8" t="n">
        <v>44468</v>
      </c>
      <c r="F298" s="2" t="s">
        <v>24</v>
      </c>
      <c r="G298" s="7" t="str">
        <f aca="false">HYPERLINK("https://mncourtfraud.com/file/MCRO_27-CR-20-14626_Order for Conditional Release_2021-09-29_20251126175828.pdf","MCRO_27-CR-20-14626_Order for Conditional Release_2021-09-29_20251126175828.pdf")</f>
        <v>MCRO_27-CR-20-14626_Order for Conditional Release_2021-09-29_20251126175828.pdf</v>
      </c>
      <c r="H298" s="7" t="str">
        <f aca="false">HYPERLINK("https://mncourtfraud.com/file/50457dc3e0bb6204f128f3222c76884dffaf132a86395902e3967a44a5d511ed.cid","50457dc3e0bb6204f128f3222c76884dffaf132a86395902e3967a44a5d511ed")</f>
        <v>50457dc3e0bb6204f128f3222c76884dffaf132a86395902e3967a44a5d511ed</v>
      </c>
      <c r="I298" s="1" t="s">
        <v>3431</v>
      </c>
      <c r="L298" s="2" t="s">
        <v>3415</v>
      </c>
      <c r="M298" s="2" t="n">
        <v>2839</v>
      </c>
    </row>
    <row r="299" customFormat="false" ht="18.7" hidden="false" customHeight="true" outlineLevel="0" collapsed="false">
      <c r="A299" s="1" t="n">
        <v>298</v>
      </c>
      <c r="B299" s="7" t="str">
        <f aca="false">HYPERLINK("https://mncourtfraud.com/file/27-CR-20-14626.pdf","27-CR-20-14626")</f>
        <v>27-CR-20-14626</v>
      </c>
      <c r="C299" s="1" t="n">
        <v>1</v>
      </c>
      <c r="D299" s="2" t="s">
        <v>12</v>
      </c>
      <c r="E299" s="8" t="n">
        <v>44468</v>
      </c>
      <c r="F299" s="2" t="s">
        <v>24</v>
      </c>
      <c r="G299" s="7" t="str">
        <f aca="false">HYPERLINK("https://mncourtfraud.com/file/MCRO_27-CR-20-14626_Order for Conditional Release_2021-09-29_20251126175828.pdf","MCRO_27-CR-20-14626_Order for Conditional Release_2021-09-29_20251126175828.pdf")</f>
        <v>MCRO_27-CR-20-14626_Order for Conditional Release_2021-09-29_20251126175828.pdf</v>
      </c>
      <c r="H299" s="7" t="str">
        <f aca="false">HYPERLINK("https://mncourtfraud.com/file/52f2827f81e9a21813e5089396a7afa6accf4023998e877d3b9460283e0bb9a5.cid","52f2827f81e9a21813e5089396a7afa6accf4023998e877d3b9460283e0bb9a5")</f>
        <v>52f2827f81e9a21813e5089396a7afa6accf4023998e877d3b9460283e0bb9a5</v>
      </c>
      <c r="I299" s="1" t="s">
        <v>3431</v>
      </c>
      <c r="L299" s="2" t="s">
        <v>3415</v>
      </c>
      <c r="M299" s="2" t="n">
        <v>381</v>
      </c>
    </row>
    <row r="300" customFormat="false" ht="18.7" hidden="false" customHeight="true" outlineLevel="0" collapsed="false">
      <c r="A300" s="1" t="n">
        <v>299</v>
      </c>
      <c r="B300" s="7" t="str">
        <f aca="false">HYPERLINK("https://mncourtfraud.com/file/27-CR-20-14626.pdf","27-CR-20-14626")</f>
        <v>27-CR-20-14626</v>
      </c>
      <c r="C300" s="1" t="n">
        <v>1</v>
      </c>
      <c r="D300" s="2" t="s">
        <v>12</v>
      </c>
      <c r="E300" s="8" t="n">
        <v>44468</v>
      </c>
      <c r="F300" s="2" t="s">
        <v>24</v>
      </c>
      <c r="G300" s="7" t="str">
        <f aca="false">HYPERLINK("https://mncourtfraud.com/file/MCRO_27-CR-20-14626_Order for Conditional Release_2021-09-29_20251126175828.pdf","MCRO_27-CR-20-14626_Order for Conditional Release_2021-09-29_20251126175828.pdf")</f>
        <v>MCRO_27-CR-20-14626_Order for Conditional Release_2021-09-29_20251126175828.pdf</v>
      </c>
      <c r="H300" s="7" t="str">
        <f aca="false">HYPERLINK("https://mncourtfraud.com/file/5bf127b8427f0831bc8864aa549643604be6b63d8ca96ff1ba7182ccec9bc2ad.cid","5bf127b8427f0831bc8864aa549643604be6b63d8ca96ff1ba7182ccec9bc2ad")</f>
        <v>5bf127b8427f0831bc8864aa549643604be6b63d8ca96ff1ba7182ccec9bc2ad</v>
      </c>
      <c r="I300" s="1" t="s">
        <v>3431</v>
      </c>
      <c r="L300" s="2" t="s">
        <v>3415</v>
      </c>
      <c r="M300" s="2" t="n">
        <v>7990</v>
      </c>
    </row>
    <row r="301" customFormat="false" ht="18.7" hidden="false" customHeight="true" outlineLevel="0" collapsed="false">
      <c r="A301" s="1" t="n">
        <v>300</v>
      </c>
      <c r="B301" s="7" t="str">
        <f aca="false">HYPERLINK("https://mncourtfraud.com/file/27-CR-20-14626.pdf","27-CR-20-14626")</f>
        <v>27-CR-20-14626</v>
      </c>
      <c r="C301" s="1" t="n">
        <v>1</v>
      </c>
      <c r="D301" s="2" t="s">
        <v>12</v>
      </c>
      <c r="E301" s="8" t="n">
        <v>44468</v>
      </c>
      <c r="F301" s="2" t="s">
        <v>24</v>
      </c>
      <c r="G301" s="7" t="str">
        <f aca="false">HYPERLINK("https://mncourtfraud.com/file/MCRO_27-CR-20-14626_Order for Conditional Release_2021-09-29_20251126175828.pdf","MCRO_27-CR-20-14626_Order for Conditional Release_2021-09-29_20251126175828.pdf")</f>
        <v>MCRO_27-CR-20-14626_Order for Conditional Release_2021-09-29_20251126175828.pdf</v>
      </c>
      <c r="H301" s="7" t="str">
        <f aca="false">HYPERLINK("https://mncourtfraud.com/file/614121b29b009262816a5b70532c1a04ec73c5d83786c4500719e9e7d614a562.cid","614121b29b009262816a5b70532c1a04ec73c5d83786c4500719e9e7d614a562")</f>
        <v>614121b29b009262816a5b70532c1a04ec73c5d83786c4500719e9e7d614a562</v>
      </c>
      <c r="I301" s="1" t="s">
        <v>3431</v>
      </c>
      <c r="L301" s="2" t="s">
        <v>3415</v>
      </c>
      <c r="M301" s="2" t="n">
        <v>5970</v>
      </c>
    </row>
    <row r="302" customFormat="false" ht="18.7" hidden="false" customHeight="true" outlineLevel="0" collapsed="false">
      <c r="A302" s="1" t="n">
        <v>301</v>
      </c>
      <c r="B302" s="7" t="str">
        <f aca="false">HYPERLINK("https://mncourtfraud.com/file/27-CR-20-14626.pdf","27-CR-20-14626")</f>
        <v>27-CR-20-14626</v>
      </c>
      <c r="C302" s="1" t="n">
        <v>1</v>
      </c>
      <c r="D302" s="2" t="s">
        <v>12</v>
      </c>
      <c r="E302" s="8" t="n">
        <v>44468</v>
      </c>
      <c r="F302" s="2" t="s">
        <v>24</v>
      </c>
      <c r="G302" s="7" t="str">
        <f aca="false">HYPERLINK("https://mncourtfraud.com/file/MCRO_27-CR-20-14626_Order for Conditional Release_2021-09-29_20251126175828.pdf","MCRO_27-CR-20-14626_Order for Conditional Release_2021-09-29_20251126175828.pdf")</f>
        <v>MCRO_27-CR-20-14626_Order for Conditional Release_2021-09-29_20251126175828.pdf</v>
      </c>
      <c r="H302" s="7" t="str">
        <f aca="false">HYPERLINK("https://mncourtfraud.com/file/7e14169e8fd6eddddd43bc2fc14557202f527587078dd29e867ad63570714e07.png","7e14169e8fd6eddddd43bc2fc14557202f527587078dd29e867ad63570714e07")</f>
        <v>7e14169e8fd6eddddd43bc2fc14557202f527587078dd29e867ad63570714e07</v>
      </c>
      <c r="I302" s="1" t="s">
        <v>3406</v>
      </c>
      <c r="L302" s="2" t="s">
        <v>3412</v>
      </c>
      <c r="M302" s="2" t="n">
        <v>100</v>
      </c>
      <c r="S302" s="2" t="n">
        <v>5</v>
      </c>
      <c r="T302" s="2" t="n">
        <v>5</v>
      </c>
    </row>
    <row r="303" customFormat="false" ht="18.7" hidden="false" customHeight="true" outlineLevel="0" collapsed="false">
      <c r="A303" s="1" t="n">
        <v>302</v>
      </c>
      <c r="B303" s="7" t="str">
        <f aca="false">HYPERLINK("https://mncourtfraud.com/file/27-CR-20-14626.pdf","27-CR-20-14626")</f>
        <v>27-CR-20-14626</v>
      </c>
      <c r="C303" s="1" t="n">
        <v>1</v>
      </c>
      <c r="D303" s="2" t="s">
        <v>12</v>
      </c>
      <c r="E303" s="8" t="n">
        <v>44468</v>
      </c>
      <c r="F303" s="2" t="s">
        <v>24</v>
      </c>
      <c r="G303" s="7" t="str">
        <f aca="false">HYPERLINK("https://mncourtfraud.com/file/MCRO_27-CR-20-14626_Order for Conditional Release_2021-09-29_20251126175828.pdf","MCRO_27-CR-20-14626_Order for Conditional Release_2021-09-29_20251126175828.pdf")</f>
        <v>MCRO_27-CR-20-14626_Order for Conditional Release_2021-09-29_20251126175828.pdf</v>
      </c>
      <c r="H303" s="7" t="str">
        <f aca="false">HYPERLINK("https://mncourtfraud.com/file/8198df5372238cac138bb64883627cf42bfc08ac483ff14b35858ae098fa3e09.cid","8198df5372238cac138bb64883627cf42bfc08ac483ff14b35858ae098fa3e09")</f>
        <v>8198df5372238cac138bb64883627cf42bfc08ac483ff14b35858ae098fa3e09</v>
      </c>
      <c r="I303" s="1" t="s">
        <v>3431</v>
      </c>
      <c r="L303" s="2" t="s">
        <v>3415</v>
      </c>
      <c r="M303" s="2" t="n">
        <v>3966</v>
      </c>
    </row>
    <row r="304" customFormat="false" ht="18.7" hidden="false" customHeight="true" outlineLevel="0" collapsed="false">
      <c r="A304" s="1" t="n">
        <v>303</v>
      </c>
      <c r="B304" s="7" t="str">
        <f aca="false">HYPERLINK("https://mncourtfraud.com/file/27-CR-20-14626.pdf","27-CR-20-14626")</f>
        <v>27-CR-20-14626</v>
      </c>
      <c r="C304" s="1" t="n">
        <v>1</v>
      </c>
      <c r="D304" s="2" t="s">
        <v>12</v>
      </c>
      <c r="E304" s="8" t="n">
        <v>44468</v>
      </c>
      <c r="F304" s="2" t="s">
        <v>24</v>
      </c>
      <c r="G304" s="7" t="str">
        <f aca="false">HYPERLINK("https://mncourtfraud.com/file/MCRO_27-CR-20-14626_Order for Conditional Release_2021-09-29_20251126175828.pdf","MCRO_27-CR-20-14626_Order for Conditional Release_2021-09-29_20251126175828.pdf")</f>
        <v>MCRO_27-CR-20-14626_Order for Conditional Release_2021-09-29_20251126175828.pdf</v>
      </c>
      <c r="H304" s="7" t="str">
        <f aca="false">HYPERLINK("https://mncourtfraud.com/file/8793bfb8eeebb59de729b22461b75a010eda532097214bf8285117449fae5b3c.png","8793bfb8eeebb59de729b22461b75a010eda532097214bf8285117449fae5b3c")</f>
        <v>8793bfb8eeebb59de729b22461b75a010eda532097214bf8285117449fae5b3c</v>
      </c>
      <c r="I304" s="1" t="s">
        <v>3406</v>
      </c>
      <c r="L304" s="2" t="s">
        <v>3412</v>
      </c>
      <c r="M304" s="2" t="n">
        <v>104</v>
      </c>
      <c r="S304" s="2" t="n">
        <v>6</v>
      </c>
      <c r="T304" s="2" t="n">
        <v>4</v>
      </c>
    </row>
    <row r="305" customFormat="false" ht="18.7" hidden="false" customHeight="true" outlineLevel="0" collapsed="false">
      <c r="A305" s="1" t="n">
        <v>304</v>
      </c>
      <c r="B305" s="7" t="str">
        <f aca="false">HYPERLINK("https://mncourtfraud.com/file/27-CR-20-14626.pdf","27-CR-20-14626")</f>
        <v>27-CR-20-14626</v>
      </c>
      <c r="C305" s="1" t="n">
        <v>1</v>
      </c>
      <c r="D305" s="2" t="s">
        <v>12</v>
      </c>
      <c r="E305" s="8" t="n">
        <v>44468</v>
      </c>
      <c r="F305" s="2" t="s">
        <v>24</v>
      </c>
      <c r="G305" s="7" t="str">
        <f aca="false">HYPERLINK("https://mncourtfraud.com/file/MCRO_27-CR-20-14626_Order for Conditional Release_2021-09-29_20251126175828.pdf","MCRO_27-CR-20-14626_Order for Conditional Release_2021-09-29_20251126175828.pdf")</f>
        <v>MCRO_27-CR-20-14626_Order for Conditional Release_2021-09-29_20251126175828.pdf</v>
      </c>
      <c r="H305" s="7" t="str">
        <f aca="false">HYPERLINK("https://mncourtfraud.com/file/8c2e00c7a4e8974eff73eba397a59d5f5f25d249433535298973d70a9f79dec8.png","8c2e00c7a4e8974eff73eba397a59d5f5f25d249433535298973d70a9f79dec8")</f>
        <v>8c2e00c7a4e8974eff73eba397a59d5f5f25d249433535298973d70a9f79dec8</v>
      </c>
      <c r="I305" s="1" t="s">
        <v>3406</v>
      </c>
      <c r="L305" s="2" t="s">
        <v>3412</v>
      </c>
      <c r="M305" s="2" t="n">
        <v>810</v>
      </c>
      <c r="S305" s="2" t="n">
        <v>519</v>
      </c>
      <c r="T305" s="2" t="n">
        <v>231</v>
      </c>
    </row>
    <row r="306" customFormat="false" ht="18.7" hidden="false" customHeight="true" outlineLevel="0" collapsed="false">
      <c r="A306" s="1" t="n">
        <v>305</v>
      </c>
      <c r="B306" s="7" t="str">
        <f aca="false">HYPERLINK("https://mncourtfraud.com/file/27-CR-20-14626.pdf","27-CR-20-14626")</f>
        <v>27-CR-20-14626</v>
      </c>
      <c r="C306" s="1" t="n">
        <v>1</v>
      </c>
      <c r="D306" s="2" t="s">
        <v>12</v>
      </c>
      <c r="E306" s="8" t="n">
        <v>44468</v>
      </c>
      <c r="F306" s="2" t="s">
        <v>24</v>
      </c>
      <c r="G306" s="7" t="str">
        <f aca="false">HYPERLINK("https://mncourtfraud.com/file/MCRO_27-CR-20-14626_Order for Conditional Release_2021-09-29_20251126175828.pdf","MCRO_27-CR-20-14626_Order for Conditional Release_2021-09-29_20251126175828.pdf")</f>
        <v>MCRO_27-CR-20-14626_Order for Conditional Release_2021-09-29_20251126175828.pdf</v>
      </c>
      <c r="H306" s="7" t="str">
        <f aca="false">HYPERLINK("https://mncourtfraud.com/file/a431b1b5f48186b4c98851d84352c1573e22c0e9b97117edbc0ad8603da3c307.png","a431b1b5f48186b4c98851d84352c1573e22c0e9b97117edbc0ad8603da3c307")</f>
        <v>a431b1b5f48186b4c98851d84352c1573e22c0e9b97117edbc0ad8603da3c307</v>
      </c>
      <c r="I306" s="1" t="s">
        <v>3406</v>
      </c>
      <c r="L306" s="2" t="s">
        <v>3412</v>
      </c>
      <c r="M306" s="2" t="n">
        <v>157</v>
      </c>
      <c r="S306" s="2" t="n">
        <v>7</v>
      </c>
      <c r="T306" s="2" t="n">
        <v>284</v>
      </c>
    </row>
    <row r="307" customFormat="false" ht="18.7" hidden="false" customHeight="true" outlineLevel="0" collapsed="false">
      <c r="A307" s="1" t="n">
        <v>306</v>
      </c>
      <c r="B307" s="7" t="str">
        <f aca="false">HYPERLINK("https://mncourtfraud.com/file/27-CR-20-14626.pdf","27-CR-20-14626")</f>
        <v>27-CR-20-14626</v>
      </c>
      <c r="C307" s="1" t="n">
        <v>1</v>
      </c>
      <c r="D307" s="2" t="s">
        <v>12</v>
      </c>
      <c r="E307" s="8" t="n">
        <v>44468</v>
      </c>
      <c r="F307" s="2" t="s">
        <v>24</v>
      </c>
      <c r="G307" s="7" t="str">
        <f aca="false">HYPERLINK("https://mncourtfraud.com/file/MCRO_27-CR-20-14626_Order for Conditional Release_2021-09-29_20251126175828.pdf","MCRO_27-CR-20-14626_Order for Conditional Release_2021-09-29_20251126175828.pdf")</f>
        <v>MCRO_27-CR-20-14626_Order for Conditional Release_2021-09-29_20251126175828.pdf</v>
      </c>
      <c r="H307" s="7" t="str">
        <f aca="false">HYPERLINK("https://mncourtfraud.com/file/ac369f378e3fbed88e7c1c71d7e27d3af59d79c8d2f8338a6182f69d0e17a2ef.cid","ac369f378e3fbed88e7c1c71d7e27d3af59d79c8d2f8338a6182f69d0e17a2ef")</f>
        <v>ac369f378e3fbed88e7c1c71d7e27d3af59d79c8d2f8338a6182f69d0e17a2ef</v>
      </c>
      <c r="I307" s="1" t="s">
        <v>3431</v>
      </c>
      <c r="L307" s="2" t="s">
        <v>3415</v>
      </c>
      <c r="M307" s="2" t="n">
        <v>14113</v>
      </c>
    </row>
    <row r="308" customFormat="false" ht="18.7" hidden="false" customHeight="true" outlineLevel="0" collapsed="false">
      <c r="A308" s="1" t="n">
        <v>307</v>
      </c>
      <c r="B308" s="7" t="str">
        <f aca="false">HYPERLINK("https://mncourtfraud.com/file/27-CR-20-14626.pdf","27-CR-20-14626")</f>
        <v>27-CR-20-14626</v>
      </c>
      <c r="C308" s="1" t="n">
        <v>1</v>
      </c>
      <c r="D308" s="2" t="s">
        <v>12</v>
      </c>
      <c r="E308" s="8" t="n">
        <v>44468</v>
      </c>
      <c r="F308" s="2" t="s">
        <v>24</v>
      </c>
      <c r="G308" s="7" t="str">
        <f aca="false">HYPERLINK("https://mncourtfraud.com/file/MCRO_27-CR-20-14626_Order for Conditional Release_2021-09-29_20251126175828.pdf","MCRO_27-CR-20-14626_Order for Conditional Release_2021-09-29_20251126175828.pdf")</f>
        <v>MCRO_27-CR-20-14626_Order for Conditional Release_2021-09-29_20251126175828.pdf</v>
      </c>
      <c r="H308" s="7" t="str">
        <f aca="false">HYPERLINK("https://mncourtfraud.com/file/b1c38e97038ce898a189d377f1fa9f4b673ae497ef07cd779e6d54764f350895.cid","b1c38e97038ce898a189d377f1fa9f4b673ae497ef07cd779e6d54764f350895")</f>
        <v>b1c38e97038ce898a189d377f1fa9f4b673ae497ef07cd779e6d54764f350895</v>
      </c>
      <c r="I308" s="1" t="s">
        <v>3431</v>
      </c>
      <c r="L308" s="2" t="s">
        <v>3415</v>
      </c>
      <c r="M308" s="2" t="n">
        <v>3783</v>
      </c>
    </row>
    <row r="309" customFormat="false" ht="18.7" hidden="false" customHeight="true" outlineLevel="0" collapsed="false">
      <c r="A309" s="1" t="n">
        <v>308</v>
      </c>
      <c r="B309" s="7" t="str">
        <f aca="false">HYPERLINK("https://mncourtfraud.com/file/27-CR-20-14626.pdf","27-CR-20-14626")</f>
        <v>27-CR-20-14626</v>
      </c>
      <c r="C309" s="1" t="n">
        <v>1</v>
      </c>
      <c r="D309" s="2" t="s">
        <v>12</v>
      </c>
      <c r="E309" s="8" t="n">
        <v>44468</v>
      </c>
      <c r="F309" s="2" t="s">
        <v>24</v>
      </c>
      <c r="G309" s="7" t="str">
        <f aca="false">HYPERLINK("https://mncourtfraud.com/file/MCRO_27-CR-20-14626_Order for Conditional Release_2021-09-29_20251126175828.pdf","MCRO_27-CR-20-14626_Order for Conditional Release_2021-09-29_20251126175828.pdf")</f>
        <v>MCRO_27-CR-20-14626_Order for Conditional Release_2021-09-29_20251126175828.pdf</v>
      </c>
      <c r="H309" s="7" t="str">
        <f aca="false">HYPERLINK("https://mncourtfraud.com/file/ba989ca65f54d43887ebbc930462a840e60360223cb0c16c223e7e9ed46afecb.cid","ba989ca65f54d43887ebbc930462a840e60360223cb0c16c223e7e9ed46afecb")</f>
        <v>ba989ca65f54d43887ebbc930462a840e60360223cb0c16c223e7e9ed46afecb</v>
      </c>
      <c r="I309" s="1" t="s">
        <v>3431</v>
      </c>
      <c r="L309" s="2" t="s">
        <v>3415</v>
      </c>
      <c r="M309" s="2" t="n">
        <v>444</v>
      </c>
    </row>
    <row r="310" customFormat="false" ht="18.7" hidden="false" customHeight="true" outlineLevel="0" collapsed="false">
      <c r="A310" s="1" t="n">
        <v>309</v>
      </c>
      <c r="B310" s="7" t="str">
        <f aca="false">HYPERLINK("https://mncourtfraud.com/file/27-CR-20-14626.pdf","27-CR-20-14626")</f>
        <v>27-CR-20-14626</v>
      </c>
      <c r="C310" s="1" t="n">
        <v>1</v>
      </c>
      <c r="D310" s="2" t="s">
        <v>12</v>
      </c>
      <c r="E310" s="8" t="n">
        <v>44468</v>
      </c>
      <c r="F310" s="2" t="s">
        <v>24</v>
      </c>
      <c r="G310" s="7" t="str">
        <f aca="false">HYPERLINK("https://mncourtfraud.com/file/MCRO_27-CR-20-14626_Order for Conditional Release_2021-09-29_20251126175828.pdf","MCRO_27-CR-20-14626_Order for Conditional Release_2021-09-29_20251126175828.pdf")</f>
        <v>MCRO_27-CR-20-14626_Order for Conditional Release_2021-09-29_20251126175828.pdf</v>
      </c>
      <c r="H310" s="7" t="str">
        <f aca="false">HYPERLINK("https://mncourtfraud.com/file/db9c8118091788c7a0a30157e363f5dd281f7a35fb525fad58599ee6371079a5.cid","db9c8118091788c7a0a30157e363f5dd281f7a35fb525fad58599ee6371079a5")</f>
        <v>db9c8118091788c7a0a30157e363f5dd281f7a35fb525fad58599ee6371079a5</v>
      </c>
      <c r="I310" s="1" t="s">
        <v>3431</v>
      </c>
      <c r="L310" s="2" t="s">
        <v>3415</v>
      </c>
      <c r="M310" s="2" t="n">
        <v>848</v>
      </c>
    </row>
    <row r="311" customFormat="false" ht="18.7" hidden="false" customHeight="true" outlineLevel="0" collapsed="false">
      <c r="A311" s="1" t="n">
        <v>310</v>
      </c>
      <c r="B311" s="7" t="str">
        <f aca="false">HYPERLINK("https://mncourtfraud.com/file/27-CR-20-14626.pdf","27-CR-20-14626")</f>
        <v>27-CR-20-14626</v>
      </c>
      <c r="C311" s="1" t="n">
        <v>1</v>
      </c>
      <c r="D311" s="2" t="s">
        <v>12</v>
      </c>
      <c r="E311" s="8" t="n">
        <v>44468</v>
      </c>
      <c r="F311" s="2" t="s">
        <v>24</v>
      </c>
      <c r="G311" s="7" t="str">
        <f aca="false">HYPERLINK("https://mncourtfraud.com/file/MCRO_27-CR-20-14626_Order for Conditional Release_2021-09-29_20251126175828.pdf","MCRO_27-CR-20-14626_Order for Conditional Release_2021-09-29_20251126175828.pdf")</f>
        <v>MCRO_27-CR-20-14626_Order for Conditional Release_2021-09-29_20251126175828.pdf</v>
      </c>
      <c r="H311" s="7" t="str">
        <f aca="false">HYPERLINK("https://mncourtfraud.com/file/e04b4db843c4bf02679b586bdc06323c2777cf59091b22718210a1dd2a0badc7.png","e04b4db843c4bf02679b586bdc06323c2777cf59091b22718210a1dd2a0badc7")</f>
        <v>e04b4db843c4bf02679b586bdc06323c2777cf59091b22718210a1dd2a0badc7</v>
      </c>
      <c r="I311" s="1" t="s">
        <v>3406</v>
      </c>
      <c r="L311" s="2" t="s">
        <v>3412</v>
      </c>
      <c r="M311" s="2" t="n">
        <v>199</v>
      </c>
      <c r="S311" s="2" t="n">
        <v>7</v>
      </c>
      <c r="T311" s="2" t="n">
        <v>347</v>
      </c>
    </row>
    <row r="312" customFormat="false" ht="18.7" hidden="false" customHeight="true" outlineLevel="0" collapsed="false">
      <c r="A312" s="1" t="n">
        <v>311</v>
      </c>
      <c r="B312" s="7" t="str">
        <f aca="false">HYPERLINK("https://mncourtfraud.com/file/27-CR-20-14626.pdf","27-CR-20-14626")</f>
        <v>27-CR-20-14626</v>
      </c>
      <c r="C312" s="1" t="n">
        <v>1</v>
      </c>
      <c r="D312" s="2" t="s">
        <v>12</v>
      </c>
      <c r="E312" s="8" t="n">
        <v>44468</v>
      </c>
      <c r="F312" s="2" t="s">
        <v>24</v>
      </c>
      <c r="G312" s="7" t="str">
        <f aca="false">HYPERLINK("https://mncourtfraud.com/file/MCRO_27-CR-20-14626_Order for Conditional Release_2021-09-29_20251126175828.pdf","MCRO_27-CR-20-14626_Order for Conditional Release_2021-09-29_20251126175828.pdf")</f>
        <v>MCRO_27-CR-20-14626_Order for Conditional Release_2021-09-29_20251126175828.pdf</v>
      </c>
      <c r="H312" s="7" t="str">
        <f aca="false">HYPERLINK("https://mncourtfraud.com/file/edbae421bba147262ba26ef60780ca6dfd5bedce23be39a1f883da7c23dae35f.cid","edbae421bba147262ba26ef60780ca6dfd5bedce23be39a1f883da7c23dae35f")</f>
        <v>edbae421bba147262ba26ef60780ca6dfd5bedce23be39a1f883da7c23dae35f</v>
      </c>
      <c r="I312" s="1" t="s">
        <v>3431</v>
      </c>
      <c r="L312" s="2" t="s">
        <v>3415</v>
      </c>
      <c r="M312" s="2" t="n">
        <v>21348</v>
      </c>
    </row>
    <row r="313" customFormat="false" ht="18.7" hidden="false" customHeight="true" outlineLevel="0" collapsed="false">
      <c r="A313" s="1" t="n">
        <v>312</v>
      </c>
      <c r="B313" s="7" t="str">
        <f aca="false">HYPERLINK("https://mncourtfraud.com/file/27-CR-20-14626.pdf","27-CR-20-14626")</f>
        <v>27-CR-20-14626</v>
      </c>
      <c r="C313" s="1" t="n">
        <v>1</v>
      </c>
      <c r="D313" s="2" t="s">
        <v>12</v>
      </c>
      <c r="E313" s="8" t="n">
        <v>44468</v>
      </c>
      <c r="F313" s="2" t="s">
        <v>24</v>
      </c>
      <c r="G313" s="7" t="str">
        <f aca="false">HYPERLINK("https://mncourtfraud.com/file/MCRO_27-CR-20-14626_Order for Conditional Release_2021-09-29_20251126175828.pdf","MCRO_27-CR-20-14626_Order for Conditional Release_2021-09-29_20251126175828.pdf")</f>
        <v>MCRO_27-CR-20-14626_Order for Conditional Release_2021-09-29_20251126175828.pdf</v>
      </c>
      <c r="H313" s="7" t="str">
        <f aca="false">HYPERLINK("https://mncourtfraud.com/file/efd944d517e9b552a77a910c5203f04540cf1249b7304a04f4907f542ec53c17.cid","efd944d517e9b552a77a910c5203f04540cf1249b7304a04f4907f542ec53c17")</f>
        <v>efd944d517e9b552a77a910c5203f04540cf1249b7304a04f4907f542ec53c17</v>
      </c>
      <c r="I313" s="1" t="s">
        <v>3431</v>
      </c>
      <c r="L313" s="2" t="s">
        <v>3415</v>
      </c>
      <c r="M313" s="2" t="n">
        <v>5521</v>
      </c>
    </row>
    <row r="314" customFormat="false" ht="18.7" hidden="false" customHeight="true" outlineLevel="0" collapsed="false">
      <c r="A314" s="1" t="n">
        <v>313</v>
      </c>
      <c r="B314" s="7" t="str">
        <f aca="false">HYPERLINK("https://mncourtfraud.com/file/27-CR-20-14626.pdf","27-CR-20-14626")</f>
        <v>27-CR-20-14626</v>
      </c>
      <c r="C314" s="1" t="n">
        <v>1</v>
      </c>
      <c r="D314" s="2" t="s">
        <v>12</v>
      </c>
      <c r="E314" s="8" t="n">
        <v>44468</v>
      </c>
      <c r="F314" s="2" t="s">
        <v>24</v>
      </c>
      <c r="G314" s="7" t="str">
        <f aca="false">HYPERLINK("https://mncourtfraud.com/file/MCRO_27-CR-20-14626_Order for Conditional Release_2021-09-29_20251126175828.pdf","MCRO_27-CR-20-14626_Order for Conditional Release_2021-09-29_20251126175828.pdf")</f>
        <v>MCRO_27-CR-20-14626_Order for Conditional Release_2021-09-29_20251126175828.pdf</v>
      </c>
      <c r="H314" s="7" t="str">
        <f aca="false">HYPERLINK("https://mncourtfraud.com/file/fe1965a60cba51fe144ad80b55474d56106539ec2835ed039f2e68d2691deed0.cid","fe1965a60cba51fe144ad80b55474d56106539ec2835ed039f2e68d2691deed0")</f>
        <v>fe1965a60cba51fe144ad80b55474d56106539ec2835ed039f2e68d2691deed0</v>
      </c>
      <c r="I314" s="1" t="s">
        <v>3431</v>
      </c>
      <c r="L314" s="2" t="s">
        <v>3415</v>
      </c>
      <c r="M314" s="2" t="n">
        <v>4323</v>
      </c>
    </row>
    <row r="315" customFormat="false" ht="18.7" hidden="false" customHeight="true" outlineLevel="0" collapsed="false">
      <c r="A315" s="1" t="n">
        <v>314</v>
      </c>
      <c r="B315" s="7" t="str">
        <f aca="false">HYPERLINK("https://mncourtfraud.com/file/27-CR-20-14626.pdf","27-CR-20-14626")</f>
        <v>27-CR-20-14626</v>
      </c>
      <c r="C315" s="1" t="n">
        <v>1</v>
      </c>
      <c r="D315" s="2" t="s">
        <v>12</v>
      </c>
      <c r="E315" s="8" t="n">
        <v>44468</v>
      </c>
      <c r="F315" s="2" t="s">
        <v>24</v>
      </c>
      <c r="G315" s="7" t="str">
        <f aca="false">HYPERLINK("https://mncourtfraud.com/file/MCRO_27-CR-20-14626_Order for Conditional Release_2021-09-29_20251126175828.pdf","MCRO_27-CR-20-14626_Order for Conditional Release_2021-09-29_20251126175828.pdf")</f>
        <v>MCRO_27-CR-20-14626_Order for Conditional Release_2021-09-29_20251126175828.pdf</v>
      </c>
      <c r="H315" s="7" t="str">
        <f aca="false">HYPERLINK("https://mncourtfraud.com/file/ff78f82f1ff3b9436a8d65df586b0bef19dd8fcf1b27941145ca7e723b37620b.cid","ff78f82f1ff3b9436a8d65df586b0bef19dd8fcf1b27941145ca7e723b37620b")</f>
        <v>ff78f82f1ff3b9436a8d65df586b0bef19dd8fcf1b27941145ca7e723b37620b</v>
      </c>
      <c r="I315" s="1" t="s">
        <v>3431</v>
      </c>
      <c r="L315" s="2" t="s">
        <v>3415</v>
      </c>
      <c r="M315" s="2" t="n">
        <v>339</v>
      </c>
    </row>
    <row r="316" customFormat="false" ht="18.7" hidden="false" customHeight="true" outlineLevel="0" collapsed="false">
      <c r="A316" s="1" t="n">
        <v>315</v>
      </c>
      <c r="B316" s="7" t="str">
        <f aca="false">HYPERLINK("https://mncourtfraud.com/file/27-CR-20-14626.pdf","27-CR-20-14626")</f>
        <v>27-CR-20-14626</v>
      </c>
      <c r="C316" s="1" t="n">
        <v>1</v>
      </c>
      <c r="D316" s="2" t="s">
        <v>12</v>
      </c>
      <c r="E316" s="8" t="n">
        <v>44543</v>
      </c>
      <c r="F316" s="2" t="s">
        <v>15</v>
      </c>
      <c r="G316" s="7" t="str">
        <f aca="false">HYPERLINK("https://mncourtfraud.com/file/MCRO_27-CR-20-14626_Order-Evaluation for Competency to Proceed (Rule 20.01)_2021-12-13_20251126175855.pdf","MCRO_27-CR-20-14626_Order-Evaluation for Competency to Proceed (Rule 20.01)_2021-12-13_20251126175855.pdf")</f>
        <v>MCRO_27-CR-20-14626_Order-Evaluation for Competency to Proceed (Rule 20.01)_2021-12-13_20251126175855.pdf</v>
      </c>
      <c r="H316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316" s="1" t="s">
        <v>3413</v>
      </c>
      <c r="J316" s="2" t="s">
        <v>3423</v>
      </c>
      <c r="K316" s="2" t="s">
        <v>3423</v>
      </c>
      <c r="L316" s="2" t="s">
        <v>3415</v>
      </c>
      <c r="M316" s="2" t="n">
        <v>11088</v>
      </c>
    </row>
    <row r="317" customFormat="false" ht="18.7" hidden="false" customHeight="true" outlineLevel="0" collapsed="false">
      <c r="A317" s="1" t="n">
        <v>316</v>
      </c>
      <c r="B317" s="7" t="str">
        <f aca="false">HYPERLINK("https://mncourtfraud.com/file/27-CR-20-14626.pdf","27-CR-20-14626")</f>
        <v>27-CR-20-14626</v>
      </c>
      <c r="C317" s="1" t="n">
        <v>1</v>
      </c>
      <c r="D317" s="2" t="s">
        <v>12</v>
      </c>
      <c r="E317" s="8" t="n">
        <v>44543</v>
      </c>
      <c r="F317" s="2" t="s">
        <v>15</v>
      </c>
      <c r="G317" s="7" t="str">
        <f aca="false">HYPERLINK("https://mncourtfraud.com/file/MCRO_27-CR-20-14626_Order-Evaluation for Competency to Proceed (Rule 20.01)_2021-12-13_20251126175855.pdf","MCRO_27-CR-20-14626_Order-Evaluation for Competency to Proceed (Rule 20.01)_2021-12-13_20251126175855.pdf")</f>
        <v>MCRO_27-CR-20-14626_Order-Evaluation for Competency to Proceed (Rule 20.01)_2021-12-13_20251126175855.pdf</v>
      </c>
      <c r="H317" s="7" t="str">
        <f aca="false">HYPERLINK("https://mncourtfraud.com/file/22be6394304ce5b678311fefb19c39c8cb0a49d25f23150f1efe21ad14b99c7b.ttf","22be6394304ce5b678311fefb19c39c8cb0a49d25f23150f1efe21ad14b99c7b")</f>
        <v>22be6394304ce5b678311fefb19c39c8cb0a49d25f23150f1efe21ad14b99c7b</v>
      </c>
      <c r="I317" s="1" t="s">
        <v>3413</v>
      </c>
      <c r="J317" s="2" t="s">
        <v>3421</v>
      </c>
      <c r="K317" s="2" t="s">
        <v>3421</v>
      </c>
      <c r="L317" s="2" t="s">
        <v>3415</v>
      </c>
      <c r="M317" s="2" t="n">
        <v>117192</v>
      </c>
    </row>
    <row r="318" customFormat="false" ht="18.7" hidden="false" customHeight="true" outlineLevel="0" collapsed="false">
      <c r="A318" s="1" t="n">
        <v>317</v>
      </c>
      <c r="B318" s="7" t="str">
        <f aca="false">HYPERLINK("https://mncourtfraud.com/file/27-CR-20-14626.pdf","27-CR-20-14626")</f>
        <v>27-CR-20-14626</v>
      </c>
      <c r="C318" s="1" t="n">
        <v>1</v>
      </c>
      <c r="D318" s="2" t="s">
        <v>12</v>
      </c>
      <c r="E318" s="8" t="n">
        <v>44543</v>
      </c>
      <c r="F318" s="2" t="s">
        <v>15</v>
      </c>
      <c r="G318" s="7" t="str">
        <f aca="false">HYPERLINK("https://mncourtfraud.com/file/MCRO_27-CR-20-14626_Order-Evaluation for Competency to Proceed (Rule 20.01)_2021-12-13_20251126175855.pdf","MCRO_27-CR-20-14626_Order-Evaluation for Competency to Proceed (Rule 20.01)_2021-12-13_20251126175855.pdf")</f>
        <v>MCRO_27-CR-20-14626_Order-Evaluation for Competency to Proceed (Rule 20.01)_2021-12-13_20251126175855.pdf</v>
      </c>
      <c r="H318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318" s="1" t="s">
        <v>3413</v>
      </c>
      <c r="J318" s="2" t="s">
        <v>3424</v>
      </c>
      <c r="K318" s="2" t="s">
        <v>3424</v>
      </c>
      <c r="L318" s="2" t="s">
        <v>3415</v>
      </c>
      <c r="M318" s="2" t="n">
        <v>14252</v>
      </c>
    </row>
    <row r="319" customFormat="false" ht="18.7" hidden="false" customHeight="true" outlineLevel="0" collapsed="false">
      <c r="A319" s="1" t="n">
        <v>318</v>
      </c>
      <c r="B319" s="7" t="str">
        <f aca="false">HYPERLINK("https://mncourtfraud.com/file/27-CR-20-14626.pdf","27-CR-20-14626")</f>
        <v>27-CR-20-14626</v>
      </c>
      <c r="C319" s="1" t="n">
        <v>1</v>
      </c>
      <c r="D319" s="2" t="s">
        <v>12</v>
      </c>
      <c r="E319" s="8" t="n">
        <v>44543</v>
      </c>
      <c r="F319" s="2" t="s">
        <v>15</v>
      </c>
      <c r="G319" s="7" t="str">
        <f aca="false">HYPERLINK("https://mncourtfraud.com/file/MCRO_27-CR-20-14626_Order-Evaluation for Competency to Proceed (Rule 20.01)_2021-12-13_20251126175855.pdf","MCRO_27-CR-20-14626_Order-Evaluation for Competency to Proceed (Rule 20.01)_2021-12-13_20251126175855.pdf")</f>
        <v>MCRO_27-CR-20-14626_Order-Evaluation for Competency to Proceed (Rule 20.01)_2021-12-13_20251126175855.pdf</v>
      </c>
      <c r="H319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319" s="1" t="s">
        <v>3406</v>
      </c>
      <c r="K319" s="2" t="s">
        <v>3420</v>
      </c>
      <c r="L319" s="2" t="s">
        <v>3408</v>
      </c>
      <c r="M319" s="2" t="n">
        <v>7306</v>
      </c>
      <c r="O319" s="2" t="s">
        <v>3409</v>
      </c>
      <c r="P319" s="2" t="s">
        <v>3410</v>
      </c>
      <c r="S319" s="2" t="n">
        <v>319</v>
      </c>
      <c r="T319" s="2" t="n">
        <v>105</v>
      </c>
    </row>
    <row r="320" customFormat="false" ht="18.7" hidden="false" customHeight="true" outlineLevel="0" collapsed="false">
      <c r="A320" s="1" t="n">
        <v>319</v>
      </c>
      <c r="B320" s="7" t="str">
        <f aca="false">HYPERLINK("https://mncourtfraud.com/file/27-CR-20-14626.pdf","27-CR-20-14626")</f>
        <v>27-CR-20-14626</v>
      </c>
      <c r="C320" s="1" t="n">
        <v>1</v>
      </c>
      <c r="D320" s="2" t="s">
        <v>12</v>
      </c>
      <c r="E320" s="8" t="n">
        <v>44543</v>
      </c>
      <c r="F320" s="2" t="s">
        <v>15</v>
      </c>
      <c r="G320" s="7" t="str">
        <f aca="false">HYPERLINK("https://mncourtfraud.com/file/MCRO_27-CR-20-14626_Order-Evaluation for Competency to Proceed (Rule 20.01)_2021-12-13_20251126175855.pdf","MCRO_27-CR-20-14626_Order-Evaluation for Competency to Proceed (Rule 20.01)_2021-12-13_20251126175855.pdf")</f>
        <v>MCRO_27-CR-20-14626_Order-Evaluation for Competency to Proceed (Rule 20.01)_2021-12-13_20251126175855.pdf</v>
      </c>
      <c r="H320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320" s="1" t="s">
        <v>3406</v>
      </c>
      <c r="K320" s="2" t="s">
        <v>3425</v>
      </c>
      <c r="L320" s="2" t="s">
        <v>3408</v>
      </c>
      <c r="M320" s="2" t="n">
        <v>21225</v>
      </c>
      <c r="O320" s="2" t="s">
        <v>3409</v>
      </c>
      <c r="P320" s="2" t="s">
        <v>3410</v>
      </c>
      <c r="S320" s="2" t="n">
        <v>319</v>
      </c>
      <c r="T320" s="2" t="n">
        <v>105</v>
      </c>
    </row>
    <row r="321" customFormat="false" ht="18.7" hidden="false" customHeight="true" outlineLevel="0" collapsed="false">
      <c r="A321" s="1" t="n">
        <v>320</v>
      </c>
      <c r="B321" s="7" t="str">
        <f aca="false">HYPERLINK("https://mncourtfraud.com/file/27-CR-20-14626.pdf","27-CR-20-14626")</f>
        <v>27-CR-20-14626</v>
      </c>
      <c r="C321" s="1" t="n">
        <v>1</v>
      </c>
      <c r="D321" s="2" t="s">
        <v>12</v>
      </c>
      <c r="E321" s="8" t="n">
        <v>44543</v>
      </c>
      <c r="F321" s="2" t="s">
        <v>15</v>
      </c>
      <c r="G321" s="7" t="str">
        <f aca="false">HYPERLINK("https://mncourtfraud.com/file/MCRO_27-CR-20-14626_Order-Evaluation for Competency to Proceed (Rule 20.01)_2021-12-13_20251126175855.pdf","MCRO_27-CR-20-14626_Order-Evaluation for Competency to Proceed (Rule 20.01)_2021-12-13_20251126175855.pdf")</f>
        <v>MCRO_27-CR-20-14626_Order-Evaluation for Competency to Proceed (Rule 20.01)_2021-12-13_20251126175855.pdf</v>
      </c>
      <c r="H321" s="7" t="str">
        <f aca="false">HYPERLINK("https://mncourtfraud.com/file/f942eca43ffd6bdbf3ee942fee873a73c8baea7707298295b91918b6d8b6d6ee.ttf","f942eca43ffd6bdbf3ee942fee873a73c8baea7707298295b91918b6d8b6d6ee")</f>
        <v>f942eca43ffd6bdbf3ee942fee873a73c8baea7707298295b91918b6d8b6d6ee</v>
      </c>
      <c r="I321" s="1" t="s">
        <v>3413</v>
      </c>
      <c r="J321" s="2" t="s">
        <v>3422</v>
      </c>
      <c r="K321" s="2" t="s">
        <v>3422</v>
      </c>
      <c r="L321" s="2" t="s">
        <v>3415</v>
      </c>
      <c r="M321" s="2" t="n">
        <v>125444</v>
      </c>
    </row>
    <row r="322" customFormat="false" ht="18.7" hidden="false" customHeight="true" outlineLevel="0" collapsed="false">
      <c r="A322" s="1" t="n">
        <v>321</v>
      </c>
      <c r="B322" s="7" t="str">
        <f aca="false">HYPERLINK("https://mncourtfraud.com/file/27-CR-20-14626.pdf","27-CR-20-14626")</f>
        <v>27-CR-20-14626</v>
      </c>
      <c r="C322" s="1" t="n">
        <v>1</v>
      </c>
      <c r="D322" s="2" t="s">
        <v>12</v>
      </c>
      <c r="E322" s="8" t="n">
        <v>44558</v>
      </c>
      <c r="F322" s="2" t="s">
        <v>15</v>
      </c>
      <c r="G322" s="7" t="str">
        <f aca="false">HYPERLINK("https://mncourtfraud.com/file/MCRO_27-CR-20-14626_Order-Evaluation for Competency to Proceed (Rule 20.01)_2021-12-28_20251126175907.pdf","MCRO_27-CR-20-14626_Order-Evaluation for Competency to Proceed (Rule 20.01)_2021-12-28_20251126175907.pdf")</f>
        <v>MCRO_27-CR-20-14626_Order-Evaluation for Competency to Proceed (Rule 20.01)_2021-12-28_20251126175907.pdf</v>
      </c>
      <c r="H322" s="7" t="str">
        <f aca="false">HYPERLINK("https://mncourtfraud.com/file/1d28c28b68e6212801b8d48ec9ca02160be60397837b47485510cd20f2c472ff.ttf","1d28c28b68e6212801b8d48ec9ca02160be60397837b47485510cd20f2c472ff")</f>
        <v>1d28c28b68e6212801b8d48ec9ca02160be60397837b47485510cd20f2c472ff</v>
      </c>
      <c r="I322" s="1" t="s">
        <v>3413</v>
      </c>
      <c r="L322" s="2" t="s">
        <v>3415</v>
      </c>
      <c r="M322" s="2" t="n">
        <v>333576</v>
      </c>
    </row>
    <row r="323" customFormat="false" ht="18.7" hidden="false" customHeight="true" outlineLevel="0" collapsed="false">
      <c r="A323" s="1" t="n">
        <v>322</v>
      </c>
      <c r="B323" s="7" t="str">
        <f aca="false">HYPERLINK("https://mncourtfraud.com/file/27-CR-20-14626.pdf","27-CR-20-14626")</f>
        <v>27-CR-20-14626</v>
      </c>
      <c r="C323" s="1" t="n">
        <v>1</v>
      </c>
      <c r="D323" s="2" t="s">
        <v>12</v>
      </c>
      <c r="E323" s="8" t="n">
        <v>44558</v>
      </c>
      <c r="F323" s="2" t="s">
        <v>15</v>
      </c>
      <c r="G323" s="7" t="str">
        <f aca="false">HYPERLINK("https://mncourtfraud.com/file/MCRO_27-CR-20-14626_Order-Evaluation for Competency to Proceed (Rule 20.01)_2021-12-28_20251126175907.pdf","MCRO_27-CR-20-14626_Order-Evaluation for Competency to Proceed (Rule 20.01)_2021-12-28_20251126175907.pdf")</f>
        <v>MCRO_27-CR-20-14626_Order-Evaluation for Competency to Proceed (Rule 20.01)_2021-12-28_20251126175907.pdf</v>
      </c>
      <c r="H323" s="7" t="str">
        <f aca="false">HYPERLINK("https://mncourtfraud.com/file/2411b7668040c9011e9021bd0fd5d1b4e69afcaf24f10ceb1e2de7d4aede62ab.png","2411b7668040c9011e9021bd0fd5d1b4e69afcaf24f10ceb1e2de7d4aede62ab")</f>
        <v>2411b7668040c9011e9021bd0fd5d1b4e69afcaf24f10ceb1e2de7d4aede62ab</v>
      </c>
      <c r="I323" s="1" t="s">
        <v>3406</v>
      </c>
      <c r="L323" s="2" t="s">
        <v>3412</v>
      </c>
      <c r="M323" s="2" t="n">
        <v>156435</v>
      </c>
      <c r="S323" s="2" t="n">
        <v>2550</v>
      </c>
      <c r="T323" s="2" t="n">
        <v>3300</v>
      </c>
    </row>
    <row r="324" customFormat="false" ht="18.7" hidden="false" customHeight="true" outlineLevel="0" collapsed="false">
      <c r="A324" s="1" t="n">
        <v>323</v>
      </c>
      <c r="B324" s="7" t="str">
        <f aca="false">HYPERLINK("https://mncourtfraud.com/file/27-CR-20-14626.pdf","27-CR-20-14626")</f>
        <v>27-CR-20-14626</v>
      </c>
      <c r="C324" s="1" t="n">
        <v>1</v>
      </c>
      <c r="D324" s="2" t="s">
        <v>12</v>
      </c>
      <c r="E324" s="8" t="n">
        <v>44558</v>
      </c>
      <c r="F324" s="2" t="s">
        <v>15</v>
      </c>
      <c r="G324" s="7" t="str">
        <f aca="false">HYPERLINK("https://mncourtfraud.com/file/MCRO_27-CR-20-14626_Order-Evaluation for Competency to Proceed (Rule 20.01)_2021-12-28_20251126175907.pdf","MCRO_27-CR-20-14626_Order-Evaluation for Competency to Proceed (Rule 20.01)_2021-12-28_20251126175907.pdf")</f>
        <v>MCRO_27-CR-20-14626_Order-Evaluation for Competency to Proceed (Rule 20.01)_2021-12-28_20251126175907.pdf</v>
      </c>
      <c r="H324" s="7" t="str">
        <f aca="false">HYPERLINK("https://mncourtfraud.com/file/3d1e0a870c36bf73a831a7671dd70504c262a216d5ea00315d8790827fec7509.png","3d1e0a870c36bf73a831a7671dd70504c262a216d5ea00315d8790827fec7509")</f>
        <v>3d1e0a870c36bf73a831a7671dd70504c262a216d5ea00315d8790827fec7509</v>
      </c>
      <c r="I324" s="1" t="s">
        <v>3406</v>
      </c>
      <c r="L324" s="2" t="s">
        <v>3412</v>
      </c>
      <c r="M324" s="2" t="n">
        <v>131275</v>
      </c>
      <c r="S324" s="2" t="n">
        <v>2550</v>
      </c>
      <c r="T324" s="2" t="n">
        <v>3300</v>
      </c>
    </row>
    <row r="325" customFormat="false" ht="18.7" hidden="false" customHeight="true" outlineLevel="0" collapsed="false">
      <c r="A325" s="1" t="n">
        <v>324</v>
      </c>
      <c r="B325" s="7" t="str">
        <f aca="false">HYPERLINK("https://mncourtfraud.com/file/27-CR-20-14626.pdf","27-CR-20-14626")</f>
        <v>27-CR-20-14626</v>
      </c>
      <c r="C325" s="1" t="n">
        <v>1</v>
      </c>
      <c r="D325" s="2" t="s">
        <v>12</v>
      </c>
      <c r="E325" s="8" t="n">
        <v>44558</v>
      </c>
      <c r="F325" s="2" t="s">
        <v>15</v>
      </c>
      <c r="G325" s="7" t="str">
        <f aca="false">HYPERLINK("https://mncourtfraud.com/file/MCRO_27-CR-20-14626_Order-Evaluation for Competency to Proceed (Rule 20.01)_2021-12-28_20251126175907.pdf","MCRO_27-CR-20-14626_Order-Evaluation for Competency to Proceed (Rule 20.01)_2021-12-28_20251126175907.pdf")</f>
        <v>MCRO_27-CR-20-14626_Order-Evaluation for Competency to Proceed (Rule 20.01)_2021-12-28_20251126175907.pdf</v>
      </c>
      <c r="H325" s="7" t="str">
        <f aca="false">HYPERLINK("https://mncourtfraud.com/file/3d34756b4417204dcaa1f0a3f4f90bef9b9e1e1432d3f8c1e42ace82e3e08e91.png","3d34756b4417204dcaa1f0a3f4f90bef9b9e1e1432d3f8c1e42ace82e3e08e91")</f>
        <v>3d34756b4417204dcaa1f0a3f4f90bef9b9e1e1432d3f8c1e42ace82e3e08e91</v>
      </c>
      <c r="I325" s="1" t="s">
        <v>3406</v>
      </c>
      <c r="L325" s="2" t="s">
        <v>3412</v>
      </c>
      <c r="M325" s="2" t="n">
        <v>99882</v>
      </c>
      <c r="S325" s="2" t="n">
        <v>2550</v>
      </c>
      <c r="T325" s="2" t="n">
        <v>3300</v>
      </c>
    </row>
    <row r="326" customFormat="false" ht="18.7" hidden="false" customHeight="true" outlineLevel="0" collapsed="false">
      <c r="A326" s="1" t="n">
        <v>325</v>
      </c>
      <c r="B326" s="7" t="str">
        <f aca="false">HYPERLINK("https://mncourtfraud.com/file/27-CR-20-14626.pdf","27-CR-20-14626")</f>
        <v>27-CR-20-14626</v>
      </c>
      <c r="C326" s="1" t="n">
        <v>1</v>
      </c>
      <c r="D326" s="2" t="s">
        <v>12</v>
      </c>
      <c r="E326" s="8" t="n">
        <v>44593</v>
      </c>
      <c r="F326" s="2" t="s">
        <v>19</v>
      </c>
      <c r="G326" s="7" t="str">
        <f aca="false">HYPERLINK("https://mncourtfraud.com/file/MCRO_27-CR-20-14626_Findings and Order_2022-02-01_20251126175736.pdf","MCRO_27-CR-20-14626_Findings and Order_2022-02-01_20251126175736.pdf")</f>
        <v>MCRO_27-CR-20-14626_Findings and Order_2022-02-01_20251126175736.pdf</v>
      </c>
      <c r="H326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326" s="1" t="s">
        <v>3413</v>
      </c>
      <c r="J326" s="2" t="s">
        <v>3426</v>
      </c>
      <c r="K326" s="2" t="s">
        <v>3426</v>
      </c>
      <c r="L326" s="2" t="s">
        <v>3415</v>
      </c>
      <c r="M326" s="2" t="n">
        <v>74997</v>
      </c>
      <c r="N326" s="2" t="s">
        <v>3427</v>
      </c>
    </row>
    <row r="327" customFormat="false" ht="18.7" hidden="false" customHeight="true" outlineLevel="0" collapsed="false">
      <c r="A327" s="1" t="n">
        <v>326</v>
      </c>
      <c r="B327" s="7" t="str">
        <f aca="false">HYPERLINK("https://mncourtfraud.com/file/27-CR-20-14626.pdf","27-CR-20-14626")</f>
        <v>27-CR-20-14626</v>
      </c>
      <c r="C327" s="1" t="n">
        <v>1</v>
      </c>
      <c r="D327" s="2" t="s">
        <v>12</v>
      </c>
      <c r="E327" s="8" t="n">
        <v>44593</v>
      </c>
      <c r="F327" s="2" t="s">
        <v>19</v>
      </c>
      <c r="G327" s="7" t="str">
        <f aca="false">HYPERLINK("https://mncourtfraud.com/file/MCRO_27-CR-20-14626_Findings and Order_2022-02-01_20251126175736.pdf","MCRO_27-CR-20-14626_Findings and Order_2022-02-01_20251126175736.pdf")</f>
        <v>MCRO_27-CR-20-14626_Findings and Order_2022-02-01_20251126175736.pdf</v>
      </c>
      <c r="H327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327" s="1" t="s">
        <v>3428</v>
      </c>
      <c r="J327" s="2" t="s">
        <v>3429</v>
      </c>
      <c r="K327" s="2" t="s">
        <v>3429</v>
      </c>
      <c r="L327" s="2" t="s">
        <v>3415</v>
      </c>
      <c r="M327" s="2" t="n">
        <v>86093</v>
      </c>
    </row>
    <row r="328" customFormat="false" ht="18.7" hidden="false" customHeight="true" outlineLevel="0" collapsed="false">
      <c r="A328" s="1" t="n">
        <v>327</v>
      </c>
      <c r="B328" s="7" t="str">
        <f aca="false">HYPERLINK("https://mncourtfraud.com/file/27-CR-20-14626.pdf","27-CR-20-14626")</f>
        <v>27-CR-20-14626</v>
      </c>
      <c r="C328" s="1" t="n">
        <v>1</v>
      </c>
      <c r="D328" s="2" t="s">
        <v>12</v>
      </c>
      <c r="E328" s="8" t="n">
        <v>44593</v>
      </c>
      <c r="F328" s="2" t="s">
        <v>19</v>
      </c>
      <c r="G328" s="7" t="str">
        <f aca="false">HYPERLINK("https://mncourtfraud.com/file/MCRO_27-CR-20-14626_Findings and Order_2022-02-01_20251126175736.pdf","MCRO_27-CR-20-14626_Findings and Order_2022-02-01_20251126175736.pdf")</f>
        <v>MCRO_27-CR-20-14626_Findings and Order_2022-02-01_20251126175736.pdf</v>
      </c>
      <c r="H328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328" s="1" t="s">
        <v>3413</v>
      </c>
      <c r="J328" s="2" t="s">
        <v>3414</v>
      </c>
      <c r="K328" s="2" t="s">
        <v>3414</v>
      </c>
      <c r="L328" s="2" t="s">
        <v>3415</v>
      </c>
      <c r="M328" s="2" t="n">
        <v>42332</v>
      </c>
    </row>
    <row r="329" customFormat="false" ht="18.7" hidden="false" customHeight="true" outlineLevel="0" collapsed="false">
      <c r="A329" s="1" t="n">
        <v>328</v>
      </c>
      <c r="B329" s="7" t="str">
        <f aca="false">HYPERLINK("https://mncourtfraud.com/file/27-CR-20-14626.pdf","27-CR-20-14626")</f>
        <v>27-CR-20-14626</v>
      </c>
      <c r="C329" s="1" t="n">
        <v>1</v>
      </c>
      <c r="D329" s="2" t="s">
        <v>12</v>
      </c>
      <c r="E329" s="8" t="n">
        <v>44593</v>
      </c>
      <c r="F329" s="2" t="s">
        <v>19</v>
      </c>
      <c r="G329" s="7" t="str">
        <f aca="false">HYPERLINK("https://mncourtfraud.com/file/MCRO_27-CR-20-14626_Findings and Order_2022-02-01_20251126175736.pdf","MCRO_27-CR-20-14626_Findings and Order_2022-02-01_20251126175736.pdf")</f>
        <v>MCRO_27-CR-20-14626_Findings and Order_2022-02-01_20251126175736.pdf</v>
      </c>
      <c r="H329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329" s="1" t="s">
        <v>3413</v>
      </c>
      <c r="J329" s="2" t="s">
        <v>3414</v>
      </c>
      <c r="K329" s="2" t="s">
        <v>3414</v>
      </c>
      <c r="L329" s="2" t="s">
        <v>3415</v>
      </c>
      <c r="M329" s="2" t="n">
        <v>42332</v>
      </c>
    </row>
    <row r="330" customFormat="false" ht="18.7" hidden="false" customHeight="true" outlineLevel="0" collapsed="false">
      <c r="A330" s="1" t="n">
        <v>329</v>
      </c>
      <c r="B330" s="7" t="str">
        <f aca="false">HYPERLINK("https://mncourtfraud.com/file/27-CR-20-14626.pdf","27-CR-20-14626")</f>
        <v>27-CR-20-14626</v>
      </c>
      <c r="C330" s="1" t="n">
        <v>1</v>
      </c>
      <c r="D330" s="2" t="s">
        <v>12</v>
      </c>
      <c r="E330" s="8" t="n">
        <v>44593</v>
      </c>
      <c r="F330" s="2" t="s">
        <v>19</v>
      </c>
      <c r="G330" s="7" t="str">
        <f aca="false">HYPERLINK("https://mncourtfraud.com/file/MCRO_27-CR-20-14626_Findings and Order_2022-02-01_20251126175736.pdf","MCRO_27-CR-20-14626_Findings and Order_2022-02-01_20251126175736.pdf")</f>
        <v>MCRO_27-CR-20-14626_Findings and Order_2022-02-01_20251126175736.pdf</v>
      </c>
      <c r="H330" s="7" t="str">
        <f aca="false">HYPERLINK("https://mncourtfraud.com/file/d1e06f7a12c8d4ae1de62861dbfeadf4f6b52b1cfd6801e548bc1d08782c1451.ttf","d1e06f7a12c8d4ae1de62861dbfeadf4f6b52b1cfd6801e548bc1d08782c1451")</f>
        <v>d1e06f7a12c8d4ae1de62861dbfeadf4f6b52b1cfd6801e548bc1d08782c1451</v>
      </c>
      <c r="I330" s="1" t="s">
        <v>3413</v>
      </c>
      <c r="J330" s="2" t="s">
        <v>3414</v>
      </c>
      <c r="K330" s="2" t="s">
        <v>3416</v>
      </c>
      <c r="L330" s="2" t="s">
        <v>3415</v>
      </c>
      <c r="M330" s="2" t="n">
        <v>28584</v>
      </c>
    </row>
    <row r="331" customFormat="false" ht="18.7" hidden="false" customHeight="true" outlineLevel="0" collapsed="false">
      <c r="A331" s="1" t="n">
        <v>330</v>
      </c>
      <c r="B331" s="7" t="str">
        <f aca="false">HYPERLINK("https://mncourtfraud.com/file/27-CR-20-14626.pdf","27-CR-20-14626")</f>
        <v>27-CR-20-14626</v>
      </c>
      <c r="C331" s="1" t="n">
        <v>1</v>
      </c>
      <c r="D331" s="2" t="s">
        <v>12</v>
      </c>
      <c r="E331" s="8" t="n">
        <v>44593</v>
      </c>
      <c r="F331" s="2" t="s">
        <v>19</v>
      </c>
      <c r="G331" s="7" t="str">
        <f aca="false">HYPERLINK("https://mncourtfraud.com/file/MCRO_27-CR-20-14626_Findings and Order_2022-02-01_20251126175736.pdf","MCRO_27-CR-20-14626_Findings and Order_2022-02-01_20251126175736.pdf")</f>
        <v>MCRO_27-CR-20-14626_Findings and Order_2022-02-01_20251126175736.pdf</v>
      </c>
      <c r="H331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331" s="1" t="s">
        <v>3406</v>
      </c>
      <c r="K331" s="2" t="s">
        <v>3430</v>
      </c>
      <c r="L331" s="2" t="s">
        <v>3408</v>
      </c>
      <c r="M331" s="2" t="n">
        <v>28069</v>
      </c>
      <c r="O331" s="2" t="s">
        <v>3409</v>
      </c>
      <c r="P331" s="2" t="s">
        <v>3410</v>
      </c>
      <c r="S331" s="2" t="n">
        <v>448</v>
      </c>
      <c r="T331" s="2" t="n">
        <v>128</v>
      </c>
    </row>
    <row r="332" customFormat="false" ht="18.7" hidden="false" customHeight="true" outlineLevel="0" collapsed="false">
      <c r="A332" s="1" t="n">
        <v>331</v>
      </c>
      <c r="B332" s="7" t="str">
        <f aca="false">HYPERLINK("https://mncourtfraud.com/file/27-CR-20-14626.pdf","27-CR-20-14626")</f>
        <v>27-CR-20-14626</v>
      </c>
      <c r="C332" s="1" t="n">
        <v>1</v>
      </c>
      <c r="D332" s="2" t="s">
        <v>12</v>
      </c>
      <c r="E332" s="8" t="n">
        <v>44692</v>
      </c>
      <c r="F332" s="2" t="s">
        <v>15</v>
      </c>
      <c r="G332" s="7" t="str">
        <f aca="false">HYPERLINK("https://mncourtfraud.com/file/MCRO_27-CR-20-14626_Order-Evaluation for Competency to Proceed (Rule 20.01)_2022-05-11_20251126175918.pdf","MCRO_27-CR-20-14626_Order-Evaluation for Competency to Proceed (Rule 20.01)_2022-05-11_20251126175918.pdf")</f>
        <v>MCRO_27-CR-20-14626_Order-Evaluation for Competency to Proceed (Rule 20.01)_2022-05-11_20251126175918.pdf</v>
      </c>
      <c r="H332" s="7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332" s="1" t="s">
        <v>3406</v>
      </c>
      <c r="K332" s="2" t="s">
        <v>3432</v>
      </c>
      <c r="L332" s="2" t="s">
        <v>3408</v>
      </c>
      <c r="M332" s="2" t="n">
        <v>21121</v>
      </c>
      <c r="O332" s="2" t="s">
        <v>3409</v>
      </c>
      <c r="P332" s="2" t="s">
        <v>3410</v>
      </c>
      <c r="S332" s="2" t="n">
        <v>695</v>
      </c>
      <c r="T332" s="2" t="n">
        <v>233</v>
      </c>
    </row>
    <row r="333" customFormat="false" ht="18.7" hidden="false" customHeight="true" outlineLevel="0" collapsed="false">
      <c r="A333" s="1" t="n">
        <v>332</v>
      </c>
      <c r="B333" s="7" t="str">
        <f aca="false">HYPERLINK("https://mncourtfraud.com/file/27-CR-20-14626.pdf","27-CR-20-14626")</f>
        <v>27-CR-20-14626</v>
      </c>
      <c r="C333" s="1" t="n">
        <v>1</v>
      </c>
      <c r="D333" s="2" t="s">
        <v>12</v>
      </c>
      <c r="E333" s="8" t="n">
        <v>44692</v>
      </c>
      <c r="F333" s="2" t="s">
        <v>15</v>
      </c>
      <c r="G333" s="7" t="str">
        <f aca="false">HYPERLINK("https://mncourtfraud.com/file/MCRO_27-CR-20-14626_Order-Evaluation for Competency to Proceed (Rule 20.01)_2022-05-11_20251126175918.pdf","MCRO_27-CR-20-14626_Order-Evaluation for Competency to Proceed (Rule 20.01)_2022-05-11_20251126175918.pdf")</f>
        <v>MCRO_27-CR-20-14626_Order-Evaluation for Competency to Proceed (Rule 20.01)_2022-05-11_20251126175918.pdf</v>
      </c>
      <c r="H333" s="7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333" s="1" t="s">
        <v>3406</v>
      </c>
      <c r="K333" s="2" t="s">
        <v>3433</v>
      </c>
      <c r="L333" s="2" t="s">
        <v>3408</v>
      </c>
      <c r="M333" s="2" t="n">
        <v>53838</v>
      </c>
      <c r="O333" s="2" t="s">
        <v>3409</v>
      </c>
      <c r="P333" s="2" t="s">
        <v>3410</v>
      </c>
      <c r="S333" s="2" t="n">
        <v>695</v>
      </c>
      <c r="T333" s="2" t="n">
        <v>233</v>
      </c>
    </row>
    <row r="334" customFormat="false" ht="18.7" hidden="false" customHeight="true" outlineLevel="0" collapsed="false">
      <c r="A334" s="1" t="n">
        <v>333</v>
      </c>
      <c r="B334" s="7" t="str">
        <f aca="false">HYPERLINK("https://mncourtfraud.com/file/27-CR-20-14626.pdf","27-CR-20-14626")</f>
        <v>27-CR-20-14626</v>
      </c>
      <c r="C334" s="1" t="n">
        <v>1</v>
      </c>
      <c r="D334" s="2" t="s">
        <v>12</v>
      </c>
      <c r="E334" s="8" t="n">
        <v>44692</v>
      </c>
      <c r="F334" s="2" t="s">
        <v>15</v>
      </c>
      <c r="G334" s="7" t="str">
        <f aca="false">HYPERLINK("https://mncourtfraud.com/file/MCRO_27-CR-20-14626_Order-Evaluation for Competency to Proceed (Rule 20.01)_2022-05-11_20251126175918.pdf","MCRO_27-CR-20-14626_Order-Evaluation for Competency to Proceed (Rule 20.01)_2022-05-11_20251126175918.pdf")</f>
        <v>MCRO_27-CR-20-14626_Order-Evaluation for Competency to Proceed (Rule 20.01)_2022-05-11_20251126175918.pdf</v>
      </c>
      <c r="H334" s="7" t="str">
        <f aca="false">HYPERLINK("https://mncourtfraud.com/file/322fe0e9595a4df4693edf307e5f8a42a470721d59f006a7b0e86def92125a58.ttf","322fe0e9595a4df4693edf307e5f8a42a470721d59f006a7b0e86def92125a58")</f>
        <v>322fe0e9595a4df4693edf307e5f8a42a470721d59f006a7b0e86def92125a58</v>
      </c>
      <c r="I334" s="1" t="s">
        <v>3413</v>
      </c>
      <c r="J334" s="2" t="s">
        <v>3434</v>
      </c>
      <c r="K334" s="2" t="s">
        <v>3434</v>
      </c>
      <c r="L334" s="2" t="s">
        <v>3415</v>
      </c>
      <c r="M334" s="2" t="n">
        <v>46736</v>
      </c>
      <c r="N334" s="2" t="s">
        <v>3435</v>
      </c>
    </row>
    <row r="335" customFormat="false" ht="18.7" hidden="false" customHeight="true" outlineLevel="0" collapsed="false">
      <c r="A335" s="1" t="n">
        <v>334</v>
      </c>
      <c r="B335" s="7" t="str">
        <f aca="false">HYPERLINK("https://mncourtfraud.com/file/27-CR-20-14626.pdf","27-CR-20-14626")</f>
        <v>27-CR-20-14626</v>
      </c>
      <c r="C335" s="1" t="n">
        <v>1</v>
      </c>
      <c r="D335" s="2" t="s">
        <v>12</v>
      </c>
      <c r="E335" s="8" t="n">
        <v>44692</v>
      </c>
      <c r="F335" s="2" t="s">
        <v>15</v>
      </c>
      <c r="G335" s="7" t="str">
        <f aca="false">HYPERLINK("https://mncourtfraud.com/file/MCRO_27-CR-20-14626_Order-Evaluation for Competency to Proceed (Rule 20.01)_2022-05-11_20251126175918.pdf","MCRO_27-CR-20-14626_Order-Evaluation for Competency to Proceed (Rule 20.01)_2022-05-11_20251126175918.pdf")</f>
        <v>MCRO_27-CR-20-14626_Order-Evaluation for Competency to Proceed (Rule 20.01)_2022-05-11_20251126175918.pdf</v>
      </c>
      <c r="H335" s="7" t="str">
        <f aca="false">HYPERLINK("https://mncourtfraud.com/file/32ebada21768d6238e03c647b5e5acdf6ce656f0735d59c3fb698ce40418a709.ttf","32ebada21768d6238e03c647b5e5acdf6ce656f0735d59c3fb698ce40418a709")</f>
        <v>32ebada21768d6238e03c647b5e5acdf6ce656f0735d59c3fb698ce40418a709</v>
      </c>
      <c r="I335" s="1" t="s">
        <v>3413</v>
      </c>
      <c r="J335" s="2" t="s">
        <v>3436</v>
      </c>
      <c r="K335" s="2" t="s">
        <v>3436</v>
      </c>
      <c r="L335" s="2" t="s">
        <v>3415</v>
      </c>
      <c r="M335" s="2" t="n">
        <v>65744</v>
      </c>
      <c r="N335" s="2" t="s">
        <v>3437</v>
      </c>
    </row>
    <row r="336" customFormat="false" ht="18.7" hidden="false" customHeight="true" outlineLevel="0" collapsed="false">
      <c r="A336" s="1" t="n">
        <v>335</v>
      </c>
      <c r="B336" s="7" t="str">
        <f aca="false">HYPERLINK("https://mncourtfraud.com/file/27-CR-20-14626.pdf","27-CR-20-14626")</f>
        <v>27-CR-20-14626</v>
      </c>
      <c r="C336" s="1" t="n">
        <v>1</v>
      </c>
      <c r="D336" s="2" t="s">
        <v>12</v>
      </c>
      <c r="E336" s="8" t="n">
        <v>44692</v>
      </c>
      <c r="F336" s="2" t="s">
        <v>15</v>
      </c>
      <c r="G336" s="7" t="str">
        <f aca="false">HYPERLINK("https://mncourtfraud.com/file/MCRO_27-CR-20-14626_Order-Evaluation for Competency to Proceed (Rule 20.01)_2022-05-11_20251126175918.pdf","MCRO_27-CR-20-14626_Order-Evaluation for Competency to Proceed (Rule 20.01)_2022-05-11_20251126175918.pdf")</f>
        <v>MCRO_27-CR-20-14626_Order-Evaluation for Competency to Proceed (Rule 20.01)_2022-05-11_20251126175918.pdf</v>
      </c>
      <c r="H336" s="7" t="str">
        <f aca="false">HYPERLINK("https://mncourtfraud.com/file/694dcb82a5515430b7fddfbf16881b942820c8c41fee3eea3505a20c7d4e41e6.ttf","694dcb82a5515430b7fddfbf16881b942820c8c41fee3eea3505a20c7d4e41e6")</f>
        <v>694dcb82a5515430b7fddfbf16881b942820c8c41fee3eea3505a20c7d4e41e6</v>
      </c>
      <c r="I336" s="1" t="s">
        <v>3413</v>
      </c>
      <c r="J336" s="2" t="s">
        <v>3438</v>
      </c>
      <c r="K336" s="2" t="s">
        <v>3438</v>
      </c>
      <c r="L336" s="2" t="s">
        <v>3415</v>
      </c>
      <c r="M336" s="2" t="n">
        <v>72828</v>
      </c>
      <c r="N336" s="2" t="s">
        <v>3439</v>
      </c>
    </row>
    <row r="337" customFormat="false" ht="18.7" hidden="false" customHeight="true" outlineLevel="0" collapsed="false">
      <c r="A337" s="1" t="n">
        <v>336</v>
      </c>
      <c r="B337" s="7" t="str">
        <f aca="false">HYPERLINK("https://mncourtfraud.com/file/27-CR-20-14626.pdf","27-CR-20-14626")</f>
        <v>27-CR-20-14626</v>
      </c>
      <c r="C337" s="1" t="n">
        <v>1</v>
      </c>
      <c r="D337" s="2" t="s">
        <v>12</v>
      </c>
      <c r="E337" s="8" t="n">
        <v>44692</v>
      </c>
      <c r="F337" s="2" t="s">
        <v>15</v>
      </c>
      <c r="G337" s="7" t="str">
        <f aca="false">HYPERLINK("https://mncourtfraud.com/file/MCRO_27-CR-20-14626_Order-Evaluation for Competency to Proceed (Rule 20.01)_2022-05-11_20251126175918.pdf","MCRO_27-CR-20-14626_Order-Evaluation for Competency to Proceed (Rule 20.01)_2022-05-11_20251126175918.pdf")</f>
        <v>MCRO_27-CR-20-14626_Order-Evaluation for Competency to Proceed (Rule 20.01)_2022-05-11_20251126175918.pdf</v>
      </c>
      <c r="H337" s="7" t="str">
        <f aca="false">HYPERLINK("https://mncourtfraud.com/file/87764021d6d62f7c396208d3f1fa8113e5ad5f90bd03c35e7200536389af4e6a.ttf","87764021d6d62f7c396208d3f1fa8113e5ad5f90bd03c35e7200536389af4e6a")</f>
        <v>87764021d6d62f7c396208d3f1fa8113e5ad5f90bd03c35e7200536389af4e6a</v>
      </c>
      <c r="I337" s="1" t="s">
        <v>3413</v>
      </c>
      <c r="J337" s="2" t="s">
        <v>3440</v>
      </c>
      <c r="K337" s="2" t="s">
        <v>3440</v>
      </c>
      <c r="L337" s="2" t="s">
        <v>3415</v>
      </c>
      <c r="M337" s="2" t="n">
        <v>6280</v>
      </c>
      <c r="N337" s="2" t="s">
        <v>3441</v>
      </c>
    </row>
    <row r="338" customFormat="false" ht="18.7" hidden="false" customHeight="true" outlineLevel="0" collapsed="false">
      <c r="A338" s="1" t="n">
        <v>337</v>
      </c>
      <c r="B338" s="7" t="str">
        <f aca="false">HYPERLINK("https://mncourtfraud.com/file/27-CR-20-14626.pdf","27-CR-20-14626")</f>
        <v>27-CR-20-14626</v>
      </c>
      <c r="C338" s="1" t="n">
        <v>1</v>
      </c>
      <c r="D338" s="2" t="s">
        <v>12</v>
      </c>
      <c r="E338" s="8" t="n">
        <v>44692</v>
      </c>
      <c r="F338" s="2" t="s">
        <v>15</v>
      </c>
      <c r="G338" s="7" t="str">
        <f aca="false">HYPERLINK("https://mncourtfraud.com/file/MCRO_27-CR-20-14626_Order-Evaluation for Competency to Proceed (Rule 20.01)_2022-05-11_20251126175918.pdf","MCRO_27-CR-20-14626_Order-Evaluation for Competency to Proceed (Rule 20.01)_2022-05-11_20251126175918.pdf")</f>
        <v>MCRO_27-CR-20-14626_Order-Evaluation for Competency to Proceed (Rule 20.01)_2022-05-11_20251126175918.pdf</v>
      </c>
      <c r="H338" s="7" t="str">
        <f aca="false">HYPERLINK("https://mncourtfraud.com/file/a1ad71f465be26cf6bb430c59ae6133d3c381ada339ba3c6b2eadf32a9b4096b.ttf","a1ad71f465be26cf6bb430c59ae6133d3c381ada339ba3c6b2eadf32a9b4096b")</f>
        <v>a1ad71f465be26cf6bb430c59ae6133d3c381ada339ba3c6b2eadf32a9b4096b</v>
      </c>
      <c r="I338" s="1" t="s">
        <v>3413</v>
      </c>
      <c r="J338" s="2" t="s">
        <v>3442</v>
      </c>
      <c r="K338" s="2" t="s">
        <v>3442</v>
      </c>
      <c r="L338" s="2" t="s">
        <v>3415</v>
      </c>
      <c r="M338" s="2" t="n">
        <v>5988</v>
      </c>
      <c r="N338" s="2" t="s">
        <v>3443</v>
      </c>
    </row>
    <row r="339" customFormat="false" ht="18.7" hidden="false" customHeight="true" outlineLevel="0" collapsed="false">
      <c r="A339" s="1" t="n">
        <v>338</v>
      </c>
      <c r="B339" s="7" t="str">
        <f aca="false">HYPERLINK("https://mncourtfraud.com/file/27-CR-20-14626.pdf","27-CR-20-14626")</f>
        <v>27-CR-20-14626</v>
      </c>
      <c r="C339" s="1" t="n">
        <v>1</v>
      </c>
      <c r="D339" s="2" t="s">
        <v>12</v>
      </c>
      <c r="E339" s="8" t="n">
        <v>44692</v>
      </c>
      <c r="F339" s="2" t="s">
        <v>15</v>
      </c>
      <c r="G339" s="7" t="str">
        <f aca="false">HYPERLINK("https://mncourtfraud.com/file/MCRO_27-CR-20-14626_Order-Evaluation for Competency to Proceed (Rule 20.01)_2022-05-11_20251126175918.pdf","MCRO_27-CR-20-14626_Order-Evaluation for Competency to Proceed (Rule 20.01)_2022-05-11_20251126175918.pdf")</f>
        <v>MCRO_27-CR-20-14626_Order-Evaluation for Competency to Proceed (Rule 20.01)_2022-05-11_20251126175918.pdf</v>
      </c>
      <c r="H339" s="7" t="str">
        <f aca="false">HYPERLINK("https://mncourtfraud.com/file/e1befe23dc5d05be4c8e965e6fc9e74e95400600e0da0c86dd389645355f3ad1.ttf","e1befe23dc5d05be4c8e965e6fc9e74e95400600e0da0c86dd389645355f3ad1")</f>
        <v>e1befe23dc5d05be4c8e965e6fc9e74e95400600e0da0c86dd389645355f3ad1</v>
      </c>
      <c r="I339" s="1" t="s">
        <v>3413</v>
      </c>
      <c r="J339" s="2" t="s">
        <v>3444</v>
      </c>
      <c r="K339" s="2" t="s">
        <v>3444</v>
      </c>
      <c r="L339" s="2" t="s">
        <v>3415</v>
      </c>
      <c r="M339" s="2" t="n">
        <v>94308</v>
      </c>
      <c r="N339" s="2" t="s">
        <v>3445</v>
      </c>
    </row>
    <row r="340" customFormat="false" ht="18.7" hidden="false" customHeight="true" outlineLevel="0" collapsed="false">
      <c r="A340" s="1" t="n">
        <v>339</v>
      </c>
      <c r="B340" s="7" t="str">
        <f aca="false">HYPERLINK("https://mncourtfraud.com/file/27-CR-20-14626.pdf","27-CR-20-14626")</f>
        <v>27-CR-20-14626</v>
      </c>
      <c r="C340" s="1" t="n">
        <v>1</v>
      </c>
      <c r="D340" s="2" t="s">
        <v>12</v>
      </c>
      <c r="E340" s="8" t="n">
        <v>44895</v>
      </c>
      <c r="F340" s="2" t="s">
        <v>15</v>
      </c>
      <c r="G340" s="7" t="str">
        <f aca="false">HYPERLINK("https://mncourtfraud.com/file/MCRO_27-CR-20-14626_Order-Evaluation for Competency to Proceed (Rule 20.01)_2022-11-30_20251126175928.pdf","MCRO_27-CR-20-14626_Order-Evaluation for Competency to Proceed (Rule 20.01)_2022-11-30_20251126175928.pdf")</f>
        <v>MCRO_27-CR-20-14626_Order-Evaluation for Competency to Proceed (Rule 20.01)_2022-11-30_20251126175928.pdf</v>
      </c>
      <c r="H340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340" s="1" t="s">
        <v>3413</v>
      </c>
      <c r="J340" s="2" t="s">
        <v>3423</v>
      </c>
      <c r="K340" s="2" t="s">
        <v>3423</v>
      </c>
      <c r="L340" s="2" t="s">
        <v>3415</v>
      </c>
      <c r="M340" s="2" t="n">
        <v>11088</v>
      </c>
    </row>
    <row r="341" customFormat="false" ht="18.7" hidden="false" customHeight="true" outlineLevel="0" collapsed="false">
      <c r="A341" s="1" t="n">
        <v>340</v>
      </c>
      <c r="B341" s="7" t="str">
        <f aca="false">HYPERLINK("https://mncourtfraud.com/file/27-CR-20-14626.pdf","27-CR-20-14626")</f>
        <v>27-CR-20-14626</v>
      </c>
      <c r="C341" s="1" t="n">
        <v>1</v>
      </c>
      <c r="D341" s="2" t="s">
        <v>12</v>
      </c>
      <c r="E341" s="8" t="n">
        <v>44895</v>
      </c>
      <c r="F341" s="2" t="s">
        <v>15</v>
      </c>
      <c r="G341" s="7" t="str">
        <f aca="false">HYPERLINK("https://mncourtfraud.com/file/MCRO_27-CR-20-14626_Order-Evaluation for Competency to Proceed (Rule 20.01)_2022-11-30_20251126175928.pdf","MCRO_27-CR-20-14626_Order-Evaluation for Competency to Proceed (Rule 20.01)_2022-11-30_20251126175928.pdf")</f>
        <v>MCRO_27-CR-20-14626_Order-Evaluation for Competency to Proceed (Rule 20.01)_2022-11-30_20251126175928.pdf</v>
      </c>
      <c r="H341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341" s="1" t="s">
        <v>3413</v>
      </c>
      <c r="J341" s="2" t="s">
        <v>3446</v>
      </c>
      <c r="K341" s="2" t="s">
        <v>3446</v>
      </c>
      <c r="L341" s="2" t="s">
        <v>3415</v>
      </c>
      <c r="M341" s="2" t="n">
        <v>55072</v>
      </c>
      <c r="N341" s="2" t="s">
        <v>3447</v>
      </c>
    </row>
    <row r="342" customFormat="false" ht="18.7" hidden="false" customHeight="true" outlineLevel="0" collapsed="false">
      <c r="A342" s="1" t="n">
        <v>341</v>
      </c>
      <c r="B342" s="7" t="str">
        <f aca="false">HYPERLINK("https://mncourtfraud.com/file/27-CR-20-14626.pdf","27-CR-20-14626")</f>
        <v>27-CR-20-14626</v>
      </c>
      <c r="C342" s="1" t="n">
        <v>1</v>
      </c>
      <c r="D342" s="2" t="s">
        <v>12</v>
      </c>
      <c r="E342" s="8" t="n">
        <v>44895</v>
      </c>
      <c r="F342" s="2" t="s">
        <v>15</v>
      </c>
      <c r="G342" s="7" t="str">
        <f aca="false">HYPERLINK("https://mncourtfraud.com/file/MCRO_27-CR-20-14626_Order-Evaluation for Competency to Proceed (Rule 20.01)_2022-11-30_20251126175928.pdf","MCRO_27-CR-20-14626_Order-Evaluation for Competency to Proceed (Rule 20.01)_2022-11-30_20251126175928.pdf")</f>
        <v>MCRO_27-CR-20-14626_Order-Evaluation for Competency to Proceed (Rule 20.01)_2022-11-30_20251126175928.pdf</v>
      </c>
      <c r="H342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342" s="1" t="s">
        <v>3413</v>
      </c>
      <c r="J342" s="2" t="s">
        <v>3424</v>
      </c>
      <c r="K342" s="2" t="s">
        <v>3424</v>
      </c>
      <c r="L342" s="2" t="s">
        <v>3415</v>
      </c>
      <c r="M342" s="2" t="n">
        <v>14252</v>
      </c>
    </row>
    <row r="343" customFormat="false" ht="18.7" hidden="false" customHeight="true" outlineLevel="0" collapsed="false">
      <c r="A343" s="1" t="n">
        <v>342</v>
      </c>
      <c r="B343" s="7" t="str">
        <f aca="false">HYPERLINK("https://mncourtfraud.com/file/27-CR-20-14626.pdf","27-CR-20-14626")</f>
        <v>27-CR-20-14626</v>
      </c>
      <c r="C343" s="1" t="n">
        <v>1</v>
      </c>
      <c r="D343" s="2" t="s">
        <v>12</v>
      </c>
      <c r="E343" s="8" t="n">
        <v>44895</v>
      </c>
      <c r="F343" s="2" t="s">
        <v>15</v>
      </c>
      <c r="G343" s="7" t="str">
        <f aca="false">HYPERLINK("https://mncourtfraud.com/file/MCRO_27-CR-20-14626_Order-Evaluation for Competency to Proceed (Rule 20.01)_2022-11-30_20251126175928.pdf","MCRO_27-CR-20-14626_Order-Evaluation for Competency to Proceed (Rule 20.01)_2022-11-30_20251126175928.pdf")</f>
        <v>MCRO_27-CR-20-14626_Order-Evaluation for Competency to Proceed (Rule 20.01)_2022-11-30_20251126175928.pdf</v>
      </c>
      <c r="H343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343" s="1" t="s">
        <v>3406</v>
      </c>
      <c r="K343" s="2" t="s">
        <v>3420</v>
      </c>
      <c r="L343" s="2" t="s">
        <v>3408</v>
      </c>
      <c r="M343" s="2" t="n">
        <v>7306</v>
      </c>
      <c r="O343" s="2" t="s">
        <v>3409</v>
      </c>
      <c r="P343" s="2" t="s">
        <v>3410</v>
      </c>
      <c r="S343" s="2" t="n">
        <v>319</v>
      </c>
      <c r="T343" s="2" t="n">
        <v>105</v>
      </c>
    </row>
    <row r="344" customFormat="false" ht="18.7" hidden="false" customHeight="true" outlineLevel="0" collapsed="false">
      <c r="A344" s="1" t="n">
        <v>343</v>
      </c>
      <c r="B344" s="7" t="str">
        <f aca="false">HYPERLINK("https://mncourtfraud.com/file/27-CR-20-14626.pdf","27-CR-20-14626")</f>
        <v>27-CR-20-14626</v>
      </c>
      <c r="C344" s="1" t="n">
        <v>1</v>
      </c>
      <c r="D344" s="2" t="s">
        <v>12</v>
      </c>
      <c r="E344" s="8" t="n">
        <v>44895</v>
      </c>
      <c r="F344" s="2" t="s">
        <v>15</v>
      </c>
      <c r="G344" s="7" t="str">
        <f aca="false">HYPERLINK("https://mncourtfraud.com/file/MCRO_27-CR-20-14626_Order-Evaluation for Competency to Proceed (Rule 20.01)_2022-11-30_20251126175928.pdf","MCRO_27-CR-20-14626_Order-Evaluation for Competency to Proceed (Rule 20.01)_2022-11-30_20251126175928.pdf")</f>
        <v>MCRO_27-CR-20-14626_Order-Evaluation for Competency to Proceed (Rule 20.01)_2022-11-30_20251126175928.pdf</v>
      </c>
      <c r="H344" s="7" t="str">
        <f aca="false">HYPERLINK("https://mncourtfraud.com/file/677e52a3b8403ce87e338b0a2e31e6f8e5ddf03fb0ca7043a341135cf0255eaa.ttf","677e52a3b8403ce87e338b0a2e31e6f8e5ddf03fb0ca7043a341135cf0255eaa")</f>
        <v>677e52a3b8403ce87e338b0a2e31e6f8e5ddf03fb0ca7043a341135cf0255eaa</v>
      </c>
      <c r="I344" s="1" t="s">
        <v>3413</v>
      </c>
      <c r="J344" s="2" t="s">
        <v>3422</v>
      </c>
      <c r="K344" s="2" t="s">
        <v>3422</v>
      </c>
      <c r="L344" s="2" t="s">
        <v>3415</v>
      </c>
      <c r="M344" s="2" t="n">
        <v>149960</v>
      </c>
    </row>
    <row r="345" customFormat="false" ht="18.7" hidden="false" customHeight="true" outlineLevel="0" collapsed="false">
      <c r="A345" s="1" t="n">
        <v>344</v>
      </c>
      <c r="B345" s="7" t="str">
        <f aca="false">HYPERLINK("https://mncourtfraud.com/file/27-CR-20-14626.pdf","27-CR-20-14626")</f>
        <v>27-CR-20-14626</v>
      </c>
      <c r="C345" s="1" t="n">
        <v>1</v>
      </c>
      <c r="D345" s="2" t="s">
        <v>12</v>
      </c>
      <c r="E345" s="8" t="n">
        <v>44895</v>
      </c>
      <c r="F345" s="2" t="s">
        <v>15</v>
      </c>
      <c r="G345" s="7" t="str">
        <f aca="false">HYPERLINK("https://mncourtfraud.com/file/MCRO_27-CR-20-14626_Order-Evaluation for Competency to Proceed (Rule 20.01)_2022-11-30_20251126175928.pdf","MCRO_27-CR-20-14626_Order-Evaluation for Competency to Proceed (Rule 20.01)_2022-11-30_20251126175928.pdf")</f>
        <v>MCRO_27-CR-20-14626_Order-Evaluation for Competency to Proceed (Rule 20.01)_2022-11-30_20251126175928.pdf</v>
      </c>
      <c r="H345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345" s="1" t="s">
        <v>3413</v>
      </c>
      <c r="J345" s="2" t="s">
        <v>3448</v>
      </c>
      <c r="K345" s="2" t="s">
        <v>3448</v>
      </c>
      <c r="L345" s="2" t="s">
        <v>3415</v>
      </c>
      <c r="M345" s="2" t="n">
        <v>916684</v>
      </c>
    </row>
    <row r="346" customFormat="false" ht="18.7" hidden="false" customHeight="true" outlineLevel="0" collapsed="false">
      <c r="A346" s="1" t="n">
        <v>345</v>
      </c>
      <c r="B346" s="7" t="str">
        <f aca="false">HYPERLINK("https://mncourtfraud.com/file/27-CR-20-14626.pdf","27-CR-20-14626")</f>
        <v>27-CR-20-14626</v>
      </c>
      <c r="C346" s="1" t="n">
        <v>1</v>
      </c>
      <c r="D346" s="2" t="s">
        <v>12</v>
      </c>
      <c r="E346" s="8" t="n">
        <v>44895</v>
      </c>
      <c r="F346" s="2" t="s">
        <v>15</v>
      </c>
      <c r="G346" s="7" t="str">
        <f aca="false">HYPERLINK("https://mncourtfraud.com/file/MCRO_27-CR-20-14626_Order-Evaluation for Competency to Proceed (Rule 20.01)_2022-11-30_20251126175928.pdf","MCRO_27-CR-20-14626_Order-Evaluation for Competency to Proceed (Rule 20.01)_2022-11-30_20251126175928.pdf")</f>
        <v>MCRO_27-CR-20-14626_Order-Evaluation for Competency to Proceed (Rule 20.01)_2022-11-30_20251126175928.pdf</v>
      </c>
      <c r="H346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346" s="1" t="s">
        <v>3406</v>
      </c>
      <c r="K346" s="2" t="s">
        <v>3425</v>
      </c>
      <c r="L346" s="2" t="s">
        <v>3408</v>
      </c>
      <c r="M346" s="2" t="n">
        <v>21225</v>
      </c>
      <c r="O346" s="2" t="s">
        <v>3409</v>
      </c>
      <c r="P346" s="2" t="s">
        <v>3410</v>
      </c>
      <c r="S346" s="2" t="n">
        <v>319</v>
      </c>
      <c r="T346" s="2" t="n">
        <v>105</v>
      </c>
    </row>
    <row r="347" customFormat="false" ht="18.7" hidden="false" customHeight="true" outlineLevel="0" collapsed="false">
      <c r="A347" s="1" t="n">
        <v>346</v>
      </c>
      <c r="B347" s="7" t="str">
        <f aca="false">HYPERLINK("https://mncourtfraud.com/file/27-CR-20-14626.pdf","27-CR-20-14626")</f>
        <v>27-CR-20-14626</v>
      </c>
      <c r="C347" s="1" t="n">
        <v>1</v>
      </c>
      <c r="D347" s="2" t="s">
        <v>12</v>
      </c>
      <c r="E347" s="8" t="n">
        <v>44895</v>
      </c>
      <c r="F347" s="2" t="s">
        <v>15</v>
      </c>
      <c r="G347" s="7" t="str">
        <f aca="false">HYPERLINK("https://mncourtfraud.com/file/MCRO_27-CR-20-14626_Order-Evaluation for Competency to Proceed (Rule 20.01)_2022-11-30_20251126175928.pdf","MCRO_27-CR-20-14626_Order-Evaluation for Competency to Proceed (Rule 20.01)_2022-11-30_20251126175928.pdf")</f>
        <v>MCRO_27-CR-20-14626_Order-Evaluation for Competency to Proceed (Rule 20.01)_2022-11-30_20251126175928.pdf</v>
      </c>
      <c r="H347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347" s="1" t="s">
        <v>3413</v>
      </c>
      <c r="J347" s="2" t="s">
        <v>3449</v>
      </c>
      <c r="K347" s="2" t="s">
        <v>3449</v>
      </c>
      <c r="L347" s="2" t="s">
        <v>3415</v>
      </c>
      <c r="M347" s="2" t="n">
        <v>124664</v>
      </c>
    </row>
    <row r="348" customFormat="false" ht="18.7" hidden="false" customHeight="true" outlineLevel="0" collapsed="false">
      <c r="A348" s="1" t="n">
        <v>347</v>
      </c>
      <c r="B348" s="7" t="str">
        <f aca="false">HYPERLINK("https://mncourtfraud.com/file/27-CR-20-14626.pdf","27-CR-20-14626")</f>
        <v>27-CR-20-14626</v>
      </c>
      <c r="C348" s="1" t="n">
        <v>1</v>
      </c>
      <c r="D348" s="2" t="s">
        <v>12</v>
      </c>
      <c r="E348" s="8" t="n">
        <v>44895</v>
      </c>
      <c r="F348" s="2" t="s">
        <v>15</v>
      </c>
      <c r="G348" s="7" t="str">
        <f aca="false">HYPERLINK("https://mncourtfraud.com/file/MCRO_27-CR-20-14626_Order-Evaluation for Competency to Proceed (Rule 20.01)_2022-11-30_20251126175928.pdf","MCRO_27-CR-20-14626_Order-Evaluation for Competency to Proceed (Rule 20.01)_2022-11-30_20251126175928.pdf")</f>
        <v>MCRO_27-CR-20-14626_Order-Evaluation for Competency to Proceed (Rule 20.01)_2022-11-30_20251126175928.pdf</v>
      </c>
      <c r="H348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348" s="1" t="s">
        <v>3413</v>
      </c>
      <c r="J348" s="2" t="s">
        <v>3449</v>
      </c>
      <c r="K348" s="2" t="s">
        <v>3449</v>
      </c>
      <c r="L348" s="2" t="s">
        <v>3415</v>
      </c>
      <c r="M348" s="2" t="n">
        <v>124664</v>
      </c>
    </row>
    <row r="349" customFormat="false" ht="18.7" hidden="false" customHeight="true" outlineLevel="0" collapsed="false">
      <c r="A349" s="1" t="n">
        <v>348</v>
      </c>
      <c r="B349" s="7" t="str">
        <f aca="false">HYPERLINK("https://mncourtfraud.com/file/27-CR-20-25524.pdf","27-CR-20-25524")</f>
        <v>27-CR-20-25524</v>
      </c>
      <c r="C349" s="1" t="n">
        <v>1</v>
      </c>
      <c r="D349" s="2" t="s">
        <v>12</v>
      </c>
      <c r="E349" s="8" t="n">
        <v>44396</v>
      </c>
      <c r="F349" s="2" t="s">
        <v>15</v>
      </c>
      <c r="G349" s="7" t="str">
        <f aca="false">HYPERLINK("https://mncourtfraud.com/file/MCRO_27-CR-20-25524_Order-Evaluation for Competency to Proceed (Rule 20.01)_2021-07-19_20251126180153.pdf","MCRO_27-CR-20-25524_Order-Evaluation for Competency to Proceed (Rule 20.01)_2021-07-19_20251126180153.pdf")</f>
        <v>MCRO_27-CR-20-25524_Order-Evaluation for Competency to Proceed (Rule 20.01)_2021-07-19_20251126180153.pdf</v>
      </c>
      <c r="H349" s="7" t="str">
        <f aca="false">HYPERLINK("https://mncourtfraud.com/file/01a82c8a2da022ec3c10b8717408902f2aa2d96e7d715b90b1b88176aae55190.ttf","01a82c8a2da022ec3c10b8717408902f2aa2d96e7d715b90b1b88176aae55190")</f>
        <v>01a82c8a2da022ec3c10b8717408902f2aa2d96e7d715b90b1b88176aae55190</v>
      </c>
      <c r="I349" s="1" t="s">
        <v>3413</v>
      </c>
      <c r="L349" s="2" t="s">
        <v>3415</v>
      </c>
      <c r="M349" s="2" t="n">
        <v>333576</v>
      </c>
    </row>
    <row r="350" customFormat="false" ht="18.7" hidden="false" customHeight="true" outlineLevel="0" collapsed="false">
      <c r="A350" s="1" t="n">
        <v>349</v>
      </c>
      <c r="B350" s="7" t="str">
        <f aca="false">HYPERLINK("https://mncourtfraud.com/file/27-CR-20-25524.pdf","27-CR-20-25524")</f>
        <v>27-CR-20-25524</v>
      </c>
      <c r="C350" s="1" t="n">
        <v>1</v>
      </c>
      <c r="D350" s="2" t="s">
        <v>12</v>
      </c>
      <c r="E350" s="8" t="n">
        <v>44396</v>
      </c>
      <c r="F350" s="2" t="s">
        <v>15</v>
      </c>
      <c r="G350" s="7" t="str">
        <f aca="false">HYPERLINK("https://mncourtfraud.com/file/MCRO_27-CR-20-25524_Order-Evaluation for Competency to Proceed (Rule 20.01)_2021-07-19_20251126180153.pdf","MCRO_27-CR-20-25524_Order-Evaluation for Competency to Proceed (Rule 20.01)_2021-07-19_20251126180153.pdf")</f>
        <v>MCRO_27-CR-20-25524_Order-Evaluation for Competency to Proceed (Rule 20.01)_2021-07-19_20251126180153.pdf</v>
      </c>
      <c r="H350" s="7" t="str">
        <f aca="false">HYPERLINK("https://mncourtfraud.com/file/088c075c72ab3f2a1f7e3a09c870d33b7f007dba0227b32038d1a3a2589e8d75.png","088c075c72ab3f2a1f7e3a09c870d33b7f007dba0227b32038d1a3a2589e8d75")</f>
        <v>088c075c72ab3f2a1f7e3a09c870d33b7f007dba0227b32038d1a3a2589e8d75</v>
      </c>
      <c r="I350" s="1" t="s">
        <v>3406</v>
      </c>
      <c r="L350" s="2" t="s">
        <v>3412</v>
      </c>
      <c r="M350" s="2" t="n">
        <v>146630</v>
      </c>
      <c r="S350" s="2" t="n">
        <v>2550</v>
      </c>
      <c r="T350" s="2" t="n">
        <v>3300</v>
      </c>
    </row>
    <row r="351" customFormat="false" ht="18.7" hidden="false" customHeight="true" outlineLevel="0" collapsed="false">
      <c r="A351" s="1" t="n">
        <v>350</v>
      </c>
      <c r="B351" s="7" t="str">
        <f aca="false">HYPERLINK("https://mncourtfraud.com/file/27-CR-20-25524.pdf","27-CR-20-25524")</f>
        <v>27-CR-20-25524</v>
      </c>
      <c r="C351" s="1" t="n">
        <v>1</v>
      </c>
      <c r="D351" s="2" t="s">
        <v>12</v>
      </c>
      <c r="E351" s="8" t="n">
        <v>44396</v>
      </c>
      <c r="F351" s="2" t="s">
        <v>15</v>
      </c>
      <c r="G351" s="7" t="str">
        <f aca="false">HYPERLINK("https://mncourtfraud.com/file/MCRO_27-CR-20-25524_Order-Evaluation for Competency to Proceed (Rule 20.01)_2021-07-19_20251126180153.pdf","MCRO_27-CR-20-25524_Order-Evaluation for Competency to Proceed (Rule 20.01)_2021-07-19_20251126180153.pdf")</f>
        <v>MCRO_27-CR-20-25524_Order-Evaluation for Competency to Proceed (Rule 20.01)_2021-07-19_20251126180153.pdf</v>
      </c>
      <c r="H351" s="7" t="str">
        <f aca="false">HYPERLINK("https://mncourtfraud.com/file/20ffbffc87671f334a74d45d78beb399ec72831b0c8cb496690164d15e0c8983.png","20ffbffc87671f334a74d45d78beb399ec72831b0c8cb496690164d15e0c8983")</f>
        <v>20ffbffc87671f334a74d45d78beb399ec72831b0c8cb496690164d15e0c8983</v>
      </c>
      <c r="I351" s="1" t="s">
        <v>3406</v>
      </c>
      <c r="L351" s="2" t="s">
        <v>3412</v>
      </c>
      <c r="M351" s="2" t="n">
        <v>155233</v>
      </c>
      <c r="S351" s="2" t="n">
        <v>2550</v>
      </c>
      <c r="T351" s="2" t="n">
        <v>3300</v>
      </c>
    </row>
    <row r="352" customFormat="false" ht="18.7" hidden="false" customHeight="true" outlineLevel="0" collapsed="false">
      <c r="A352" s="1" t="n">
        <v>351</v>
      </c>
      <c r="B352" s="7" t="str">
        <f aca="false">HYPERLINK("https://mncourtfraud.com/file/27-CR-20-25524.pdf","27-CR-20-25524")</f>
        <v>27-CR-20-25524</v>
      </c>
      <c r="C352" s="1" t="n">
        <v>1</v>
      </c>
      <c r="D352" s="2" t="s">
        <v>12</v>
      </c>
      <c r="E352" s="8" t="n">
        <v>44439</v>
      </c>
      <c r="F352" s="2" t="s">
        <v>19</v>
      </c>
      <c r="G352" s="7" t="str">
        <f aca="false">HYPERLINK("https://mncourtfraud.com/file/MCRO_27-CR-20-25524_Findings and Order_2021-08-31_20251126180048.pdf","MCRO_27-CR-20-25524_Findings and Order_2021-08-31_20251126180048.pdf")</f>
        <v>MCRO_27-CR-20-25524_Findings and Order_2021-08-31_20251126180048.pdf</v>
      </c>
      <c r="H352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352" s="1" t="s">
        <v>3413</v>
      </c>
      <c r="J352" s="2" t="s">
        <v>3426</v>
      </c>
      <c r="K352" s="2" t="s">
        <v>3426</v>
      </c>
      <c r="L352" s="2" t="s">
        <v>3415</v>
      </c>
      <c r="M352" s="2" t="n">
        <v>74997</v>
      </c>
      <c r="N352" s="2" t="s">
        <v>3427</v>
      </c>
    </row>
    <row r="353" customFormat="false" ht="18.7" hidden="false" customHeight="true" outlineLevel="0" collapsed="false">
      <c r="A353" s="1" t="n">
        <v>352</v>
      </c>
      <c r="B353" s="7" t="str">
        <f aca="false">HYPERLINK("https://mncourtfraud.com/file/27-CR-20-25524.pdf","27-CR-20-25524")</f>
        <v>27-CR-20-25524</v>
      </c>
      <c r="C353" s="1" t="n">
        <v>1</v>
      </c>
      <c r="D353" s="2" t="s">
        <v>12</v>
      </c>
      <c r="E353" s="8" t="n">
        <v>44439</v>
      </c>
      <c r="F353" s="2" t="s">
        <v>19</v>
      </c>
      <c r="G353" s="7" t="str">
        <f aca="false">HYPERLINK("https://mncourtfraud.com/file/MCRO_27-CR-20-25524_Findings and Order_2021-08-31_20251126180048.pdf","MCRO_27-CR-20-25524_Findings and Order_2021-08-31_20251126180048.pdf")</f>
        <v>MCRO_27-CR-20-25524_Findings and Order_2021-08-31_20251126180048.pdf</v>
      </c>
      <c r="H353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353" s="1" t="s">
        <v>3413</v>
      </c>
      <c r="J353" s="2" t="s">
        <v>3414</v>
      </c>
      <c r="K353" s="2" t="s">
        <v>3414</v>
      </c>
      <c r="L353" s="2" t="s">
        <v>3415</v>
      </c>
      <c r="M353" s="2" t="n">
        <v>65384</v>
      </c>
    </row>
    <row r="354" customFormat="false" ht="18.7" hidden="false" customHeight="true" outlineLevel="0" collapsed="false">
      <c r="A354" s="1" t="n">
        <v>353</v>
      </c>
      <c r="B354" s="7" t="str">
        <f aca="false">HYPERLINK("https://mncourtfraud.com/file/27-CR-20-25524.pdf","27-CR-20-25524")</f>
        <v>27-CR-20-25524</v>
      </c>
      <c r="C354" s="1" t="n">
        <v>1</v>
      </c>
      <c r="D354" s="2" t="s">
        <v>12</v>
      </c>
      <c r="E354" s="8" t="n">
        <v>44439</v>
      </c>
      <c r="F354" s="2" t="s">
        <v>19</v>
      </c>
      <c r="G354" s="7" t="str">
        <f aca="false">HYPERLINK("https://mncourtfraud.com/file/MCRO_27-CR-20-25524_Findings and Order_2021-08-31_20251126180048.pdf","MCRO_27-CR-20-25524_Findings and Order_2021-08-31_20251126180048.pdf")</f>
        <v>MCRO_27-CR-20-25524_Findings and Order_2021-08-31_20251126180048.pdf</v>
      </c>
      <c r="H354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354" s="1" t="s">
        <v>3413</v>
      </c>
      <c r="J354" s="2" t="s">
        <v>3414</v>
      </c>
      <c r="K354" s="2" t="s">
        <v>3414</v>
      </c>
      <c r="L354" s="2" t="s">
        <v>3415</v>
      </c>
      <c r="M354" s="2" t="n">
        <v>65384</v>
      </c>
    </row>
    <row r="355" customFormat="false" ht="18.7" hidden="false" customHeight="true" outlineLevel="0" collapsed="false">
      <c r="A355" s="1" t="n">
        <v>354</v>
      </c>
      <c r="B355" s="7" t="str">
        <f aca="false">HYPERLINK("https://mncourtfraud.com/file/27-CR-20-25524.pdf","27-CR-20-25524")</f>
        <v>27-CR-20-25524</v>
      </c>
      <c r="C355" s="1" t="n">
        <v>1</v>
      </c>
      <c r="D355" s="2" t="s">
        <v>12</v>
      </c>
      <c r="E355" s="8" t="n">
        <v>44439</v>
      </c>
      <c r="F355" s="2" t="s">
        <v>19</v>
      </c>
      <c r="G355" s="7" t="str">
        <f aca="false">HYPERLINK("https://mncourtfraud.com/file/MCRO_27-CR-20-25524_Findings and Order_2021-08-31_20251126180048.pdf","MCRO_27-CR-20-25524_Findings and Order_2021-08-31_20251126180048.pdf")</f>
        <v>MCRO_27-CR-20-25524_Findings and Order_2021-08-31_20251126180048.pdf</v>
      </c>
      <c r="H355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355" s="1" t="s">
        <v>3428</v>
      </c>
      <c r="J355" s="2" t="s">
        <v>3429</v>
      </c>
      <c r="K355" s="2" t="s">
        <v>3429</v>
      </c>
      <c r="L355" s="2" t="s">
        <v>3415</v>
      </c>
      <c r="M355" s="2" t="n">
        <v>86093</v>
      </c>
    </row>
    <row r="356" customFormat="false" ht="18.7" hidden="false" customHeight="true" outlineLevel="0" collapsed="false">
      <c r="A356" s="1" t="n">
        <v>355</v>
      </c>
      <c r="B356" s="7" t="str">
        <f aca="false">HYPERLINK("https://mncourtfraud.com/file/27-CR-20-25524.pdf","27-CR-20-25524")</f>
        <v>27-CR-20-25524</v>
      </c>
      <c r="C356" s="1" t="n">
        <v>1</v>
      </c>
      <c r="D356" s="2" t="s">
        <v>12</v>
      </c>
      <c r="E356" s="8" t="n">
        <v>44439</v>
      </c>
      <c r="F356" s="2" t="s">
        <v>19</v>
      </c>
      <c r="G356" s="7" t="str">
        <f aca="false">HYPERLINK("https://mncourtfraud.com/file/MCRO_27-CR-20-25524_Findings and Order_2021-08-31_20251126180048.pdf","MCRO_27-CR-20-25524_Findings and Order_2021-08-31_20251126180048.pdf")</f>
        <v>MCRO_27-CR-20-25524_Findings and Order_2021-08-31_20251126180048.pdf</v>
      </c>
      <c r="H356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356" s="1" t="s">
        <v>3406</v>
      </c>
      <c r="K356" s="2" t="s">
        <v>3430</v>
      </c>
      <c r="L356" s="2" t="s">
        <v>3408</v>
      </c>
      <c r="M356" s="2" t="n">
        <v>28069</v>
      </c>
      <c r="O356" s="2" t="s">
        <v>3409</v>
      </c>
      <c r="P356" s="2" t="s">
        <v>3410</v>
      </c>
      <c r="S356" s="2" t="n">
        <v>448</v>
      </c>
      <c r="T356" s="2" t="n">
        <v>128</v>
      </c>
    </row>
    <row r="357" customFormat="false" ht="18.7" hidden="false" customHeight="true" outlineLevel="0" collapsed="false">
      <c r="A357" s="1" t="n">
        <v>356</v>
      </c>
      <c r="B357" s="7" t="str">
        <f aca="false">HYPERLINK("https://mncourtfraud.com/file/27-CR-20-25524.pdf","27-CR-20-25524")</f>
        <v>27-CR-20-25524</v>
      </c>
      <c r="C357" s="1" t="n">
        <v>1</v>
      </c>
      <c r="D357" s="2" t="s">
        <v>12</v>
      </c>
      <c r="E357" s="8" t="n">
        <v>44439</v>
      </c>
      <c r="F357" s="2" t="s">
        <v>19</v>
      </c>
      <c r="G357" s="7" t="str">
        <f aca="false">HYPERLINK("https://mncourtfraud.com/file/MCRO_27-CR-20-25524_Findings and Order_2021-08-31_20251126180048.pdf","MCRO_27-CR-20-25524_Findings and Order_2021-08-31_20251126180048.pdf")</f>
        <v>MCRO_27-CR-20-25524_Findings and Order_2021-08-31_20251126180048.pdf</v>
      </c>
      <c r="H357" s="7" t="str">
        <f aca="false">HYPERLINK("https://mncourtfraud.com/file/d85226137c53579f37f2c87321a4ff209a309a82330591d9457774d7d697befc.ttf","d85226137c53579f37f2c87321a4ff209a309a82330591d9457774d7d697befc")</f>
        <v>d85226137c53579f37f2c87321a4ff209a309a82330591d9457774d7d697befc</v>
      </c>
      <c r="I357" s="1" t="s">
        <v>3413</v>
      </c>
      <c r="J357" s="2" t="s">
        <v>3414</v>
      </c>
      <c r="K357" s="2" t="s">
        <v>3416</v>
      </c>
      <c r="L357" s="2" t="s">
        <v>3415</v>
      </c>
      <c r="M357" s="2" t="n">
        <v>49992</v>
      </c>
    </row>
    <row r="358" customFormat="false" ht="18.7" hidden="false" customHeight="true" outlineLevel="0" collapsed="false">
      <c r="A358" s="1" t="n">
        <v>357</v>
      </c>
      <c r="B358" s="7" t="str">
        <f aca="false">HYPERLINK("https://mncourtfraud.com/file/27-CR-20-25524.pdf","27-CR-20-25524")</f>
        <v>27-CR-20-25524</v>
      </c>
      <c r="C358" s="1" t="n">
        <v>1</v>
      </c>
      <c r="D358" s="2" t="s">
        <v>12</v>
      </c>
      <c r="E358" s="8" t="n">
        <v>44460</v>
      </c>
      <c r="F358" s="2" t="s">
        <v>24</v>
      </c>
      <c r="G358" s="7" t="str">
        <f aca="false">HYPERLINK("https://mncourtfraud.com/file/MCRO_27-CR-20-25524_Order for Conditional Release_2021-09-21_20251126180139.pdf","MCRO_27-CR-20-25524_Order for Conditional Release_2021-09-21_20251126180139.pdf")</f>
        <v>MCRO_27-CR-20-25524_Order for Conditional Release_2021-09-21_20251126180139.pdf</v>
      </c>
      <c r="H358" s="7" t="str">
        <f aca="false">HYPERLINK("https://mncourtfraud.com/file/02dfb6e08fd11b3563d1b9b621b56dbf2dc11acbd85e42bfd83f728fb300bef2.ttf","02dfb6e08fd11b3563d1b9b621b56dbf2dc11acbd85e42bfd83f728fb300bef2")</f>
        <v>02dfb6e08fd11b3563d1b9b621b56dbf2dc11acbd85e42bfd83f728fb300bef2</v>
      </c>
      <c r="I358" s="1" t="s">
        <v>3413</v>
      </c>
      <c r="L358" s="2" t="s">
        <v>3415</v>
      </c>
      <c r="M358" s="2" t="n">
        <v>333576</v>
      </c>
    </row>
    <row r="359" customFormat="false" ht="18.7" hidden="false" customHeight="true" outlineLevel="0" collapsed="false">
      <c r="A359" s="1" t="n">
        <v>358</v>
      </c>
      <c r="B359" s="7" t="str">
        <f aca="false">HYPERLINK("https://mncourtfraud.com/file/27-CR-20-25524.pdf","27-CR-20-25524")</f>
        <v>27-CR-20-25524</v>
      </c>
      <c r="C359" s="1" t="n">
        <v>1</v>
      </c>
      <c r="D359" s="2" t="s">
        <v>12</v>
      </c>
      <c r="E359" s="8" t="n">
        <v>44460</v>
      </c>
      <c r="F359" s="2" t="s">
        <v>24</v>
      </c>
      <c r="G359" s="7" t="str">
        <f aca="false">HYPERLINK("https://mncourtfraud.com/file/MCRO_27-CR-20-25524_Order for Conditional Release_2021-09-21_20251126180139.pdf","MCRO_27-CR-20-25524_Order for Conditional Release_2021-09-21_20251126180139.pdf")</f>
        <v>MCRO_27-CR-20-25524_Order for Conditional Release_2021-09-21_20251126180139.pdf</v>
      </c>
      <c r="H359" s="7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359" s="1" t="s">
        <v>3406</v>
      </c>
      <c r="L359" s="2" t="s">
        <v>3412</v>
      </c>
      <c r="M359" s="2" t="n">
        <v>152962</v>
      </c>
      <c r="S359" s="2" t="n">
        <v>2560</v>
      </c>
      <c r="T359" s="2" t="n">
        <v>3300</v>
      </c>
    </row>
    <row r="360" customFormat="false" ht="18.7" hidden="false" customHeight="true" outlineLevel="0" collapsed="false">
      <c r="A360" s="1" t="n">
        <v>359</v>
      </c>
      <c r="B360" s="7" t="str">
        <f aca="false">HYPERLINK("https://mncourtfraud.com/file/27-CR-20-25524.pdf","27-CR-20-25524")</f>
        <v>27-CR-20-25524</v>
      </c>
      <c r="C360" s="1" t="n">
        <v>1</v>
      </c>
      <c r="D360" s="2" t="s">
        <v>12</v>
      </c>
      <c r="E360" s="8" t="n">
        <v>44468</v>
      </c>
      <c r="F360" s="2" t="s">
        <v>24</v>
      </c>
      <c r="G360" s="7" t="str">
        <f aca="false">HYPERLINK("https://mncourtfraud.com/file/MCRO_27-CR-20-25524_Order for Conditional Release_2021-09-29_20251126180115.pdf","MCRO_27-CR-20-25524_Order for Conditional Release_2021-09-29_20251126180115.pdf")</f>
        <v>MCRO_27-CR-20-25524_Order for Conditional Release_2021-09-29_20251126180115.pdf</v>
      </c>
      <c r="H360" s="7" t="str">
        <f aca="false">HYPERLINK("https://mncourtfraud.com/file/29d541cb6920f2a0815a72232c8164e19ffda7ff89f025261d343aef97d55c23.png","29d541cb6920f2a0815a72232c8164e19ffda7ff89f025261d343aef97d55c23")</f>
        <v>29d541cb6920f2a0815a72232c8164e19ffda7ff89f025261d343aef97d55c23</v>
      </c>
      <c r="I360" s="1" t="s">
        <v>3406</v>
      </c>
      <c r="L360" s="2" t="s">
        <v>3412</v>
      </c>
      <c r="M360" s="2" t="n">
        <v>104</v>
      </c>
      <c r="S360" s="2" t="n">
        <v>5</v>
      </c>
      <c r="T360" s="2" t="n">
        <v>75</v>
      </c>
    </row>
    <row r="361" customFormat="false" ht="18.7" hidden="false" customHeight="true" outlineLevel="0" collapsed="false">
      <c r="A361" s="1" t="n">
        <v>360</v>
      </c>
      <c r="B361" s="7" t="str">
        <f aca="false">HYPERLINK("https://mncourtfraud.com/file/27-CR-20-25524.pdf","27-CR-20-25524")</f>
        <v>27-CR-20-25524</v>
      </c>
      <c r="C361" s="1" t="n">
        <v>1</v>
      </c>
      <c r="D361" s="2" t="s">
        <v>12</v>
      </c>
      <c r="E361" s="8" t="n">
        <v>44468</v>
      </c>
      <c r="F361" s="2" t="s">
        <v>24</v>
      </c>
      <c r="G361" s="7" t="str">
        <f aca="false">HYPERLINK("https://mncourtfraud.com/file/MCRO_27-CR-20-25524_Order for Conditional Release_2021-09-29_20251126180115.pdf","MCRO_27-CR-20-25524_Order for Conditional Release_2021-09-29_20251126180115.pdf")</f>
        <v>MCRO_27-CR-20-25524_Order for Conditional Release_2021-09-29_20251126180115.pdf</v>
      </c>
      <c r="H361" s="7" t="str">
        <f aca="false">HYPERLINK("https://mncourtfraud.com/file/3d978c70f8a4a91fd25d0f653c2931516767fdd837fcadff75a8c3cd2ba3a28e.png","3d978c70f8a4a91fd25d0f653c2931516767fdd837fcadff75a8c3cd2ba3a28e")</f>
        <v>3d978c70f8a4a91fd25d0f653c2931516767fdd837fcadff75a8c3cd2ba3a28e</v>
      </c>
      <c r="I361" s="1" t="s">
        <v>3406</v>
      </c>
      <c r="L361" s="2" t="s">
        <v>3412</v>
      </c>
      <c r="M361" s="2" t="n">
        <v>2435</v>
      </c>
      <c r="S361" s="2" t="n">
        <v>1069</v>
      </c>
      <c r="T361" s="2" t="n">
        <v>679</v>
      </c>
    </row>
    <row r="362" customFormat="false" ht="18.7" hidden="false" customHeight="true" outlineLevel="0" collapsed="false">
      <c r="A362" s="1" t="n">
        <v>361</v>
      </c>
      <c r="B362" s="7" t="str">
        <f aca="false">HYPERLINK("https://mncourtfraud.com/file/27-CR-20-25524.pdf","27-CR-20-25524")</f>
        <v>27-CR-20-25524</v>
      </c>
      <c r="C362" s="1" t="n">
        <v>1</v>
      </c>
      <c r="D362" s="2" t="s">
        <v>12</v>
      </c>
      <c r="E362" s="8" t="n">
        <v>44468</v>
      </c>
      <c r="F362" s="2" t="s">
        <v>24</v>
      </c>
      <c r="G362" s="7" t="str">
        <f aca="false">HYPERLINK("https://mncourtfraud.com/file/MCRO_27-CR-20-25524_Order for Conditional Release_2021-09-29_20251126180115.pdf","MCRO_27-CR-20-25524_Order for Conditional Release_2021-09-29_20251126180115.pdf")</f>
        <v>MCRO_27-CR-20-25524_Order for Conditional Release_2021-09-29_20251126180115.pdf</v>
      </c>
      <c r="H362" s="7" t="str">
        <f aca="false">HYPERLINK("https://mncourtfraud.com/file/3f202249d41f264cabf7a4fd2c634829df7886c25cb759658f06c1a8bca28360.cid","3f202249d41f264cabf7a4fd2c634829df7886c25cb759658f06c1a8bca28360")</f>
        <v>3f202249d41f264cabf7a4fd2c634829df7886c25cb759658f06c1a8bca28360</v>
      </c>
      <c r="I362" s="1" t="s">
        <v>3431</v>
      </c>
      <c r="L362" s="2" t="s">
        <v>3415</v>
      </c>
      <c r="M362" s="2" t="n">
        <v>1397</v>
      </c>
    </row>
    <row r="363" customFormat="false" ht="18.7" hidden="false" customHeight="true" outlineLevel="0" collapsed="false">
      <c r="A363" s="1" t="n">
        <v>362</v>
      </c>
      <c r="B363" s="7" t="str">
        <f aca="false">HYPERLINK("https://mncourtfraud.com/file/27-CR-20-25524.pdf","27-CR-20-25524")</f>
        <v>27-CR-20-25524</v>
      </c>
      <c r="C363" s="1" t="n">
        <v>1</v>
      </c>
      <c r="D363" s="2" t="s">
        <v>12</v>
      </c>
      <c r="E363" s="8" t="n">
        <v>44468</v>
      </c>
      <c r="F363" s="2" t="s">
        <v>24</v>
      </c>
      <c r="G363" s="7" t="str">
        <f aca="false">HYPERLINK("https://mncourtfraud.com/file/MCRO_27-CR-20-25524_Order for Conditional Release_2021-09-29_20251126180115.pdf","MCRO_27-CR-20-25524_Order for Conditional Release_2021-09-29_20251126180115.pdf")</f>
        <v>MCRO_27-CR-20-25524_Order for Conditional Release_2021-09-29_20251126180115.pdf</v>
      </c>
      <c r="H363" s="7" t="str">
        <f aca="false">HYPERLINK("https://mncourtfraud.com/file/425a64ecdc19aa0c86b927b2be8980d179c92ac4af2a49d3c3ad0aa278728c52.png","425a64ecdc19aa0c86b927b2be8980d179c92ac4af2a49d3c3ad0aa278728c52")</f>
        <v>425a64ecdc19aa0c86b927b2be8980d179c92ac4af2a49d3c3ad0aa278728c52</v>
      </c>
      <c r="I363" s="1" t="s">
        <v>3406</v>
      </c>
      <c r="L363" s="2" t="s">
        <v>3412</v>
      </c>
      <c r="M363" s="2" t="n">
        <v>520</v>
      </c>
      <c r="S363" s="2" t="n">
        <v>126</v>
      </c>
      <c r="T363" s="2" t="n">
        <v>150</v>
      </c>
    </row>
    <row r="364" customFormat="false" ht="18.7" hidden="false" customHeight="true" outlineLevel="0" collapsed="false">
      <c r="A364" s="1" t="n">
        <v>363</v>
      </c>
      <c r="B364" s="7" t="str">
        <f aca="false">HYPERLINK("https://mncourtfraud.com/file/27-CR-20-25524.pdf","27-CR-20-25524")</f>
        <v>27-CR-20-25524</v>
      </c>
      <c r="C364" s="1" t="n">
        <v>1</v>
      </c>
      <c r="D364" s="2" t="s">
        <v>12</v>
      </c>
      <c r="E364" s="8" t="n">
        <v>44468</v>
      </c>
      <c r="F364" s="2" t="s">
        <v>24</v>
      </c>
      <c r="G364" s="7" t="str">
        <f aca="false">HYPERLINK("https://mncourtfraud.com/file/MCRO_27-CR-20-25524_Order for Conditional Release_2021-09-29_20251126180115.pdf","MCRO_27-CR-20-25524_Order for Conditional Release_2021-09-29_20251126180115.pdf")</f>
        <v>MCRO_27-CR-20-25524_Order for Conditional Release_2021-09-29_20251126180115.pdf</v>
      </c>
      <c r="H364" s="7" t="str">
        <f aca="false">HYPERLINK("https://mncourtfraud.com/file/4458a2b033c8132fd890227750c1df180ec4563b9dc0a6394b3691240425c9b3.cid","4458a2b033c8132fd890227750c1df180ec4563b9dc0a6394b3691240425c9b3")</f>
        <v>4458a2b033c8132fd890227750c1df180ec4563b9dc0a6394b3691240425c9b3</v>
      </c>
      <c r="I364" s="1" t="s">
        <v>3431</v>
      </c>
      <c r="L364" s="2" t="s">
        <v>3415</v>
      </c>
      <c r="M364" s="2" t="n">
        <v>3580</v>
      </c>
    </row>
    <row r="365" customFormat="false" ht="18.7" hidden="false" customHeight="true" outlineLevel="0" collapsed="false">
      <c r="A365" s="1" t="n">
        <v>364</v>
      </c>
      <c r="B365" s="7" t="str">
        <f aca="false">HYPERLINK("https://mncourtfraud.com/file/27-CR-20-25524.pdf","27-CR-20-25524")</f>
        <v>27-CR-20-25524</v>
      </c>
      <c r="C365" s="1" t="n">
        <v>1</v>
      </c>
      <c r="D365" s="2" t="s">
        <v>12</v>
      </c>
      <c r="E365" s="8" t="n">
        <v>44468</v>
      </c>
      <c r="F365" s="2" t="s">
        <v>24</v>
      </c>
      <c r="G365" s="7" t="str">
        <f aca="false">HYPERLINK("https://mncourtfraud.com/file/MCRO_27-CR-20-25524_Order for Conditional Release_2021-09-29_20251126180115.pdf","MCRO_27-CR-20-25524_Order for Conditional Release_2021-09-29_20251126180115.pdf")</f>
        <v>MCRO_27-CR-20-25524_Order for Conditional Release_2021-09-29_20251126180115.pdf</v>
      </c>
      <c r="H365" s="7" t="str">
        <f aca="false">HYPERLINK("https://mncourtfraud.com/file/45a9f49ddf96d4a4dcf4561d2702204f448986045babf3fdd52fa18200557e31.png","45a9f49ddf96d4a4dcf4561d2702204f448986045babf3fdd52fa18200557e31")</f>
        <v>45a9f49ddf96d4a4dcf4561d2702204f448986045babf3fdd52fa18200557e31</v>
      </c>
      <c r="I365" s="1" t="s">
        <v>3406</v>
      </c>
      <c r="L365" s="2" t="s">
        <v>3412</v>
      </c>
      <c r="M365" s="2" t="n">
        <v>97</v>
      </c>
      <c r="S365" s="2" t="n">
        <v>3</v>
      </c>
      <c r="T365" s="2" t="n">
        <v>4</v>
      </c>
    </row>
    <row r="366" customFormat="false" ht="18.7" hidden="false" customHeight="true" outlineLevel="0" collapsed="false">
      <c r="A366" s="1" t="n">
        <v>365</v>
      </c>
      <c r="B366" s="7" t="str">
        <f aca="false">HYPERLINK("https://mncourtfraud.com/file/27-CR-20-25524.pdf","27-CR-20-25524")</f>
        <v>27-CR-20-25524</v>
      </c>
      <c r="C366" s="1" t="n">
        <v>1</v>
      </c>
      <c r="D366" s="2" t="s">
        <v>12</v>
      </c>
      <c r="E366" s="8" t="n">
        <v>44468</v>
      </c>
      <c r="F366" s="2" t="s">
        <v>24</v>
      </c>
      <c r="G366" s="7" t="str">
        <f aca="false">HYPERLINK("https://mncourtfraud.com/file/MCRO_27-CR-20-25524_Order for Conditional Release_2021-09-29_20251126180115.pdf","MCRO_27-CR-20-25524_Order for Conditional Release_2021-09-29_20251126180115.pdf")</f>
        <v>MCRO_27-CR-20-25524_Order for Conditional Release_2021-09-29_20251126180115.pdf</v>
      </c>
      <c r="H366" s="7" t="str">
        <f aca="false">HYPERLINK("https://mncourtfraud.com/file/50457dc3e0bb6204f128f3222c76884dffaf132a86395902e3967a44a5d511ed.cid","50457dc3e0bb6204f128f3222c76884dffaf132a86395902e3967a44a5d511ed")</f>
        <v>50457dc3e0bb6204f128f3222c76884dffaf132a86395902e3967a44a5d511ed</v>
      </c>
      <c r="I366" s="1" t="s">
        <v>3431</v>
      </c>
      <c r="L366" s="2" t="s">
        <v>3415</v>
      </c>
      <c r="M366" s="2" t="n">
        <v>2839</v>
      </c>
    </row>
    <row r="367" customFormat="false" ht="18.7" hidden="false" customHeight="true" outlineLevel="0" collapsed="false">
      <c r="A367" s="1" t="n">
        <v>366</v>
      </c>
      <c r="B367" s="7" t="str">
        <f aca="false">HYPERLINK("https://mncourtfraud.com/file/27-CR-20-25524.pdf","27-CR-20-25524")</f>
        <v>27-CR-20-25524</v>
      </c>
      <c r="C367" s="1" t="n">
        <v>1</v>
      </c>
      <c r="D367" s="2" t="s">
        <v>12</v>
      </c>
      <c r="E367" s="8" t="n">
        <v>44468</v>
      </c>
      <c r="F367" s="2" t="s">
        <v>24</v>
      </c>
      <c r="G367" s="7" t="str">
        <f aca="false">HYPERLINK("https://mncourtfraud.com/file/MCRO_27-CR-20-25524_Order for Conditional Release_2021-09-29_20251126180115.pdf","MCRO_27-CR-20-25524_Order for Conditional Release_2021-09-29_20251126180115.pdf")</f>
        <v>MCRO_27-CR-20-25524_Order for Conditional Release_2021-09-29_20251126180115.pdf</v>
      </c>
      <c r="H367" s="7" t="str">
        <f aca="false">HYPERLINK("https://mncourtfraud.com/file/52f2827f81e9a21813e5089396a7afa6accf4023998e877d3b9460283e0bb9a5.cid","52f2827f81e9a21813e5089396a7afa6accf4023998e877d3b9460283e0bb9a5")</f>
        <v>52f2827f81e9a21813e5089396a7afa6accf4023998e877d3b9460283e0bb9a5</v>
      </c>
      <c r="I367" s="1" t="s">
        <v>3431</v>
      </c>
      <c r="L367" s="2" t="s">
        <v>3415</v>
      </c>
      <c r="M367" s="2" t="n">
        <v>381</v>
      </c>
    </row>
    <row r="368" customFormat="false" ht="18.7" hidden="false" customHeight="true" outlineLevel="0" collapsed="false">
      <c r="A368" s="1" t="n">
        <v>367</v>
      </c>
      <c r="B368" s="7" t="str">
        <f aca="false">HYPERLINK("https://mncourtfraud.com/file/27-CR-20-25524.pdf","27-CR-20-25524")</f>
        <v>27-CR-20-25524</v>
      </c>
      <c r="C368" s="1" t="n">
        <v>1</v>
      </c>
      <c r="D368" s="2" t="s">
        <v>12</v>
      </c>
      <c r="E368" s="8" t="n">
        <v>44468</v>
      </c>
      <c r="F368" s="2" t="s">
        <v>24</v>
      </c>
      <c r="G368" s="7" t="str">
        <f aca="false">HYPERLINK("https://mncourtfraud.com/file/MCRO_27-CR-20-25524_Order for Conditional Release_2021-09-29_20251126180115.pdf","MCRO_27-CR-20-25524_Order for Conditional Release_2021-09-29_20251126180115.pdf")</f>
        <v>MCRO_27-CR-20-25524_Order for Conditional Release_2021-09-29_20251126180115.pdf</v>
      </c>
      <c r="H368" s="7" t="str">
        <f aca="false">HYPERLINK("https://mncourtfraud.com/file/5bf127b8427f0831bc8864aa549643604be6b63d8ca96ff1ba7182ccec9bc2ad.cid","5bf127b8427f0831bc8864aa549643604be6b63d8ca96ff1ba7182ccec9bc2ad")</f>
        <v>5bf127b8427f0831bc8864aa549643604be6b63d8ca96ff1ba7182ccec9bc2ad</v>
      </c>
      <c r="I368" s="1" t="s">
        <v>3431</v>
      </c>
      <c r="L368" s="2" t="s">
        <v>3415</v>
      </c>
      <c r="M368" s="2" t="n">
        <v>7990</v>
      </c>
    </row>
    <row r="369" customFormat="false" ht="18.7" hidden="false" customHeight="true" outlineLevel="0" collapsed="false">
      <c r="A369" s="1" t="n">
        <v>368</v>
      </c>
      <c r="B369" s="7" t="str">
        <f aca="false">HYPERLINK("https://mncourtfraud.com/file/27-CR-20-25524.pdf","27-CR-20-25524")</f>
        <v>27-CR-20-25524</v>
      </c>
      <c r="C369" s="1" t="n">
        <v>1</v>
      </c>
      <c r="D369" s="2" t="s">
        <v>12</v>
      </c>
      <c r="E369" s="8" t="n">
        <v>44468</v>
      </c>
      <c r="F369" s="2" t="s">
        <v>24</v>
      </c>
      <c r="G369" s="7" t="str">
        <f aca="false">HYPERLINK("https://mncourtfraud.com/file/MCRO_27-CR-20-25524_Order for Conditional Release_2021-09-29_20251126180115.pdf","MCRO_27-CR-20-25524_Order for Conditional Release_2021-09-29_20251126180115.pdf")</f>
        <v>MCRO_27-CR-20-25524_Order for Conditional Release_2021-09-29_20251126180115.pdf</v>
      </c>
      <c r="H369" s="7" t="str">
        <f aca="false">HYPERLINK("https://mncourtfraud.com/file/614121b29b009262816a5b70532c1a04ec73c5d83786c4500719e9e7d614a562.cid","614121b29b009262816a5b70532c1a04ec73c5d83786c4500719e9e7d614a562")</f>
        <v>614121b29b009262816a5b70532c1a04ec73c5d83786c4500719e9e7d614a562</v>
      </c>
      <c r="I369" s="1" t="s">
        <v>3431</v>
      </c>
      <c r="L369" s="2" t="s">
        <v>3415</v>
      </c>
      <c r="M369" s="2" t="n">
        <v>5970</v>
      </c>
    </row>
    <row r="370" customFormat="false" ht="18.7" hidden="false" customHeight="true" outlineLevel="0" collapsed="false">
      <c r="A370" s="1" t="n">
        <v>369</v>
      </c>
      <c r="B370" s="7" t="str">
        <f aca="false">HYPERLINK("https://mncourtfraud.com/file/27-CR-20-25524.pdf","27-CR-20-25524")</f>
        <v>27-CR-20-25524</v>
      </c>
      <c r="C370" s="1" t="n">
        <v>1</v>
      </c>
      <c r="D370" s="2" t="s">
        <v>12</v>
      </c>
      <c r="E370" s="8" t="n">
        <v>44468</v>
      </c>
      <c r="F370" s="2" t="s">
        <v>24</v>
      </c>
      <c r="G370" s="7" t="str">
        <f aca="false">HYPERLINK("https://mncourtfraud.com/file/MCRO_27-CR-20-25524_Order for Conditional Release_2021-09-29_20251126180115.pdf","MCRO_27-CR-20-25524_Order for Conditional Release_2021-09-29_20251126180115.pdf")</f>
        <v>MCRO_27-CR-20-25524_Order for Conditional Release_2021-09-29_20251126180115.pdf</v>
      </c>
      <c r="H370" s="7" t="str">
        <f aca="false">HYPERLINK("https://mncourtfraud.com/file/7e14169e8fd6eddddd43bc2fc14557202f527587078dd29e867ad63570714e07.png","7e14169e8fd6eddddd43bc2fc14557202f527587078dd29e867ad63570714e07")</f>
        <v>7e14169e8fd6eddddd43bc2fc14557202f527587078dd29e867ad63570714e07</v>
      </c>
      <c r="I370" s="1" t="s">
        <v>3406</v>
      </c>
      <c r="L370" s="2" t="s">
        <v>3412</v>
      </c>
      <c r="M370" s="2" t="n">
        <v>100</v>
      </c>
      <c r="S370" s="2" t="n">
        <v>5</v>
      </c>
      <c r="T370" s="2" t="n">
        <v>5</v>
      </c>
    </row>
    <row r="371" customFormat="false" ht="18.7" hidden="false" customHeight="true" outlineLevel="0" collapsed="false">
      <c r="A371" s="1" t="n">
        <v>370</v>
      </c>
      <c r="B371" s="7" t="str">
        <f aca="false">HYPERLINK("https://mncourtfraud.com/file/27-CR-20-25524.pdf","27-CR-20-25524")</f>
        <v>27-CR-20-25524</v>
      </c>
      <c r="C371" s="1" t="n">
        <v>1</v>
      </c>
      <c r="D371" s="2" t="s">
        <v>12</v>
      </c>
      <c r="E371" s="8" t="n">
        <v>44468</v>
      </c>
      <c r="F371" s="2" t="s">
        <v>24</v>
      </c>
      <c r="G371" s="7" t="str">
        <f aca="false">HYPERLINK("https://mncourtfraud.com/file/MCRO_27-CR-20-25524_Order for Conditional Release_2021-09-29_20251126180115.pdf","MCRO_27-CR-20-25524_Order for Conditional Release_2021-09-29_20251126180115.pdf")</f>
        <v>MCRO_27-CR-20-25524_Order for Conditional Release_2021-09-29_20251126180115.pdf</v>
      </c>
      <c r="H371" s="7" t="str">
        <f aca="false">HYPERLINK("https://mncourtfraud.com/file/8198df5372238cac138bb64883627cf42bfc08ac483ff14b35858ae098fa3e09.cid","8198df5372238cac138bb64883627cf42bfc08ac483ff14b35858ae098fa3e09")</f>
        <v>8198df5372238cac138bb64883627cf42bfc08ac483ff14b35858ae098fa3e09</v>
      </c>
      <c r="I371" s="1" t="s">
        <v>3431</v>
      </c>
      <c r="L371" s="2" t="s">
        <v>3415</v>
      </c>
      <c r="M371" s="2" t="n">
        <v>3966</v>
      </c>
    </row>
    <row r="372" customFormat="false" ht="18.7" hidden="false" customHeight="true" outlineLevel="0" collapsed="false">
      <c r="A372" s="1" t="n">
        <v>371</v>
      </c>
      <c r="B372" s="7" t="str">
        <f aca="false">HYPERLINK("https://mncourtfraud.com/file/27-CR-20-25524.pdf","27-CR-20-25524")</f>
        <v>27-CR-20-25524</v>
      </c>
      <c r="C372" s="1" t="n">
        <v>1</v>
      </c>
      <c r="D372" s="2" t="s">
        <v>12</v>
      </c>
      <c r="E372" s="8" t="n">
        <v>44468</v>
      </c>
      <c r="F372" s="2" t="s">
        <v>24</v>
      </c>
      <c r="G372" s="7" t="str">
        <f aca="false">HYPERLINK("https://mncourtfraud.com/file/MCRO_27-CR-20-25524_Order for Conditional Release_2021-09-29_20251126180115.pdf","MCRO_27-CR-20-25524_Order for Conditional Release_2021-09-29_20251126180115.pdf")</f>
        <v>MCRO_27-CR-20-25524_Order for Conditional Release_2021-09-29_20251126180115.pdf</v>
      </c>
      <c r="H372" s="7" t="str">
        <f aca="false">HYPERLINK("https://mncourtfraud.com/file/8793bfb8eeebb59de729b22461b75a010eda532097214bf8285117449fae5b3c.png","8793bfb8eeebb59de729b22461b75a010eda532097214bf8285117449fae5b3c")</f>
        <v>8793bfb8eeebb59de729b22461b75a010eda532097214bf8285117449fae5b3c</v>
      </c>
      <c r="I372" s="1" t="s">
        <v>3406</v>
      </c>
      <c r="L372" s="2" t="s">
        <v>3412</v>
      </c>
      <c r="M372" s="2" t="n">
        <v>104</v>
      </c>
      <c r="S372" s="2" t="n">
        <v>6</v>
      </c>
      <c r="T372" s="2" t="n">
        <v>4</v>
      </c>
    </row>
    <row r="373" customFormat="false" ht="18.7" hidden="false" customHeight="true" outlineLevel="0" collapsed="false">
      <c r="A373" s="1" t="n">
        <v>372</v>
      </c>
      <c r="B373" s="7" t="str">
        <f aca="false">HYPERLINK("https://mncourtfraud.com/file/27-CR-20-25524.pdf","27-CR-20-25524")</f>
        <v>27-CR-20-25524</v>
      </c>
      <c r="C373" s="1" t="n">
        <v>1</v>
      </c>
      <c r="D373" s="2" t="s">
        <v>12</v>
      </c>
      <c r="E373" s="8" t="n">
        <v>44468</v>
      </c>
      <c r="F373" s="2" t="s">
        <v>24</v>
      </c>
      <c r="G373" s="7" t="str">
        <f aca="false">HYPERLINK("https://mncourtfraud.com/file/MCRO_27-CR-20-25524_Order for Conditional Release_2021-09-29_20251126180115.pdf","MCRO_27-CR-20-25524_Order for Conditional Release_2021-09-29_20251126180115.pdf")</f>
        <v>MCRO_27-CR-20-25524_Order for Conditional Release_2021-09-29_20251126180115.pdf</v>
      </c>
      <c r="H373" s="7" t="str">
        <f aca="false">HYPERLINK("https://mncourtfraud.com/file/8c2e00c7a4e8974eff73eba397a59d5f5f25d249433535298973d70a9f79dec8.png","8c2e00c7a4e8974eff73eba397a59d5f5f25d249433535298973d70a9f79dec8")</f>
        <v>8c2e00c7a4e8974eff73eba397a59d5f5f25d249433535298973d70a9f79dec8</v>
      </c>
      <c r="I373" s="1" t="s">
        <v>3406</v>
      </c>
      <c r="L373" s="2" t="s">
        <v>3412</v>
      </c>
      <c r="M373" s="2" t="n">
        <v>810</v>
      </c>
      <c r="S373" s="2" t="n">
        <v>519</v>
      </c>
      <c r="T373" s="2" t="n">
        <v>231</v>
      </c>
    </row>
    <row r="374" customFormat="false" ht="18.7" hidden="false" customHeight="true" outlineLevel="0" collapsed="false">
      <c r="A374" s="1" t="n">
        <v>373</v>
      </c>
      <c r="B374" s="7" t="str">
        <f aca="false">HYPERLINK("https://mncourtfraud.com/file/27-CR-20-25524.pdf","27-CR-20-25524")</f>
        <v>27-CR-20-25524</v>
      </c>
      <c r="C374" s="1" t="n">
        <v>1</v>
      </c>
      <c r="D374" s="2" t="s">
        <v>12</v>
      </c>
      <c r="E374" s="8" t="n">
        <v>44468</v>
      </c>
      <c r="F374" s="2" t="s">
        <v>24</v>
      </c>
      <c r="G374" s="7" t="str">
        <f aca="false">HYPERLINK("https://mncourtfraud.com/file/MCRO_27-CR-20-25524_Order for Conditional Release_2021-09-29_20251126180115.pdf","MCRO_27-CR-20-25524_Order for Conditional Release_2021-09-29_20251126180115.pdf")</f>
        <v>MCRO_27-CR-20-25524_Order for Conditional Release_2021-09-29_20251126180115.pdf</v>
      </c>
      <c r="H374" s="7" t="str">
        <f aca="false">HYPERLINK("https://mncourtfraud.com/file/a431b1b5f48186b4c98851d84352c1573e22c0e9b97117edbc0ad8603da3c307.png","a431b1b5f48186b4c98851d84352c1573e22c0e9b97117edbc0ad8603da3c307")</f>
        <v>a431b1b5f48186b4c98851d84352c1573e22c0e9b97117edbc0ad8603da3c307</v>
      </c>
      <c r="I374" s="1" t="s">
        <v>3406</v>
      </c>
      <c r="L374" s="2" t="s">
        <v>3412</v>
      </c>
      <c r="M374" s="2" t="n">
        <v>157</v>
      </c>
      <c r="S374" s="2" t="n">
        <v>7</v>
      </c>
      <c r="T374" s="2" t="n">
        <v>284</v>
      </c>
    </row>
    <row r="375" customFormat="false" ht="18.7" hidden="false" customHeight="true" outlineLevel="0" collapsed="false">
      <c r="A375" s="1" t="n">
        <v>374</v>
      </c>
      <c r="B375" s="7" t="str">
        <f aca="false">HYPERLINK("https://mncourtfraud.com/file/27-CR-20-25524.pdf","27-CR-20-25524")</f>
        <v>27-CR-20-25524</v>
      </c>
      <c r="C375" s="1" t="n">
        <v>1</v>
      </c>
      <c r="D375" s="2" t="s">
        <v>12</v>
      </c>
      <c r="E375" s="8" t="n">
        <v>44468</v>
      </c>
      <c r="F375" s="2" t="s">
        <v>24</v>
      </c>
      <c r="G375" s="7" t="str">
        <f aca="false">HYPERLINK("https://mncourtfraud.com/file/MCRO_27-CR-20-25524_Order for Conditional Release_2021-09-29_20251126180115.pdf","MCRO_27-CR-20-25524_Order for Conditional Release_2021-09-29_20251126180115.pdf")</f>
        <v>MCRO_27-CR-20-25524_Order for Conditional Release_2021-09-29_20251126180115.pdf</v>
      </c>
      <c r="H375" s="7" t="str">
        <f aca="false">HYPERLINK("https://mncourtfraud.com/file/ac369f378e3fbed88e7c1c71d7e27d3af59d79c8d2f8338a6182f69d0e17a2ef.cid","ac369f378e3fbed88e7c1c71d7e27d3af59d79c8d2f8338a6182f69d0e17a2ef")</f>
        <v>ac369f378e3fbed88e7c1c71d7e27d3af59d79c8d2f8338a6182f69d0e17a2ef</v>
      </c>
      <c r="I375" s="1" t="s">
        <v>3431</v>
      </c>
      <c r="L375" s="2" t="s">
        <v>3415</v>
      </c>
      <c r="M375" s="2" t="n">
        <v>14113</v>
      </c>
    </row>
    <row r="376" customFormat="false" ht="18.7" hidden="false" customHeight="true" outlineLevel="0" collapsed="false">
      <c r="A376" s="1" t="n">
        <v>375</v>
      </c>
      <c r="B376" s="7" t="str">
        <f aca="false">HYPERLINK("https://mncourtfraud.com/file/27-CR-20-25524.pdf","27-CR-20-25524")</f>
        <v>27-CR-20-25524</v>
      </c>
      <c r="C376" s="1" t="n">
        <v>1</v>
      </c>
      <c r="D376" s="2" t="s">
        <v>12</v>
      </c>
      <c r="E376" s="8" t="n">
        <v>44468</v>
      </c>
      <c r="F376" s="2" t="s">
        <v>24</v>
      </c>
      <c r="G376" s="7" t="str">
        <f aca="false">HYPERLINK("https://mncourtfraud.com/file/MCRO_27-CR-20-25524_Order for Conditional Release_2021-09-29_20251126180115.pdf","MCRO_27-CR-20-25524_Order for Conditional Release_2021-09-29_20251126180115.pdf")</f>
        <v>MCRO_27-CR-20-25524_Order for Conditional Release_2021-09-29_20251126180115.pdf</v>
      </c>
      <c r="H376" s="7" t="str">
        <f aca="false">HYPERLINK("https://mncourtfraud.com/file/b1c38e97038ce898a189d377f1fa9f4b673ae497ef07cd779e6d54764f350895.cid","b1c38e97038ce898a189d377f1fa9f4b673ae497ef07cd779e6d54764f350895")</f>
        <v>b1c38e97038ce898a189d377f1fa9f4b673ae497ef07cd779e6d54764f350895</v>
      </c>
      <c r="I376" s="1" t="s">
        <v>3431</v>
      </c>
      <c r="L376" s="2" t="s">
        <v>3415</v>
      </c>
      <c r="M376" s="2" t="n">
        <v>3783</v>
      </c>
    </row>
    <row r="377" customFormat="false" ht="18.7" hidden="false" customHeight="true" outlineLevel="0" collapsed="false">
      <c r="A377" s="1" t="n">
        <v>376</v>
      </c>
      <c r="B377" s="7" t="str">
        <f aca="false">HYPERLINK("https://mncourtfraud.com/file/27-CR-20-25524.pdf","27-CR-20-25524")</f>
        <v>27-CR-20-25524</v>
      </c>
      <c r="C377" s="1" t="n">
        <v>1</v>
      </c>
      <c r="D377" s="2" t="s">
        <v>12</v>
      </c>
      <c r="E377" s="8" t="n">
        <v>44468</v>
      </c>
      <c r="F377" s="2" t="s">
        <v>24</v>
      </c>
      <c r="G377" s="7" t="str">
        <f aca="false">HYPERLINK("https://mncourtfraud.com/file/MCRO_27-CR-20-25524_Order for Conditional Release_2021-09-29_20251126180115.pdf","MCRO_27-CR-20-25524_Order for Conditional Release_2021-09-29_20251126180115.pdf")</f>
        <v>MCRO_27-CR-20-25524_Order for Conditional Release_2021-09-29_20251126180115.pdf</v>
      </c>
      <c r="H377" s="7" t="str">
        <f aca="false">HYPERLINK("https://mncourtfraud.com/file/ba989ca65f54d43887ebbc930462a840e60360223cb0c16c223e7e9ed46afecb.cid","ba989ca65f54d43887ebbc930462a840e60360223cb0c16c223e7e9ed46afecb")</f>
        <v>ba989ca65f54d43887ebbc930462a840e60360223cb0c16c223e7e9ed46afecb</v>
      </c>
      <c r="I377" s="1" t="s">
        <v>3431</v>
      </c>
      <c r="L377" s="2" t="s">
        <v>3415</v>
      </c>
      <c r="M377" s="2" t="n">
        <v>444</v>
      </c>
    </row>
    <row r="378" customFormat="false" ht="18.7" hidden="false" customHeight="true" outlineLevel="0" collapsed="false">
      <c r="A378" s="1" t="n">
        <v>377</v>
      </c>
      <c r="B378" s="7" t="str">
        <f aca="false">HYPERLINK("https://mncourtfraud.com/file/27-CR-20-25524.pdf","27-CR-20-25524")</f>
        <v>27-CR-20-25524</v>
      </c>
      <c r="C378" s="1" t="n">
        <v>1</v>
      </c>
      <c r="D378" s="2" t="s">
        <v>12</v>
      </c>
      <c r="E378" s="8" t="n">
        <v>44468</v>
      </c>
      <c r="F378" s="2" t="s">
        <v>24</v>
      </c>
      <c r="G378" s="7" t="str">
        <f aca="false">HYPERLINK("https://mncourtfraud.com/file/MCRO_27-CR-20-25524_Order for Conditional Release_2021-09-29_20251126180115.pdf","MCRO_27-CR-20-25524_Order for Conditional Release_2021-09-29_20251126180115.pdf")</f>
        <v>MCRO_27-CR-20-25524_Order for Conditional Release_2021-09-29_20251126180115.pdf</v>
      </c>
      <c r="H378" s="7" t="str">
        <f aca="false">HYPERLINK("https://mncourtfraud.com/file/db9c8118091788c7a0a30157e363f5dd281f7a35fb525fad58599ee6371079a5.cid","db9c8118091788c7a0a30157e363f5dd281f7a35fb525fad58599ee6371079a5")</f>
        <v>db9c8118091788c7a0a30157e363f5dd281f7a35fb525fad58599ee6371079a5</v>
      </c>
      <c r="I378" s="1" t="s">
        <v>3431</v>
      </c>
      <c r="L378" s="2" t="s">
        <v>3415</v>
      </c>
      <c r="M378" s="2" t="n">
        <v>848</v>
      </c>
    </row>
    <row r="379" customFormat="false" ht="18.7" hidden="false" customHeight="true" outlineLevel="0" collapsed="false">
      <c r="A379" s="1" t="n">
        <v>378</v>
      </c>
      <c r="B379" s="7" t="str">
        <f aca="false">HYPERLINK("https://mncourtfraud.com/file/27-CR-20-25524.pdf","27-CR-20-25524")</f>
        <v>27-CR-20-25524</v>
      </c>
      <c r="C379" s="1" t="n">
        <v>1</v>
      </c>
      <c r="D379" s="2" t="s">
        <v>12</v>
      </c>
      <c r="E379" s="8" t="n">
        <v>44468</v>
      </c>
      <c r="F379" s="2" t="s">
        <v>24</v>
      </c>
      <c r="G379" s="7" t="str">
        <f aca="false">HYPERLINK("https://mncourtfraud.com/file/MCRO_27-CR-20-25524_Order for Conditional Release_2021-09-29_20251126180115.pdf","MCRO_27-CR-20-25524_Order for Conditional Release_2021-09-29_20251126180115.pdf")</f>
        <v>MCRO_27-CR-20-25524_Order for Conditional Release_2021-09-29_20251126180115.pdf</v>
      </c>
      <c r="H379" s="7" t="str">
        <f aca="false">HYPERLINK("https://mncourtfraud.com/file/e04b4db843c4bf02679b586bdc06323c2777cf59091b22718210a1dd2a0badc7.png","e04b4db843c4bf02679b586bdc06323c2777cf59091b22718210a1dd2a0badc7")</f>
        <v>e04b4db843c4bf02679b586bdc06323c2777cf59091b22718210a1dd2a0badc7</v>
      </c>
      <c r="I379" s="1" t="s">
        <v>3406</v>
      </c>
      <c r="L379" s="2" t="s">
        <v>3412</v>
      </c>
      <c r="M379" s="2" t="n">
        <v>199</v>
      </c>
      <c r="S379" s="2" t="n">
        <v>7</v>
      </c>
      <c r="T379" s="2" t="n">
        <v>347</v>
      </c>
    </row>
    <row r="380" customFormat="false" ht="18.7" hidden="false" customHeight="true" outlineLevel="0" collapsed="false">
      <c r="A380" s="1" t="n">
        <v>379</v>
      </c>
      <c r="B380" s="7" t="str">
        <f aca="false">HYPERLINK("https://mncourtfraud.com/file/27-CR-20-25524.pdf","27-CR-20-25524")</f>
        <v>27-CR-20-25524</v>
      </c>
      <c r="C380" s="1" t="n">
        <v>1</v>
      </c>
      <c r="D380" s="2" t="s">
        <v>12</v>
      </c>
      <c r="E380" s="8" t="n">
        <v>44468</v>
      </c>
      <c r="F380" s="2" t="s">
        <v>24</v>
      </c>
      <c r="G380" s="7" t="str">
        <f aca="false">HYPERLINK("https://mncourtfraud.com/file/MCRO_27-CR-20-25524_Order for Conditional Release_2021-09-29_20251126180115.pdf","MCRO_27-CR-20-25524_Order for Conditional Release_2021-09-29_20251126180115.pdf")</f>
        <v>MCRO_27-CR-20-25524_Order for Conditional Release_2021-09-29_20251126180115.pdf</v>
      </c>
      <c r="H380" s="7" t="str">
        <f aca="false">HYPERLINK("https://mncourtfraud.com/file/edbae421bba147262ba26ef60780ca6dfd5bedce23be39a1f883da7c23dae35f.cid","edbae421bba147262ba26ef60780ca6dfd5bedce23be39a1f883da7c23dae35f")</f>
        <v>edbae421bba147262ba26ef60780ca6dfd5bedce23be39a1f883da7c23dae35f</v>
      </c>
      <c r="I380" s="1" t="s">
        <v>3431</v>
      </c>
      <c r="L380" s="2" t="s">
        <v>3415</v>
      </c>
      <c r="M380" s="2" t="n">
        <v>21348</v>
      </c>
    </row>
    <row r="381" customFormat="false" ht="18.7" hidden="false" customHeight="true" outlineLevel="0" collapsed="false">
      <c r="A381" s="1" t="n">
        <v>380</v>
      </c>
      <c r="B381" s="7" t="str">
        <f aca="false">HYPERLINK("https://mncourtfraud.com/file/27-CR-20-25524.pdf","27-CR-20-25524")</f>
        <v>27-CR-20-25524</v>
      </c>
      <c r="C381" s="1" t="n">
        <v>1</v>
      </c>
      <c r="D381" s="2" t="s">
        <v>12</v>
      </c>
      <c r="E381" s="8" t="n">
        <v>44468</v>
      </c>
      <c r="F381" s="2" t="s">
        <v>24</v>
      </c>
      <c r="G381" s="7" t="str">
        <f aca="false">HYPERLINK("https://mncourtfraud.com/file/MCRO_27-CR-20-25524_Order for Conditional Release_2021-09-29_20251126180115.pdf","MCRO_27-CR-20-25524_Order for Conditional Release_2021-09-29_20251126180115.pdf")</f>
        <v>MCRO_27-CR-20-25524_Order for Conditional Release_2021-09-29_20251126180115.pdf</v>
      </c>
      <c r="H381" s="7" t="str">
        <f aca="false">HYPERLINK("https://mncourtfraud.com/file/efd944d517e9b552a77a910c5203f04540cf1249b7304a04f4907f542ec53c17.cid","efd944d517e9b552a77a910c5203f04540cf1249b7304a04f4907f542ec53c17")</f>
        <v>efd944d517e9b552a77a910c5203f04540cf1249b7304a04f4907f542ec53c17</v>
      </c>
      <c r="I381" s="1" t="s">
        <v>3431</v>
      </c>
      <c r="L381" s="2" t="s">
        <v>3415</v>
      </c>
      <c r="M381" s="2" t="n">
        <v>5521</v>
      </c>
    </row>
    <row r="382" customFormat="false" ht="18.7" hidden="false" customHeight="true" outlineLevel="0" collapsed="false">
      <c r="A382" s="1" t="n">
        <v>381</v>
      </c>
      <c r="B382" s="7" t="str">
        <f aca="false">HYPERLINK("https://mncourtfraud.com/file/27-CR-20-25524.pdf","27-CR-20-25524")</f>
        <v>27-CR-20-25524</v>
      </c>
      <c r="C382" s="1" t="n">
        <v>1</v>
      </c>
      <c r="D382" s="2" t="s">
        <v>12</v>
      </c>
      <c r="E382" s="8" t="n">
        <v>44468</v>
      </c>
      <c r="F382" s="2" t="s">
        <v>24</v>
      </c>
      <c r="G382" s="7" t="str">
        <f aca="false">HYPERLINK("https://mncourtfraud.com/file/MCRO_27-CR-20-25524_Order for Conditional Release_2021-09-29_20251126180115.pdf","MCRO_27-CR-20-25524_Order for Conditional Release_2021-09-29_20251126180115.pdf")</f>
        <v>MCRO_27-CR-20-25524_Order for Conditional Release_2021-09-29_20251126180115.pdf</v>
      </c>
      <c r="H382" s="7" t="str">
        <f aca="false">HYPERLINK("https://mncourtfraud.com/file/fe1965a60cba51fe144ad80b55474d56106539ec2835ed039f2e68d2691deed0.cid","fe1965a60cba51fe144ad80b55474d56106539ec2835ed039f2e68d2691deed0")</f>
        <v>fe1965a60cba51fe144ad80b55474d56106539ec2835ed039f2e68d2691deed0</v>
      </c>
      <c r="I382" s="1" t="s">
        <v>3431</v>
      </c>
      <c r="L382" s="2" t="s">
        <v>3415</v>
      </c>
      <c r="M382" s="2" t="n">
        <v>4323</v>
      </c>
    </row>
    <row r="383" customFormat="false" ht="18.7" hidden="false" customHeight="true" outlineLevel="0" collapsed="false">
      <c r="A383" s="1" t="n">
        <v>382</v>
      </c>
      <c r="B383" s="7" t="str">
        <f aca="false">HYPERLINK("https://mncourtfraud.com/file/27-CR-20-25524.pdf","27-CR-20-25524")</f>
        <v>27-CR-20-25524</v>
      </c>
      <c r="C383" s="1" t="n">
        <v>1</v>
      </c>
      <c r="D383" s="2" t="s">
        <v>12</v>
      </c>
      <c r="E383" s="8" t="n">
        <v>44468</v>
      </c>
      <c r="F383" s="2" t="s">
        <v>24</v>
      </c>
      <c r="G383" s="7" t="str">
        <f aca="false">HYPERLINK("https://mncourtfraud.com/file/MCRO_27-CR-20-25524_Order for Conditional Release_2021-09-29_20251126180115.pdf","MCRO_27-CR-20-25524_Order for Conditional Release_2021-09-29_20251126180115.pdf")</f>
        <v>MCRO_27-CR-20-25524_Order for Conditional Release_2021-09-29_20251126180115.pdf</v>
      </c>
      <c r="H383" s="7" t="str">
        <f aca="false">HYPERLINK("https://mncourtfraud.com/file/ff78f82f1ff3b9436a8d65df586b0bef19dd8fcf1b27941145ca7e723b37620b.cid","ff78f82f1ff3b9436a8d65df586b0bef19dd8fcf1b27941145ca7e723b37620b")</f>
        <v>ff78f82f1ff3b9436a8d65df586b0bef19dd8fcf1b27941145ca7e723b37620b</v>
      </c>
      <c r="I383" s="1" t="s">
        <v>3431</v>
      </c>
      <c r="L383" s="2" t="s">
        <v>3415</v>
      </c>
      <c r="M383" s="2" t="n">
        <v>339</v>
      </c>
    </row>
    <row r="384" customFormat="false" ht="18.7" hidden="false" customHeight="true" outlineLevel="0" collapsed="false">
      <c r="A384" s="1" t="n">
        <v>383</v>
      </c>
      <c r="B384" s="7" t="str">
        <f aca="false">HYPERLINK("https://mncourtfraud.com/file/27-CR-20-25524.pdf","27-CR-20-25524")</f>
        <v>27-CR-20-25524</v>
      </c>
      <c r="C384" s="1" t="n">
        <v>1</v>
      </c>
      <c r="D384" s="2" t="s">
        <v>12</v>
      </c>
      <c r="E384" s="8" t="n">
        <v>44543</v>
      </c>
      <c r="F384" s="2" t="s">
        <v>15</v>
      </c>
      <c r="G384" s="7" t="str">
        <f aca="false">HYPERLINK("https://mncourtfraud.com/file/MCRO_27-CR-20-25524_Order-Evaluation for Competency to Proceed (Rule 20.01)_2021-12-13_20251126180204.pdf","MCRO_27-CR-20-25524_Order-Evaluation for Competency to Proceed (Rule 20.01)_2021-12-13_20251126180204.pdf")</f>
        <v>MCRO_27-CR-20-25524_Order-Evaluation for Competency to Proceed (Rule 20.01)_2021-12-13_20251126180204.pdf</v>
      </c>
      <c r="H384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384" s="1" t="s">
        <v>3413</v>
      </c>
      <c r="J384" s="2" t="s">
        <v>3423</v>
      </c>
      <c r="K384" s="2" t="s">
        <v>3423</v>
      </c>
      <c r="L384" s="2" t="s">
        <v>3415</v>
      </c>
      <c r="M384" s="2" t="n">
        <v>11088</v>
      </c>
    </row>
    <row r="385" customFormat="false" ht="18.7" hidden="false" customHeight="true" outlineLevel="0" collapsed="false">
      <c r="A385" s="1" t="n">
        <v>384</v>
      </c>
      <c r="B385" s="7" t="str">
        <f aca="false">HYPERLINK("https://mncourtfraud.com/file/27-CR-20-25524.pdf","27-CR-20-25524")</f>
        <v>27-CR-20-25524</v>
      </c>
      <c r="C385" s="1" t="n">
        <v>1</v>
      </c>
      <c r="D385" s="2" t="s">
        <v>12</v>
      </c>
      <c r="E385" s="8" t="n">
        <v>44543</v>
      </c>
      <c r="F385" s="2" t="s">
        <v>15</v>
      </c>
      <c r="G385" s="7" t="str">
        <f aca="false">HYPERLINK("https://mncourtfraud.com/file/MCRO_27-CR-20-25524_Order-Evaluation for Competency to Proceed (Rule 20.01)_2021-12-13_20251126180204.pdf","MCRO_27-CR-20-25524_Order-Evaluation for Competency to Proceed (Rule 20.01)_2021-12-13_20251126180204.pdf")</f>
        <v>MCRO_27-CR-20-25524_Order-Evaluation for Competency to Proceed (Rule 20.01)_2021-12-13_20251126180204.pdf</v>
      </c>
      <c r="H385" s="7" t="str">
        <f aca="false">HYPERLINK("https://mncourtfraud.com/file/22be6394304ce5b678311fefb19c39c8cb0a49d25f23150f1efe21ad14b99c7b.ttf","22be6394304ce5b678311fefb19c39c8cb0a49d25f23150f1efe21ad14b99c7b")</f>
        <v>22be6394304ce5b678311fefb19c39c8cb0a49d25f23150f1efe21ad14b99c7b</v>
      </c>
      <c r="I385" s="1" t="s">
        <v>3413</v>
      </c>
      <c r="J385" s="2" t="s">
        <v>3421</v>
      </c>
      <c r="K385" s="2" t="s">
        <v>3421</v>
      </c>
      <c r="L385" s="2" t="s">
        <v>3415</v>
      </c>
      <c r="M385" s="2" t="n">
        <v>117192</v>
      </c>
    </row>
    <row r="386" customFormat="false" ht="18.7" hidden="false" customHeight="true" outlineLevel="0" collapsed="false">
      <c r="A386" s="1" t="n">
        <v>385</v>
      </c>
      <c r="B386" s="7" t="str">
        <f aca="false">HYPERLINK("https://mncourtfraud.com/file/27-CR-20-25524.pdf","27-CR-20-25524")</f>
        <v>27-CR-20-25524</v>
      </c>
      <c r="C386" s="1" t="n">
        <v>1</v>
      </c>
      <c r="D386" s="2" t="s">
        <v>12</v>
      </c>
      <c r="E386" s="8" t="n">
        <v>44543</v>
      </c>
      <c r="F386" s="2" t="s">
        <v>15</v>
      </c>
      <c r="G386" s="7" t="str">
        <f aca="false">HYPERLINK("https://mncourtfraud.com/file/MCRO_27-CR-20-25524_Order-Evaluation for Competency to Proceed (Rule 20.01)_2021-12-13_20251126180204.pdf","MCRO_27-CR-20-25524_Order-Evaluation for Competency to Proceed (Rule 20.01)_2021-12-13_20251126180204.pdf")</f>
        <v>MCRO_27-CR-20-25524_Order-Evaluation for Competency to Proceed (Rule 20.01)_2021-12-13_20251126180204.pdf</v>
      </c>
      <c r="H386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386" s="1" t="s">
        <v>3413</v>
      </c>
      <c r="J386" s="2" t="s">
        <v>3424</v>
      </c>
      <c r="K386" s="2" t="s">
        <v>3424</v>
      </c>
      <c r="L386" s="2" t="s">
        <v>3415</v>
      </c>
      <c r="M386" s="2" t="n">
        <v>14252</v>
      </c>
    </row>
    <row r="387" customFormat="false" ht="18.7" hidden="false" customHeight="true" outlineLevel="0" collapsed="false">
      <c r="A387" s="1" t="n">
        <v>386</v>
      </c>
      <c r="B387" s="7" t="str">
        <f aca="false">HYPERLINK("https://mncourtfraud.com/file/27-CR-20-25524.pdf","27-CR-20-25524")</f>
        <v>27-CR-20-25524</v>
      </c>
      <c r="C387" s="1" t="n">
        <v>1</v>
      </c>
      <c r="D387" s="2" t="s">
        <v>12</v>
      </c>
      <c r="E387" s="8" t="n">
        <v>44543</v>
      </c>
      <c r="F387" s="2" t="s">
        <v>15</v>
      </c>
      <c r="G387" s="7" t="str">
        <f aca="false">HYPERLINK("https://mncourtfraud.com/file/MCRO_27-CR-20-25524_Order-Evaluation for Competency to Proceed (Rule 20.01)_2021-12-13_20251126180204.pdf","MCRO_27-CR-20-25524_Order-Evaluation for Competency to Proceed (Rule 20.01)_2021-12-13_20251126180204.pdf")</f>
        <v>MCRO_27-CR-20-25524_Order-Evaluation for Competency to Proceed (Rule 20.01)_2021-12-13_20251126180204.pdf</v>
      </c>
      <c r="H387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387" s="1" t="s">
        <v>3406</v>
      </c>
      <c r="K387" s="2" t="s">
        <v>3420</v>
      </c>
      <c r="L387" s="2" t="s">
        <v>3408</v>
      </c>
      <c r="M387" s="2" t="n">
        <v>7306</v>
      </c>
      <c r="O387" s="2" t="s">
        <v>3409</v>
      </c>
      <c r="P387" s="2" t="s">
        <v>3410</v>
      </c>
      <c r="S387" s="2" t="n">
        <v>319</v>
      </c>
      <c r="T387" s="2" t="n">
        <v>105</v>
      </c>
    </row>
    <row r="388" customFormat="false" ht="18.7" hidden="false" customHeight="true" outlineLevel="0" collapsed="false">
      <c r="A388" s="1" t="n">
        <v>387</v>
      </c>
      <c r="B388" s="7" t="str">
        <f aca="false">HYPERLINK("https://mncourtfraud.com/file/27-CR-20-25524.pdf","27-CR-20-25524")</f>
        <v>27-CR-20-25524</v>
      </c>
      <c r="C388" s="1" t="n">
        <v>1</v>
      </c>
      <c r="D388" s="2" t="s">
        <v>12</v>
      </c>
      <c r="E388" s="8" t="n">
        <v>44543</v>
      </c>
      <c r="F388" s="2" t="s">
        <v>15</v>
      </c>
      <c r="G388" s="7" t="str">
        <f aca="false">HYPERLINK("https://mncourtfraud.com/file/MCRO_27-CR-20-25524_Order-Evaluation for Competency to Proceed (Rule 20.01)_2021-12-13_20251126180204.pdf","MCRO_27-CR-20-25524_Order-Evaluation for Competency to Proceed (Rule 20.01)_2021-12-13_20251126180204.pdf")</f>
        <v>MCRO_27-CR-20-25524_Order-Evaluation for Competency to Proceed (Rule 20.01)_2021-12-13_20251126180204.pdf</v>
      </c>
      <c r="H388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388" s="1" t="s">
        <v>3406</v>
      </c>
      <c r="K388" s="2" t="s">
        <v>3425</v>
      </c>
      <c r="L388" s="2" t="s">
        <v>3408</v>
      </c>
      <c r="M388" s="2" t="n">
        <v>21225</v>
      </c>
      <c r="O388" s="2" t="s">
        <v>3409</v>
      </c>
      <c r="P388" s="2" t="s">
        <v>3410</v>
      </c>
      <c r="S388" s="2" t="n">
        <v>319</v>
      </c>
      <c r="T388" s="2" t="n">
        <v>105</v>
      </c>
    </row>
    <row r="389" customFormat="false" ht="18.7" hidden="false" customHeight="true" outlineLevel="0" collapsed="false">
      <c r="A389" s="1" t="n">
        <v>388</v>
      </c>
      <c r="B389" s="7" t="str">
        <f aca="false">HYPERLINK("https://mncourtfraud.com/file/27-CR-20-25524.pdf","27-CR-20-25524")</f>
        <v>27-CR-20-25524</v>
      </c>
      <c r="C389" s="1" t="n">
        <v>1</v>
      </c>
      <c r="D389" s="2" t="s">
        <v>12</v>
      </c>
      <c r="E389" s="8" t="n">
        <v>44543</v>
      </c>
      <c r="F389" s="2" t="s">
        <v>15</v>
      </c>
      <c r="G389" s="7" t="str">
        <f aca="false">HYPERLINK("https://mncourtfraud.com/file/MCRO_27-CR-20-25524_Order-Evaluation for Competency to Proceed (Rule 20.01)_2021-12-13_20251126180204.pdf","MCRO_27-CR-20-25524_Order-Evaluation for Competency to Proceed (Rule 20.01)_2021-12-13_20251126180204.pdf")</f>
        <v>MCRO_27-CR-20-25524_Order-Evaluation for Competency to Proceed (Rule 20.01)_2021-12-13_20251126180204.pdf</v>
      </c>
      <c r="H389" s="7" t="str">
        <f aca="false">HYPERLINK("https://mncourtfraud.com/file/f942eca43ffd6bdbf3ee942fee873a73c8baea7707298295b91918b6d8b6d6ee.ttf","f942eca43ffd6bdbf3ee942fee873a73c8baea7707298295b91918b6d8b6d6ee")</f>
        <v>f942eca43ffd6bdbf3ee942fee873a73c8baea7707298295b91918b6d8b6d6ee</v>
      </c>
      <c r="I389" s="1" t="s">
        <v>3413</v>
      </c>
      <c r="J389" s="2" t="s">
        <v>3422</v>
      </c>
      <c r="K389" s="2" t="s">
        <v>3422</v>
      </c>
      <c r="L389" s="2" t="s">
        <v>3415</v>
      </c>
      <c r="M389" s="2" t="n">
        <v>125444</v>
      </c>
    </row>
    <row r="390" customFormat="false" ht="18.7" hidden="false" customHeight="true" outlineLevel="0" collapsed="false">
      <c r="A390" s="1" t="n">
        <v>389</v>
      </c>
      <c r="B390" s="7" t="str">
        <f aca="false">HYPERLINK("https://mncourtfraud.com/file/27-CR-20-25524.pdf","27-CR-20-25524")</f>
        <v>27-CR-20-25524</v>
      </c>
      <c r="C390" s="1" t="n">
        <v>1</v>
      </c>
      <c r="D390" s="2" t="s">
        <v>12</v>
      </c>
      <c r="E390" s="8" t="n">
        <v>44558</v>
      </c>
      <c r="F390" s="2" t="s">
        <v>15</v>
      </c>
      <c r="G390" s="7" t="str">
        <f aca="false">HYPERLINK("https://mncourtfraud.com/file/MCRO_27-CR-20-25524_Order-Evaluation for Competency to Proceed (Rule 20.01)_2021-12-28_20251126180216.pdf","MCRO_27-CR-20-25524_Order-Evaluation for Competency to Proceed (Rule 20.01)_2021-12-28_20251126180216.pdf")</f>
        <v>MCRO_27-CR-20-25524_Order-Evaluation for Competency to Proceed (Rule 20.01)_2021-12-28_20251126180216.pdf</v>
      </c>
      <c r="H390" s="7" t="str">
        <f aca="false">HYPERLINK("https://mncourtfraud.com/file/296807d0b6e8e16993cff6253fe8f9d01e8adb653108f7402957c8a9abf33c64.png","296807d0b6e8e16993cff6253fe8f9d01e8adb653108f7402957c8a9abf33c64")</f>
        <v>296807d0b6e8e16993cff6253fe8f9d01e8adb653108f7402957c8a9abf33c64</v>
      </c>
      <c r="I390" s="1" t="s">
        <v>3406</v>
      </c>
      <c r="L390" s="2" t="s">
        <v>3412</v>
      </c>
      <c r="M390" s="2" t="n">
        <v>99599</v>
      </c>
      <c r="S390" s="2" t="n">
        <v>2550</v>
      </c>
      <c r="T390" s="2" t="n">
        <v>3300</v>
      </c>
    </row>
    <row r="391" customFormat="false" ht="18.7" hidden="false" customHeight="true" outlineLevel="0" collapsed="false">
      <c r="A391" s="1" t="n">
        <v>390</v>
      </c>
      <c r="B391" s="7" t="str">
        <f aca="false">HYPERLINK("https://mncourtfraud.com/file/27-CR-20-25524.pdf","27-CR-20-25524")</f>
        <v>27-CR-20-25524</v>
      </c>
      <c r="C391" s="1" t="n">
        <v>1</v>
      </c>
      <c r="D391" s="2" t="s">
        <v>12</v>
      </c>
      <c r="E391" s="8" t="n">
        <v>44558</v>
      </c>
      <c r="F391" s="2" t="s">
        <v>15</v>
      </c>
      <c r="G391" s="7" t="str">
        <f aca="false">HYPERLINK("https://mncourtfraud.com/file/MCRO_27-CR-20-25524_Order-Evaluation for Competency to Proceed (Rule 20.01)_2021-12-28_20251126180216.pdf","MCRO_27-CR-20-25524_Order-Evaluation for Competency to Proceed (Rule 20.01)_2021-12-28_20251126180216.pdf")</f>
        <v>MCRO_27-CR-20-25524_Order-Evaluation for Competency to Proceed (Rule 20.01)_2021-12-28_20251126180216.pdf</v>
      </c>
      <c r="H391" s="7" t="str">
        <f aca="false">HYPERLINK("https://mncourtfraud.com/file/7326826025cb6f6eb3a9b97b1b77580a93f4733708ef7f3f1b20c869d182e4f1.png","7326826025cb6f6eb3a9b97b1b77580a93f4733708ef7f3f1b20c869d182e4f1")</f>
        <v>7326826025cb6f6eb3a9b97b1b77580a93f4733708ef7f3f1b20c869d182e4f1</v>
      </c>
      <c r="I391" s="1" t="s">
        <v>3406</v>
      </c>
      <c r="L391" s="2" t="s">
        <v>3412</v>
      </c>
      <c r="M391" s="2" t="n">
        <v>131240</v>
      </c>
      <c r="S391" s="2" t="n">
        <v>2550</v>
      </c>
      <c r="T391" s="2" t="n">
        <v>3300</v>
      </c>
    </row>
    <row r="392" customFormat="false" ht="18.7" hidden="false" customHeight="true" outlineLevel="0" collapsed="false">
      <c r="A392" s="1" t="n">
        <v>391</v>
      </c>
      <c r="B392" s="7" t="str">
        <f aca="false">HYPERLINK("https://mncourtfraud.com/file/27-CR-20-25524.pdf","27-CR-20-25524")</f>
        <v>27-CR-20-25524</v>
      </c>
      <c r="C392" s="1" t="n">
        <v>1</v>
      </c>
      <c r="D392" s="2" t="s">
        <v>12</v>
      </c>
      <c r="E392" s="8" t="n">
        <v>44558</v>
      </c>
      <c r="F392" s="2" t="s">
        <v>15</v>
      </c>
      <c r="G392" s="7" t="str">
        <f aca="false">HYPERLINK("https://mncourtfraud.com/file/MCRO_27-CR-20-25524_Order-Evaluation for Competency to Proceed (Rule 20.01)_2021-12-28_20251126180216.pdf","MCRO_27-CR-20-25524_Order-Evaluation for Competency to Proceed (Rule 20.01)_2021-12-28_20251126180216.pdf")</f>
        <v>MCRO_27-CR-20-25524_Order-Evaluation for Competency to Proceed (Rule 20.01)_2021-12-28_20251126180216.pdf</v>
      </c>
      <c r="H392" s="7" t="str">
        <f aca="false">HYPERLINK("https://mncourtfraud.com/file/8a62757ed06fff464f6917d8fdf2b680fb247c6a7ea50a01b5ce818d95860659.ttf","8a62757ed06fff464f6917d8fdf2b680fb247c6a7ea50a01b5ce818d95860659")</f>
        <v>8a62757ed06fff464f6917d8fdf2b680fb247c6a7ea50a01b5ce818d95860659</v>
      </c>
      <c r="I392" s="1" t="s">
        <v>3413</v>
      </c>
      <c r="L392" s="2" t="s">
        <v>3415</v>
      </c>
      <c r="M392" s="2" t="n">
        <v>333576</v>
      </c>
    </row>
    <row r="393" customFormat="false" ht="18.7" hidden="false" customHeight="true" outlineLevel="0" collapsed="false">
      <c r="A393" s="1" t="n">
        <v>392</v>
      </c>
      <c r="B393" s="7" t="str">
        <f aca="false">HYPERLINK("https://mncourtfraud.com/file/27-CR-20-25524.pdf","27-CR-20-25524")</f>
        <v>27-CR-20-25524</v>
      </c>
      <c r="C393" s="1" t="n">
        <v>1</v>
      </c>
      <c r="D393" s="2" t="s">
        <v>12</v>
      </c>
      <c r="E393" s="8" t="n">
        <v>44558</v>
      </c>
      <c r="F393" s="2" t="s">
        <v>15</v>
      </c>
      <c r="G393" s="7" t="str">
        <f aca="false">HYPERLINK("https://mncourtfraud.com/file/MCRO_27-CR-20-25524_Order-Evaluation for Competency to Proceed (Rule 20.01)_2021-12-28_20251126180216.pdf","MCRO_27-CR-20-25524_Order-Evaluation for Competency to Proceed (Rule 20.01)_2021-12-28_20251126180216.pdf")</f>
        <v>MCRO_27-CR-20-25524_Order-Evaluation for Competency to Proceed (Rule 20.01)_2021-12-28_20251126180216.pdf</v>
      </c>
      <c r="H393" s="7" t="str">
        <f aca="false">HYPERLINK("https://mncourtfraud.com/file/e40d12d7323a0558eb8ee013f5e249b95da5d449d5afec4a6444ca5ae5fa8dd0.png","e40d12d7323a0558eb8ee013f5e249b95da5d449d5afec4a6444ca5ae5fa8dd0")</f>
        <v>e40d12d7323a0558eb8ee013f5e249b95da5d449d5afec4a6444ca5ae5fa8dd0</v>
      </c>
      <c r="I393" s="1" t="s">
        <v>3406</v>
      </c>
      <c r="L393" s="2" t="s">
        <v>3412</v>
      </c>
      <c r="M393" s="2" t="n">
        <v>156487</v>
      </c>
      <c r="S393" s="2" t="n">
        <v>2550</v>
      </c>
      <c r="T393" s="2" t="n">
        <v>3300</v>
      </c>
    </row>
    <row r="394" customFormat="false" ht="18.7" hidden="false" customHeight="true" outlineLevel="0" collapsed="false">
      <c r="A394" s="1" t="n">
        <v>393</v>
      </c>
      <c r="B394" s="7" t="str">
        <f aca="false">HYPERLINK("https://mncourtfraud.com/file/27-CR-20-25524.pdf","27-CR-20-25524")</f>
        <v>27-CR-20-25524</v>
      </c>
      <c r="C394" s="1" t="n">
        <v>1</v>
      </c>
      <c r="D394" s="2" t="s">
        <v>12</v>
      </c>
      <c r="E394" s="8" t="n">
        <v>44593</v>
      </c>
      <c r="F394" s="2" t="s">
        <v>19</v>
      </c>
      <c r="G394" s="7" t="str">
        <f aca="false">HYPERLINK("https://mncourtfraud.com/file/MCRO_27-CR-20-25524_Findings and Order_2022-02-01_20251126180037.pdf","MCRO_27-CR-20-25524_Findings and Order_2022-02-01_20251126180037.pdf")</f>
        <v>MCRO_27-CR-20-25524_Findings and Order_2022-02-01_20251126180037.pdf</v>
      </c>
      <c r="H394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394" s="1" t="s">
        <v>3413</v>
      </c>
      <c r="J394" s="2" t="s">
        <v>3426</v>
      </c>
      <c r="K394" s="2" t="s">
        <v>3426</v>
      </c>
      <c r="L394" s="2" t="s">
        <v>3415</v>
      </c>
      <c r="M394" s="2" t="n">
        <v>74997</v>
      </c>
      <c r="N394" s="2" t="s">
        <v>3427</v>
      </c>
    </row>
    <row r="395" customFormat="false" ht="18.7" hidden="false" customHeight="true" outlineLevel="0" collapsed="false">
      <c r="A395" s="1" t="n">
        <v>394</v>
      </c>
      <c r="B395" s="7" t="str">
        <f aca="false">HYPERLINK("https://mncourtfraud.com/file/27-CR-20-25524.pdf","27-CR-20-25524")</f>
        <v>27-CR-20-25524</v>
      </c>
      <c r="C395" s="1" t="n">
        <v>1</v>
      </c>
      <c r="D395" s="2" t="s">
        <v>12</v>
      </c>
      <c r="E395" s="8" t="n">
        <v>44593</v>
      </c>
      <c r="F395" s="2" t="s">
        <v>19</v>
      </c>
      <c r="G395" s="7" t="str">
        <f aca="false">HYPERLINK("https://mncourtfraud.com/file/MCRO_27-CR-20-25524_Findings and Order_2022-02-01_20251126180037.pdf","MCRO_27-CR-20-25524_Findings and Order_2022-02-01_20251126180037.pdf")</f>
        <v>MCRO_27-CR-20-25524_Findings and Order_2022-02-01_20251126180037.pdf</v>
      </c>
      <c r="H395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395" s="1" t="s">
        <v>3428</v>
      </c>
      <c r="J395" s="2" t="s">
        <v>3429</v>
      </c>
      <c r="K395" s="2" t="s">
        <v>3429</v>
      </c>
      <c r="L395" s="2" t="s">
        <v>3415</v>
      </c>
      <c r="M395" s="2" t="n">
        <v>86093</v>
      </c>
    </row>
    <row r="396" customFormat="false" ht="18.7" hidden="false" customHeight="true" outlineLevel="0" collapsed="false">
      <c r="A396" s="1" t="n">
        <v>395</v>
      </c>
      <c r="B396" s="7" t="str">
        <f aca="false">HYPERLINK("https://mncourtfraud.com/file/27-CR-20-25524.pdf","27-CR-20-25524")</f>
        <v>27-CR-20-25524</v>
      </c>
      <c r="C396" s="1" t="n">
        <v>1</v>
      </c>
      <c r="D396" s="2" t="s">
        <v>12</v>
      </c>
      <c r="E396" s="8" t="n">
        <v>44593</v>
      </c>
      <c r="F396" s="2" t="s">
        <v>19</v>
      </c>
      <c r="G396" s="7" t="str">
        <f aca="false">HYPERLINK("https://mncourtfraud.com/file/MCRO_27-CR-20-25524_Findings and Order_2022-02-01_20251126180037.pdf","MCRO_27-CR-20-25524_Findings and Order_2022-02-01_20251126180037.pdf")</f>
        <v>MCRO_27-CR-20-25524_Findings and Order_2022-02-01_20251126180037.pdf</v>
      </c>
      <c r="H396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396" s="1" t="s">
        <v>3413</v>
      </c>
      <c r="J396" s="2" t="s">
        <v>3414</v>
      </c>
      <c r="K396" s="2" t="s">
        <v>3414</v>
      </c>
      <c r="L396" s="2" t="s">
        <v>3415</v>
      </c>
      <c r="M396" s="2" t="n">
        <v>42332</v>
      </c>
    </row>
    <row r="397" customFormat="false" ht="18.7" hidden="false" customHeight="true" outlineLevel="0" collapsed="false">
      <c r="A397" s="1" t="n">
        <v>396</v>
      </c>
      <c r="B397" s="7" t="str">
        <f aca="false">HYPERLINK("https://mncourtfraud.com/file/27-CR-20-25524.pdf","27-CR-20-25524")</f>
        <v>27-CR-20-25524</v>
      </c>
      <c r="C397" s="1" t="n">
        <v>1</v>
      </c>
      <c r="D397" s="2" t="s">
        <v>12</v>
      </c>
      <c r="E397" s="8" t="n">
        <v>44593</v>
      </c>
      <c r="F397" s="2" t="s">
        <v>19</v>
      </c>
      <c r="G397" s="7" t="str">
        <f aca="false">HYPERLINK("https://mncourtfraud.com/file/MCRO_27-CR-20-25524_Findings and Order_2022-02-01_20251126180037.pdf","MCRO_27-CR-20-25524_Findings and Order_2022-02-01_20251126180037.pdf")</f>
        <v>MCRO_27-CR-20-25524_Findings and Order_2022-02-01_20251126180037.pdf</v>
      </c>
      <c r="H397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397" s="1" t="s">
        <v>3413</v>
      </c>
      <c r="J397" s="2" t="s">
        <v>3414</v>
      </c>
      <c r="K397" s="2" t="s">
        <v>3414</v>
      </c>
      <c r="L397" s="2" t="s">
        <v>3415</v>
      </c>
      <c r="M397" s="2" t="n">
        <v>42332</v>
      </c>
    </row>
    <row r="398" customFormat="false" ht="18.7" hidden="false" customHeight="true" outlineLevel="0" collapsed="false">
      <c r="A398" s="1" t="n">
        <v>397</v>
      </c>
      <c r="B398" s="7" t="str">
        <f aca="false">HYPERLINK("https://mncourtfraud.com/file/27-CR-20-25524.pdf","27-CR-20-25524")</f>
        <v>27-CR-20-25524</v>
      </c>
      <c r="C398" s="1" t="n">
        <v>1</v>
      </c>
      <c r="D398" s="2" t="s">
        <v>12</v>
      </c>
      <c r="E398" s="8" t="n">
        <v>44593</v>
      </c>
      <c r="F398" s="2" t="s">
        <v>19</v>
      </c>
      <c r="G398" s="7" t="str">
        <f aca="false">HYPERLINK("https://mncourtfraud.com/file/MCRO_27-CR-20-25524_Findings and Order_2022-02-01_20251126180037.pdf","MCRO_27-CR-20-25524_Findings and Order_2022-02-01_20251126180037.pdf")</f>
        <v>MCRO_27-CR-20-25524_Findings and Order_2022-02-01_20251126180037.pdf</v>
      </c>
      <c r="H398" s="7" t="str">
        <f aca="false">HYPERLINK("https://mncourtfraud.com/file/d1e06f7a12c8d4ae1de62861dbfeadf4f6b52b1cfd6801e548bc1d08782c1451.ttf","d1e06f7a12c8d4ae1de62861dbfeadf4f6b52b1cfd6801e548bc1d08782c1451")</f>
        <v>d1e06f7a12c8d4ae1de62861dbfeadf4f6b52b1cfd6801e548bc1d08782c1451</v>
      </c>
      <c r="I398" s="1" t="s">
        <v>3413</v>
      </c>
      <c r="J398" s="2" t="s">
        <v>3414</v>
      </c>
      <c r="K398" s="2" t="s">
        <v>3416</v>
      </c>
      <c r="L398" s="2" t="s">
        <v>3415</v>
      </c>
      <c r="M398" s="2" t="n">
        <v>28584</v>
      </c>
    </row>
    <row r="399" customFormat="false" ht="18.7" hidden="false" customHeight="true" outlineLevel="0" collapsed="false">
      <c r="A399" s="1" t="n">
        <v>398</v>
      </c>
      <c r="B399" s="7" t="str">
        <f aca="false">HYPERLINK("https://mncourtfraud.com/file/27-CR-20-25524.pdf","27-CR-20-25524")</f>
        <v>27-CR-20-25524</v>
      </c>
      <c r="C399" s="1" t="n">
        <v>1</v>
      </c>
      <c r="D399" s="2" t="s">
        <v>12</v>
      </c>
      <c r="E399" s="8" t="n">
        <v>44593</v>
      </c>
      <c r="F399" s="2" t="s">
        <v>19</v>
      </c>
      <c r="G399" s="7" t="str">
        <f aca="false">HYPERLINK("https://mncourtfraud.com/file/MCRO_27-CR-20-25524_Findings and Order_2022-02-01_20251126180037.pdf","MCRO_27-CR-20-25524_Findings and Order_2022-02-01_20251126180037.pdf")</f>
        <v>MCRO_27-CR-20-25524_Findings and Order_2022-02-01_20251126180037.pdf</v>
      </c>
      <c r="H399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399" s="1" t="s">
        <v>3406</v>
      </c>
      <c r="K399" s="2" t="s">
        <v>3430</v>
      </c>
      <c r="L399" s="2" t="s">
        <v>3408</v>
      </c>
      <c r="M399" s="2" t="n">
        <v>28069</v>
      </c>
      <c r="O399" s="2" t="s">
        <v>3409</v>
      </c>
      <c r="P399" s="2" t="s">
        <v>3410</v>
      </c>
      <c r="S399" s="2" t="n">
        <v>448</v>
      </c>
      <c r="T399" s="2" t="n">
        <v>128</v>
      </c>
    </row>
    <row r="400" customFormat="false" ht="18.7" hidden="false" customHeight="true" outlineLevel="0" collapsed="false">
      <c r="A400" s="1" t="n">
        <v>399</v>
      </c>
      <c r="B400" s="7" t="str">
        <f aca="false">HYPERLINK("https://mncourtfraud.com/file/27-CR-20-25524.pdf","27-CR-20-25524")</f>
        <v>27-CR-20-25524</v>
      </c>
      <c r="C400" s="1" t="n">
        <v>1</v>
      </c>
      <c r="D400" s="2" t="s">
        <v>12</v>
      </c>
      <c r="E400" s="8" t="n">
        <v>44692</v>
      </c>
      <c r="F400" s="2" t="s">
        <v>15</v>
      </c>
      <c r="G400" s="7" t="str">
        <f aca="false">HYPERLINK("https://mncourtfraud.com/file/MCRO_27-CR-20-25524_Order-Evaluation for Competency to Proceed (Rule 20.01)_2022-05-11_20251126180226.pdf","MCRO_27-CR-20-25524_Order-Evaluation for Competency to Proceed (Rule 20.01)_2022-05-11_20251126180226.pdf")</f>
        <v>MCRO_27-CR-20-25524_Order-Evaluation for Competency to Proceed (Rule 20.01)_2022-05-11_20251126180226.pdf</v>
      </c>
      <c r="H400" s="7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400" s="1" t="s">
        <v>3406</v>
      </c>
      <c r="K400" s="2" t="s">
        <v>3432</v>
      </c>
      <c r="L400" s="2" t="s">
        <v>3408</v>
      </c>
      <c r="M400" s="2" t="n">
        <v>21121</v>
      </c>
      <c r="O400" s="2" t="s">
        <v>3409</v>
      </c>
      <c r="P400" s="2" t="s">
        <v>3410</v>
      </c>
      <c r="S400" s="2" t="n">
        <v>695</v>
      </c>
      <c r="T400" s="2" t="n">
        <v>233</v>
      </c>
    </row>
    <row r="401" customFormat="false" ht="18.7" hidden="false" customHeight="true" outlineLevel="0" collapsed="false">
      <c r="A401" s="1" t="n">
        <v>400</v>
      </c>
      <c r="B401" s="7" t="str">
        <f aca="false">HYPERLINK("https://mncourtfraud.com/file/27-CR-20-25524.pdf","27-CR-20-25524")</f>
        <v>27-CR-20-25524</v>
      </c>
      <c r="C401" s="1" t="n">
        <v>1</v>
      </c>
      <c r="D401" s="2" t="s">
        <v>12</v>
      </c>
      <c r="E401" s="8" t="n">
        <v>44692</v>
      </c>
      <c r="F401" s="2" t="s">
        <v>15</v>
      </c>
      <c r="G401" s="7" t="str">
        <f aca="false">HYPERLINK("https://mncourtfraud.com/file/MCRO_27-CR-20-25524_Order-Evaluation for Competency to Proceed (Rule 20.01)_2022-05-11_20251126180226.pdf","MCRO_27-CR-20-25524_Order-Evaluation for Competency to Proceed (Rule 20.01)_2022-05-11_20251126180226.pdf")</f>
        <v>MCRO_27-CR-20-25524_Order-Evaluation for Competency to Proceed (Rule 20.01)_2022-05-11_20251126180226.pdf</v>
      </c>
      <c r="H401" s="7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401" s="1" t="s">
        <v>3406</v>
      </c>
      <c r="K401" s="2" t="s">
        <v>3433</v>
      </c>
      <c r="L401" s="2" t="s">
        <v>3408</v>
      </c>
      <c r="M401" s="2" t="n">
        <v>53838</v>
      </c>
      <c r="O401" s="2" t="s">
        <v>3409</v>
      </c>
      <c r="P401" s="2" t="s">
        <v>3410</v>
      </c>
      <c r="S401" s="2" t="n">
        <v>695</v>
      </c>
      <c r="T401" s="2" t="n">
        <v>233</v>
      </c>
    </row>
    <row r="402" customFormat="false" ht="18.7" hidden="false" customHeight="true" outlineLevel="0" collapsed="false">
      <c r="A402" s="1" t="n">
        <v>401</v>
      </c>
      <c r="B402" s="7" t="str">
        <f aca="false">HYPERLINK("https://mncourtfraud.com/file/27-CR-20-25524.pdf","27-CR-20-25524")</f>
        <v>27-CR-20-25524</v>
      </c>
      <c r="C402" s="1" t="n">
        <v>1</v>
      </c>
      <c r="D402" s="2" t="s">
        <v>12</v>
      </c>
      <c r="E402" s="8" t="n">
        <v>44692</v>
      </c>
      <c r="F402" s="2" t="s">
        <v>15</v>
      </c>
      <c r="G402" s="7" t="str">
        <f aca="false">HYPERLINK("https://mncourtfraud.com/file/MCRO_27-CR-20-25524_Order-Evaluation for Competency to Proceed (Rule 20.01)_2022-05-11_20251126180226.pdf","MCRO_27-CR-20-25524_Order-Evaluation for Competency to Proceed (Rule 20.01)_2022-05-11_20251126180226.pdf")</f>
        <v>MCRO_27-CR-20-25524_Order-Evaluation for Competency to Proceed (Rule 20.01)_2022-05-11_20251126180226.pdf</v>
      </c>
      <c r="H402" s="7" t="str">
        <f aca="false">HYPERLINK("https://mncourtfraud.com/file/322fe0e9595a4df4693edf307e5f8a42a470721d59f006a7b0e86def92125a58.ttf","322fe0e9595a4df4693edf307e5f8a42a470721d59f006a7b0e86def92125a58")</f>
        <v>322fe0e9595a4df4693edf307e5f8a42a470721d59f006a7b0e86def92125a58</v>
      </c>
      <c r="I402" s="1" t="s">
        <v>3413</v>
      </c>
      <c r="J402" s="2" t="s">
        <v>3434</v>
      </c>
      <c r="K402" s="2" t="s">
        <v>3434</v>
      </c>
      <c r="L402" s="2" t="s">
        <v>3415</v>
      </c>
      <c r="M402" s="2" t="n">
        <v>46736</v>
      </c>
      <c r="N402" s="2" t="s">
        <v>3435</v>
      </c>
    </row>
    <row r="403" customFormat="false" ht="18.7" hidden="false" customHeight="true" outlineLevel="0" collapsed="false">
      <c r="A403" s="1" t="n">
        <v>402</v>
      </c>
      <c r="B403" s="7" t="str">
        <f aca="false">HYPERLINK("https://mncourtfraud.com/file/27-CR-20-25524.pdf","27-CR-20-25524")</f>
        <v>27-CR-20-25524</v>
      </c>
      <c r="C403" s="1" t="n">
        <v>1</v>
      </c>
      <c r="D403" s="2" t="s">
        <v>12</v>
      </c>
      <c r="E403" s="8" t="n">
        <v>44692</v>
      </c>
      <c r="F403" s="2" t="s">
        <v>15</v>
      </c>
      <c r="G403" s="7" t="str">
        <f aca="false">HYPERLINK("https://mncourtfraud.com/file/MCRO_27-CR-20-25524_Order-Evaluation for Competency to Proceed (Rule 20.01)_2022-05-11_20251126180226.pdf","MCRO_27-CR-20-25524_Order-Evaluation for Competency to Proceed (Rule 20.01)_2022-05-11_20251126180226.pdf")</f>
        <v>MCRO_27-CR-20-25524_Order-Evaluation for Competency to Proceed (Rule 20.01)_2022-05-11_20251126180226.pdf</v>
      </c>
      <c r="H403" s="7" t="str">
        <f aca="false">HYPERLINK("https://mncourtfraud.com/file/32ebada21768d6238e03c647b5e5acdf6ce656f0735d59c3fb698ce40418a709.ttf","32ebada21768d6238e03c647b5e5acdf6ce656f0735d59c3fb698ce40418a709")</f>
        <v>32ebada21768d6238e03c647b5e5acdf6ce656f0735d59c3fb698ce40418a709</v>
      </c>
      <c r="I403" s="1" t="s">
        <v>3413</v>
      </c>
      <c r="J403" s="2" t="s">
        <v>3436</v>
      </c>
      <c r="K403" s="2" t="s">
        <v>3436</v>
      </c>
      <c r="L403" s="2" t="s">
        <v>3415</v>
      </c>
      <c r="M403" s="2" t="n">
        <v>65744</v>
      </c>
      <c r="N403" s="2" t="s">
        <v>3437</v>
      </c>
    </row>
    <row r="404" customFormat="false" ht="18.7" hidden="false" customHeight="true" outlineLevel="0" collapsed="false">
      <c r="A404" s="1" t="n">
        <v>403</v>
      </c>
      <c r="B404" s="7" t="str">
        <f aca="false">HYPERLINK("https://mncourtfraud.com/file/27-CR-20-25524.pdf","27-CR-20-25524")</f>
        <v>27-CR-20-25524</v>
      </c>
      <c r="C404" s="1" t="n">
        <v>1</v>
      </c>
      <c r="D404" s="2" t="s">
        <v>12</v>
      </c>
      <c r="E404" s="8" t="n">
        <v>44692</v>
      </c>
      <c r="F404" s="2" t="s">
        <v>15</v>
      </c>
      <c r="G404" s="7" t="str">
        <f aca="false">HYPERLINK("https://mncourtfraud.com/file/MCRO_27-CR-20-25524_Order-Evaluation for Competency to Proceed (Rule 20.01)_2022-05-11_20251126180226.pdf","MCRO_27-CR-20-25524_Order-Evaluation for Competency to Proceed (Rule 20.01)_2022-05-11_20251126180226.pdf")</f>
        <v>MCRO_27-CR-20-25524_Order-Evaluation for Competency to Proceed (Rule 20.01)_2022-05-11_20251126180226.pdf</v>
      </c>
      <c r="H404" s="7" t="str">
        <f aca="false">HYPERLINK("https://mncourtfraud.com/file/694dcb82a5515430b7fddfbf16881b942820c8c41fee3eea3505a20c7d4e41e6.ttf","694dcb82a5515430b7fddfbf16881b942820c8c41fee3eea3505a20c7d4e41e6")</f>
        <v>694dcb82a5515430b7fddfbf16881b942820c8c41fee3eea3505a20c7d4e41e6</v>
      </c>
      <c r="I404" s="1" t="s">
        <v>3413</v>
      </c>
      <c r="J404" s="2" t="s">
        <v>3438</v>
      </c>
      <c r="K404" s="2" t="s">
        <v>3438</v>
      </c>
      <c r="L404" s="2" t="s">
        <v>3415</v>
      </c>
      <c r="M404" s="2" t="n">
        <v>72828</v>
      </c>
      <c r="N404" s="2" t="s">
        <v>3439</v>
      </c>
    </row>
    <row r="405" customFormat="false" ht="18.7" hidden="false" customHeight="true" outlineLevel="0" collapsed="false">
      <c r="A405" s="1" t="n">
        <v>404</v>
      </c>
      <c r="B405" s="7" t="str">
        <f aca="false">HYPERLINK("https://mncourtfraud.com/file/27-CR-20-25524.pdf","27-CR-20-25524")</f>
        <v>27-CR-20-25524</v>
      </c>
      <c r="C405" s="1" t="n">
        <v>1</v>
      </c>
      <c r="D405" s="2" t="s">
        <v>12</v>
      </c>
      <c r="E405" s="8" t="n">
        <v>44692</v>
      </c>
      <c r="F405" s="2" t="s">
        <v>15</v>
      </c>
      <c r="G405" s="7" t="str">
        <f aca="false">HYPERLINK("https://mncourtfraud.com/file/MCRO_27-CR-20-25524_Order-Evaluation for Competency to Proceed (Rule 20.01)_2022-05-11_20251126180226.pdf","MCRO_27-CR-20-25524_Order-Evaluation for Competency to Proceed (Rule 20.01)_2022-05-11_20251126180226.pdf")</f>
        <v>MCRO_27-CR-20-25524_Order-Evaluation for Competency to Proceed (Rule 20.01)_2022-05-11_20251126180226.pdf</v>
      </c>
      <c r="H405" s="7" t="str">
        <f aca="false">HYPERLINK("https://mncourtfraud.com/file/87764021d6d62f7c396208d3f1fa8113e5ad5f90bd03c35e7200536389af4e6a.ttf","87764021d6d62f7c396208d3f1fa8113e5ad5f90bd03c35e7200536389af4e6a")</f>
        <v>87764021d6d62f7c396208d3f1fa8113e5ad5f90bd03c35e7200536389af4e6a</v>
      </c>
      <c r="I405" s="1" t="s">
        <v>3413</v>
      </c>
      <c r="J405" s="2" t="s">
        <v>3440</v>
      </c>
      <c r="K405" s="2" t="s">
        <v>3440</v>
      </c>
      <c r="L405" s="2" t="s">
        <v>3415</v>
      </c>
      <c r="M405" s="2" t="n">
        <v>6280</v>
      </c>
      <c r="N405" s="2" t="s">
        <v>3441</v>
      </c>
    </row>
    <row r="406" customFormat="false" ht="18.7" hidden="false" customHeight="true" outlineLevel="0" collapsed="false">
      <c r="A406" s="1" t="n">
        <v>405</v>
      </c>
      <c r="B406" s="7" t="str">
        <f aca="false">HYPERLINK("https://mncourtfraud.com/file/27-CR-20-25524.pdf","27-CR-20-25524")</f>
        <v>27-CR-20-25524</v>
      </c>
      <c r="C406" s="1" t="n">
        <v>1</v>
      </c>
      <c r="D406" s="2" t="s">
        <v>12</v>
      </c>
      <c r="E406" s="8" t="n">
        <v>44692</v>
      </c>
      <c r="F406" s="2" t="s">
        <v>15</v>
      </c>
      <c r="G406" s="7" t="str">
        <f aca="false">HYPERLINK("https://mncourtfraud.com/file/MCRO_27-CR-20-25524_Order-Evaluation for Competency to Proceed (Rule 20.01)_2022-05-11_20251126180226.pdf","MCRO_27-CR-20-25524_Order-Evaluation for Competency to Proceed (Rule 20.01)_2022-05-11_20251126180226.pdf")</f>
        <v>MCRO_27-CR-20-25524_Order-Evaluation for Competency to Proceed (Rule 20.01)_2022-05-11_20251126180226.pdf</v>
      </c>
      <c r="H406" s="7" t="str">
        <f aca="false">HYPERLINK("https://mncourtfraud.com/file/a1ad71f465be26cf6bb430c59ae6133d3c381ada339ba3c6b2eadf32a9b4096b.ttf","a1ad71f465be26cf6bb430c59ae6133d3c381ada339ba3c6b2eadf32a9b4096b")</f>
        <v>a1ad71f465be26cf6bb430c59ae6133d3c381ada339ba3c6b2eadf32a9b4096b</v>
      </c>
      <c r="I406" s="1" t="s">
        <v>3413</v>
      </c>
      <c r="J406" s="2" t="s">
        <v>3442</v>
      </c>
      <c r="K406" s="2" t="s">
        <v>3442</v>
      </c>
      <c r="L406" s="2" t="s">
        <v>3415</v>
      </c>
      <c r="M406" s="2" t="n">
        <v>5988</v>
      </c>
      <c r="N406" s="2" t="s">
        <v>3443</v>
      </c>
    </row>
    <row r="407" customFormat="false" ht="18.7" hidden="false" customHeight="true" outlineLevel="0" collapsed="false">
      <c r="A407" s="1" t="n">
        <v>406</v>
      </c>
      <c r="B407" s="7" t="str">
        <f aca="false">HYPERLINK("https://mncourtfraud.com/file/27-CR-20-25524.pdf","27-CR-20-25524")</f>
        <v>27-CR-20-25524</v>
      </c>
      <c r="C407" s="1" t="n">
        <v>1</v>
      </c>
      <c r="D407" s="2" t="s">
        <v>12</v>
      </c>
      <c r="E407" s="8" t="n">
        <v>44692</v>
      </c>
      <c r="F407" s="2" t="s">
        <v>15</v>
      </c>
      <c r="G407" s="7" t="str">
        <f aca="false">HYPERLINK("https://mncourtfraud.com/file/MCRO_27-CR-20-25524_Order-Evaluation for Competency to Proceed (Rule 20.01)_2022-05-11_20251126180226.pdf","MCRO_27-CR-20-25524_Order-Evaluation for Competency to Proceed (Rule 20.01)_2022-05-11_20251126180226.pdf")</f>
        <v>MCRO_27-CR-20-25524_Order-Evaluation for Competency to Proceed (Rule 20.01)_2022-05-11_20251126180226.pdf</v>
      </c>
      <c r="H407" s="7" t="str">
        <f aca="false">HYPERLINK("https://mncourtfraud.com/file/e1befe23dc5d05be4c8e965e6fc9e74e95400600e0da0c86dd389645355f3ad1.ttf","e1befe23dc5d05be4c8e965e6fc9e74e95400600e0da0c86dd389645355f3ad1")</f>
        <v>e1befe23dc5d05be4c8e965e6fc9e74e95400600e0da0c86dd389645355f3ad1</v>
      </c>
      <c r="I407" s="1" t="s">
        <v>3413</v>
      </c>
      <c r="J407" s="2" t="s">
        <v>3444</v>
      </c>
      <c r="K407" s="2" t="s">
        <v>3444</v>
      </c>
      <c r="L407" s="2" t="s">
        <v>3415</v>
      </c>
      <c r="M407" s="2" t="n">
        <v>94308</v>
      </c>
      <c r="N407" s="2" t="s">
        <v>3445</v>
      </c>
    </row>
    <row r="408" customFormat="false" ht="18.7" hidden="false" customHeight="true" outlineLevel="0" collapsed="false">
      <c r="A408" s="1" t="n">
        <v>407</v>
      </c>
      <c r="B408" s="7" t="str">
        <f aca="false">HYPERLINK("https://mncourtfraud.com/file/27-CR-20-25524.pdf","27-CR-20-25524")</f>
        <v>27-CR-20-25524</v>
      </c>
      <c r="C408" s="1" t="n">
        <v>1</v>
      </c>
      <c r="D408" s="2" t="s">
        <v>12</v>
      </c>
      <c r="E408" s="8" t="n">
        <v>44895</v>
      </c>
      <c r="F408" s="2" t="s">
        <v>15</v>
      </c>
      <c r="G408" s="7" t="str">
        <f aca="false">HYPERLINK("https://mncourtfraud.com/file/MCRO_27-CR-20-25524_Order-Evaluation for Competency to Proceed (Rule 20.01)_2022-11-30_20251126180238.pdf","MCRO_27-CR-20-25524_Order-Evaluation for Competency to Proceed (Rule 20.01)_2022-11-30_20251126180238.pdf")</f>
        <v>MCRO_27-CR-20-25524_Order-Evaluation for Competency to Proceed (Rule 20.01)_2022-11-30_20251126180238.pdf</v>
      </c>
      <c r="H408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408" s="1" t="s">
        <v>3413</v>
      </c>
      <c r="J408" s="2" t="s">
        <v>3423</v>
      </c>
      <c r="K408" s="2" t="s">
        <v>3423</v>
      </c>
      <c r="L408" s="2" t="s">
        <v>3415</v>
      </c>
      <c r="M408" s="2" t="n">
        <v>11088</v>
      </c>
    </row>
    <row r="409" customFormat="false" ht="18.7" hidden="false" customHeight="true" outlineLevel="0" collapsed="false">
      <c r="A409" s="1" t="n">
        <v>408</v>
      </c>
      <c r="B409" s="7" t="str">
        <f aca="false">HYPERLINK("https://mncourtfraud.com/file/27-CR-20-25524.pdf","27-CR-20-25524")</f>
        <v>27-CR-20-25524</v>
      </c>
      <c r="C409" s="1" t="n">
        <v>1</v>
      </c>
      <c r="D409" s="2" t="s">
        <v>12</v>
      </c>
      <c r="E409" s="8" t="n">
        <v>44895</v>
      </c>
      <c r="F409" s="2" t="s">
        <v>15</v>
      </c>
      <c r="G409" s="7" t="str">
        <f aca="false">HYPERLINK("https://mncourtfraud.com/file/MCRO_27-CR-20-25524_Order-Evaluation for Competency to Proceed (Rule 20.01)_2022-11-30_20251126180238.pdf","MCRO_27-CR-20-25524_Order-Evaluation for Competency to Proceed (Rule 20.01)_2022-11-30_20251126180238.pdf")</f>
        <v>MCRO_27-CR-20-25524_Order-Evaluation for Competency to Proceed (Rule 20.01)_2022-11-30_20251126180238.pdf</v>
      </c>
      <c r="H409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409" s="1" t="s">
        <v>3413</v>
      </c>
      <c r="J409" s="2" t="s">
        <v>3446</v>
      </c>
      <c r="K409" s="2" t="s">
        <v>3446</v>
      </c>
      <c r="L409" s="2" t="s">
        <v>3415</v>
      </c>
      <c r="M409" s="2" t="n">
        <v>55072</v>
      </c>
      <c r="N409" s="2" t="s">
        <v>3447</v>
      </c>
    </row>
    <row r="410" customFormat="false" ht="18.7" hidden="false" customHeight="true" outlineLevel="0" collapsed="false">
      <c r="A410" s="1" t="n">
        <v>409</v>
      </c>
      <c r="B410" s="7" t="str">
        <f aca="false">HYPERLINK("https://mncourtfraud.com/file/27-CR-20-25524.pdf","27-CR-20-25524")</f>
        <v>27-CR-20-25524</v>
      </c>
      <c r="C410" s="1" t="n">
        <v>1</v>
      </c>
      <c r="D410" s="2" t="s">
        <v>12</v>
      </c>
      <c r="E410" s="8" t="n">
        <v>44895</v>
      </c>
      <c r="F410" s="2" t="s">
        <v>15</v>
      </c>
      <c r="G410" s="7" t="str">
        <f aca="false">HYPERLINK("https://mncourtfraud.com/file/MCRO_27-CR-20-25524_Order-Evaluation for Competency to Proceed (Rule 20.01)_2022-11-30_20251126180238.pdf","MCRO_27-CR-20-25524_Order-Evaluation for Competency to Proceed (Rule 20.01)_2022-11-30_20251126180238.pdf")</f>
        <v>MCRO_27-CR-20-25524_Order-Evaluation for Competency to Proceed (Rule 20.01)_2022-11-30_20251126180238.pdf</v>
      </c>
      <c r="H410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410" s="1" t="s">
        <v>3413</v>
      </c>
      <c r="J410" s="2" t="s">
        <v>3424</v>
      </c>
      <c r="K410" s="2" t="s">
        <v>3424</v>
      </c>
      <c r="L410" s="2" t="s">
        <v>3415</v>
      </c>
      <c r="M410" s="2" t="n">
        <v>14252</v>
      </c>
    </row>
    <row r="411" customFormat="false" ht="18.7" hidden="false" customHeight="true" outlineLevel="0" collapsed="false">
      <c r="A411" s="1" t="n">
        <v>410</v>
      </c>
      <c r="B411" s="7" t="str">
        <f aca="false">HYPERLINK("https://mncourtfraud.com/file/27-CR-20-25524.pdf","27-CR-20-25524")</f>
        <v>27-CR-20-25524</v>
      </c>
      <c r="C411" s="1" t="n">
        <v>1</v>
      </c>
      <c r="D411" s="2" t="s">
        <v>12</v>
      </c>
      <c r="E411" s="8" t="n">
        <v>44895</v>
      </c>
      <c r="F411" s="2" t="s">
        <v>15</v>
      </c>
      <c r="G411" s="7" t="str">
        <f aca="false">HYPERLINK("https://mncourtfraud.com/file/MCRO_27-CR-20-25524_Order-Evaluation for Competency to Proceed (Rule 20.01)_2022-11-30_20251126180238.pdf","MCRO_27-CR-20-25524_Order-Evaluation for Competency to Proceed (Rule 20.01)_2022-11-30_20251126180238.pdf")</f>
        <v>MCRO_27-CR-20-25524_Order-Evaluation for Competency to Proceed (Rule 20.01)_2022-11-30_20251126180238.pdf</v>
      </c>
      <c r="H411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411" s="1" t="s">
        <v>3406</v>
      </c>
      <c r="K411" s="2" t="s">
        <v>3420</v>
      </c>
      <c r="L411" s="2" t="s">
        <v>3408</v>
      </c>
      <c r="M411" s="2" t="n">
        <v>7306</v>
      </c>
      <c r="O411" s="2" t="s">
        <v>3409</v>
      </c>
      <c r="P411" s="2" t="s">
        <v>3410</v>
      </c>
      <c r="S411" s="2" t="n">
        <v>319</v>
      </c>
      <c r="T411" s="2" t="n">
        <v>105</v>
      </c>
    </row>
    <row r="412" customFormat="false" ht="18.7" hidden="false" customHeight="true" outlineLevel="0" collapsed="false">
      <c r="A412" s="1" t="n">
        <v>411</v>
      </c>
      <c r="B412" s="7" t="str">
        <f aca="false">HYPERLINK("https://mncourtfraud.com/file/27-CR-20-25524.pdf","27-CR-20-25524")</f>
        <v>27-CR-20-25524</v>
      </c>
      <c r="C412" s="1" t="n">
        <v>1</v>
      </c>
      <c r="D412" s="2" t="s">
        <v>12</v>
      </c>
      <c r="E412" s="8" t="n">
        <v>44895</v>
      </c>
      <c r="F412" s="2" t="s">
        <v>15</v>
      </c>
      <c r="G412" s="7" t="str">
        <f aca="false">HYPERLINK("https://mncourtfraud.com/file/MCRO_27-CR-20-25524_Order-Evaluation for Competency to Proceed (Rule 20.01)_2022-11-30_20251126180238.pdf","MCRO_27-CR-20-25524_Order-Evaluation for Competency to Proceed (Rule 20.01)_2022-11-30_20251126180238.pdf")</f>
        <v>MCRO_27-CR-20-25524_Order-Evaluation for Competency to Proceed (Rule 20.01)_2022-11-30_20251126180238.pdf</v>
      </c>
      <c r="H412" s="7" t="str">
        <f aca="false">HYPERLINK("https://mncourtfraud.com/file/677e52a3b8403ce87e338b0a2e31e6f8e5ddf03fb0ca7043a341135cf0255eaa.ttf","677e52a3b8403ce87e338b0a2e31e6f8e5ddf03fb0ca7043a341135cf0255eaa")</f>
        <v>677e52a3b8403ce87e338b0a2e31e6f8e5ddf03fb0ca7043a341135cf0255eaa</v>
      </c>
      <c r="I412" s="1" t="s">
        <v>3413</v>
      </c>
      <c r="J412" s="2" t="s">
        <v>3422</v>
      </c>
      <c r="K412" s="2" t="s">
        <v>3422</v>
      </c>
      <c r="L412" s="2" t="s">
        <v>3415</v>
      </c>
      <c r="M412" s="2" t="n">
        <v>149960</v>
      </c>
    </row>
    <row r="413" customFormat="false" ht="18.7" hidden="false" customHeight="true" outlineLevel="0" collapsed="false">
      <c r="A413" s="1" t="n">
        <v>412</v>
      </c>
      <c r="B413" s="7" t="str">
        <f aca="false">HYPERLINK("https://mncourtfraud.com/file/27-CR-20-25524.pdf","27-CR-20-25524")</f>
        <v>27-CR-20-25524</v>
      </c>
      <c r="C413" s="1" t="n">
        <v>1</v>
      </c>
      <c r="D413" s="2" t="s">
        <v>12</v>
      </c>
      <c r="E413" s="8" t="n">
        <v>44895</v>
      </c>
      <c r="F413" s="2" t="s">
        <v>15</v>
      </c>
      <c r="G413" s="7" t="str">
        <f aca="false">HYPERLINK("https://mncourtfraud.com/file/MCRO_27-CR-20-25524_Order-Evaluation for Competency to Proceed (Rule 20.01)_2022-11-30_20251126180238.pdf","MCRO_27-CR-20-25524_Order-Evaluation for Competency to Proceed (Rule 20.01)_2022-11-30_20251126180238.pdf")</f>
        <v>MCRO_27-CR-20-25524_Order-Evaluation for Competency to Proceed (Rule 20.01)_2022-11-30_20251126180238.pdf</v>
      </c>
      <c r="H413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413" s="1" t="s">
        <v>3413</v>
      </c>
      <c r="J413" s="2" t="s">
        <v>3448</v>
      </c>
      <c r="K413" s="2" t="s">
        <v>3448</v>
      </c>
      <c r="L413" s="2" t="s">
        <v>3415</v>
      </c>
      <c r="M413" s="2" t="n">
        <v>916684</v>
      </c>
    </row>
    <row r="414" customFormat="false" ht="18.7" hidden="false" customHeight="true" outlineLevel="0" collapsed="false">
      <c r="A414" s="1" t="n">
        <v>413</v>
      </c>
      <c r="B414" s="7" t="str">
        <f aca="false">HYPERLINK("https://mncourtfraud.com/file/27-CR-20-25524.pdf","27-CR-20-25524")</f>
        <v>27-CR-20-25524</v>
      </c>
      <c r="C414" s="1" t="n">
        <v>1</v>
      </c>
      <c r="D414" s="2" t="s">
        <v>12</v>
      </c>
      <c r="E414" s="8" t="n">
        <v>44895</v>
      </c>
      <c r="F414" s="2" t="s">
        <v>15</v>
      </c>
      <c r="G414" s="7" t="str">
        <f aca="false">HYPERLINK("https://mncourtfraud.com/file/MCRO_27-CR-20-25524_Order-Evaluation for Competency to Proceed (Rule 20.01)_2022-11-30_20251126180238.pdf","MCRO_27-CR-20-25524_Order-Evaluation for Competency to Proceed (Rule 20.01)_2022-11-30_20251126180238.pdf")</f>
        <v>MCRO_27-CR-20-25524_Order-Evaluation for Competency to Proceed (Rule 20.01)_2022-11-30_20251126180238.pdf</v>
      </c>
      <c r="H414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414" s="1" t="s">
        <v>3406</v>
      </c>
      <c r="K414" s="2" t="s">
        <v>3425</v>
      </c>
      <c r="L414" s="2" t="s">
        <v>3408</v>
      </c>
      <c r="M414" s="2" t="n">
        <v>21225</v>
      </c>
      <c r="O414" s="2" t="s">
        <v>3409</v>
      </c>
      <c r="P414" s="2" t="s">
        <v>3410</v>
      </c>
      <c r="S414" s="2" t="n">
        <v>319</v>
      </c>
      <c r="T414" s="2" t="n">
        <v>105</v>
      </c>
    </row>
    <row r="415" customFormat="false" ht="18.7" hidden="false" customHeight="true" outlineLevel="0" collapsed="false">
      <c r="A415" s="1" t="n">
        <v>414</v>
      </c>
      <c r="B415" s="7" t="str">
        <f aca="false">HYPERLINK("https://mncourtfraud.com/file/27-CR-20-25524.pdf","27-CR-20-25524")</f>
        <v>27-CR-20-25524</v>
      </c>
      <c r="C415" s="1" t="n">
        <v>1</v>
      </c>
      <c r="D415" s="2" t="s">
        <v>12</v>
      </c>
      <c r="E415" s="8" t="n">
        <v>44895</v>
      </c>
      <c r="F415" s="2" t="s">
        <v>15</v>
      </c>
      <c r="G415" s="7" t="str">
        <f aca="false">HYPERLINK("https://mncourtfraud.com/file/MCRO_27-CR-20-25524_Order-Evaluation for Competency to Proceed (Rule 20.01)_2022-11-30_20251126180238.pdf","MCRO_27-CR-20-25524_Order-Evaluation for Competency to Proceed (Rule 20.01)_2022-11-30_20251126180238.pdf")</f>
        <v>MCRO_27-CR-20-25524_Order-Evaluation for Competency to Proceed (Rule 20.01)_2022-11-30_20251126180238.pdf</v>
      </c>
      <c r="H415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415" s="1" t="s">
        <v>3413</v>
      </c>
      <c r="J415" s="2" t="s">
        <v>3449</v>
      </c>
      <c r="K415" s="2" t="s">
        <v>3449</v>
      </c>
      <c r="L415" s="2" t="s">
        <v>3415</v>
      </c>
      <c r="M415" s="2" t="n">
        <v>124664</v>
      </c>
    </row>
    <row r="416" customFormat="false" ht="18.7" hidden="false" customHeight="true" outlineLevel="0" collapsed="false">
      <c r="A416" s="1" t="n">
        <v>415</v>
      </c>
      <c r="B416" s="7" t="str">
        <f aca="false">HYPERLINK("https://mncourtfraud.com/file/27-CR-20-25524.pdf","27-CR-20-25524")</f>
        <v>27-CR-20-25524</v>
      </c>
      <c r="C416" s="1" t="n">
        <v>1</v>
      </c>
      <c r="D416" s="2" t="s">
        <v>12</v>
      </c>
      <c r="E416" s="8" t="n">
        <v>44895</v>
      </c>
      <c r="F416" s="2" t="s">
        <v>15</v>
      </c>
      <c r="G416" s="7" t="str">
        <f aca="false">HYPERLINK("https://mncourtfraud.com/file/MCRO_27-CR-20-25524_Order-Evaluation for Competency to Proceed (Rule 20.01)_2022-11-30_20251126180238.pdf","MCRO_27-CR-20-25524_Order-Evaluation for Competency to Proceed (Rule 20.01)_2022-11-30_20251126180238.pdf")</f>
        <v>MCRO_27-CR-20-25524_Order-Evaluation for Competency to Proceed (Rule 20.01)_2022-11-30_20251126180238.pdf</v>
      </c>
      <c r="H416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416" s="1" t="s">
        <v>3413</v>
      </c>
      <c r="J416" s="2" t="s">
        <v>3449</v>
      </c>
      <c r="K416" s="2" t="s">
        <v>3449</v>
      </c>
      <c r="L416" s="2" t="s">
        <v>3415</v>
      </c>
      <c r="M416" s="2" t="n">
        <v>124664</v>
      </c>
    </row>
    <row r="417" customFormat="false" ht="18.7" hidden="false" customHeight="true" outlineLevel="0" collapsed="false">
      <c r="A417" s="1" t="n">
        <v>416</v>
      </c>
      <c r="B417" s="7" t="str">
        <f aca="false">HYPERLINK("https://mncourtfraud.com/file/27-CR-20-25524.pdf","27-CR-20-25524")</f>
        <v>27-CR-20-25524</v>
      </c>
      <c r="C417" s="1" t="n">
        <v>1</v>
      </c>
      <c r="D417" s="2" t="s">
        <v>12</v>
      </c>
      <c r="E417" s="8" t="n">
        <v>45048</v>
      </c>
      <c r="F417" s="2" t="s">
        <v>80</v>
      </c>
      <c r="G417" s="7" t="str">
        <f aca="false">HYPERLINK("https://mncourtfraud.com/file/MCRO_27-CR-20-25524_Finding of Incompetency and Order_2023-05-02_20251126180022.pdf","MCRO_27-CR-20-25524_Finding of Incompetency and Order_2023-05-02_20251126180022.pdf")</f>
        <v>MCRO_27-CR-20-25524_Finding of Incompetency and Order_2023-05-02_20251126180022.pdf</v>
      </c>
      <c r="H417" s="7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417" s="1" t="s">
        <v>3406</v>
      </c>
      <c r="L417" s="2" t="s">
        <v>3412</v>
      </c>
      <c r="M417" s="2" t="n">
        <v>3506</v>
      </c>
      <c r="S417" s="2" t="n">
        <v>1410</v>
      </c>
      <c r="T417" s="2" t="n">
        <v>150</v>
      </c>
    </row>
    <row r="418" customFormat="false" ht="18.7" hidden="false" customHeight="true" outlineLevel="0" collapsed="false">
      <c r="A418" s="1" t="n">
        <v>417</v>
      </c>
      <c r="B418" s="7" t="str">
        <f aca="false">HYPERLINK("https://mncourtfraud.com/file/27-CR-20-25524.pdf","27-CR-20-25524")</f>
        <v>27-CR-20-25524</v>
      </c>
      <c r="C418" s="1" t="n">
        <v>1</v>
      </c>
      <c r="D418" s="2" t="s">
        <v>12</v>
      </c>
      <c r="E418" s="8" t="n">
        <v>45048</v>
      </c>
      <c r="F418" s="2" t="s">
        <v>80</v>
      </c>
      <c r="G418" s="7" t="str">
        <f aca="false">HYPERLINK("https://mncourtfraud.com/file/MCRO_27-CR-20-25524_Finding of Incompetency and Order_2023-05-02_20251126180022.pdf","MCRO_27-CR-20-25524_Finding of Incompetency and Order_2023-05-02_20251126180022.pdf")</f>
        <v>MCRO_27-CR-20-25524_Finding of Incompetency and Order_2023-05-02_20251126180022.pdf</v>
      </c>
      <c r="H418" s="7" t="str">
        <f aca="false">HYPERLINK("https://mncourtfraud.com/file/18befca089509ee2fbaddf9c5b79bf5988523b22d2369743ed9a591b9fc3bdb6.ttf","18befca089509ee2fbaddf9c5b79bf5988523b22d2369743ed9a591b9fc3bdb6")</f>
        <v>18befca089509ee2fbaddf9c5b79bf5988523b22d2369743ed9a591b9fc3bdb6</v>
      </c>
      <c r="I418" s="1" t="s">
        <v>3413</v>
      </c>
      <c r="J418" s="2" t="s">
        <v>3421</v>
      </c>
      <c r="K418" s="2" t="s">
        <v>3450</v>
      </c>
      <c r="L418" s="2" t="s">
        <v>3415</v>
      </c>
      <c r="M418" s="2" t="n">
        <v>115928</v>
      </c>
    </row>
    <row r="419" customFormat="false" ht="18.7" hidden="false" customHeight="true" outlineLevel="0" collapsed="false">
      <c r="A419" s="1" t="n">
        <v>418</v>
      </c>
      <c r="B419" s="7" t="str">
        <f aca="false">HYPERLINK("https://mncourtfraud.com/file/27-CR-20-25524.pdf","27-CR-20-25524")</f>
        <v>27-CR-20-25524</v>
      </c>
      <c r="C419" s="1" t="n">
        <v>1</v>
      </c>
      <c r="D419" s="2" t="s">
        <v>12</v>
      </c>
      <c r="E419" s="8" t="n">
        <v>45048</v>
      </c>
      <c r="F419" s="2" t="s">
        <v>80</v>
      </c>
      <c r="G419" s="7" t="str">
        <f aca="false">HYPERLINK("https://mncourtfraud.com/file/MCRO_27-CR-20-25524_Finding of Incompetency and Order_2023-05-02_20251126180022.pdf","MCRO_27-CR-20-25524_Finding of Incompetency and Order_2023-05-02_20251126180022.pdf")</f>
        <v>MCRO_27-CR-20-25524_Finding of Incompetency and Order_2023-05-02_20251126180022.pdf</v>
      </c>
      <c r="H419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419" s="1" t="s">
        <v>3413</v>
      </c>
      <c r="J419" s="2" t="s">
        <v>3446</v>
      </c>
      <c r="K419" s="2" t="s">
        <v>3446</v>
      </c>
      <c r="L419" s="2" t="s">
        <v>3415</v>
      </c>
      <c r="M419" s="2" t="n">
        <v>55072</v>
      </c>
      <c r="N419" s="2" t="s">
        <v>3447</v>
      </c>
    </row>
    <row r="420" customFormat="false" ht="18.7" hidden="false" customHeight="true" outlineLevel="0" collapsed="false">
      <c r="A420" s="1" t="n">
        <v>419</v>
      </c>
      <c r="B420" s="7" t="str">
        <f aca="false">HYPERLINK("https://mncourtfraud.com/file/27-CR-20-25524.pdf","27-CR-20-25524")</f>
        <v>27-CR-20-25524</v>
      </c>
      <c r="C420" s="1" t="n">
        <v>1</v>
      </c>
      <c r="D420" s="2" t="s">
        <v>12</v>
      </c>
      <c r="E420" s="8" t="n">
        <v>45048</v>
      </c>
      <c r="F420" s="2" t="s">
        <v>80</v>
      </c>
      <c r="G420" s="7" t="str">
        <f aca="false">HYPERLINK("https://mncourtfraud.com/file/MCRO_27-CR-20-25524_Finding of Incompetency and Order_2023-05-02_20251126180022.pdf","MCRO_27-CR-20-25524_Finding of Incompetency and Order_2023-05-02_20251126180022.pdf")</f>
        <v>MCRO_27-CR-20-25524_Finding of Incompetency and Order_2023-05-02_20251126180022.pdf</v>
      </c>
      <c r="H420" s="7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420" s="1" t="s">
        <v>3406</v>
      </c>
      <c r="K420" s="2" t="s">
        <v>3451</v>
      </c>
      <c r="L420" s="2" t="s">
        <v>3408</v>
      </c>
      <c r="M420" s="2" t="n">
        <v>5295</v>
      </c>
      <c r="O420" s="2" t="s">
        <v>3452</v>
      </c>
      <c r="P420" s="2" t="s">
        <v>3410</v>
      </c>
      <c r="S420" s="2" t="n">
        <v>833</v>
      </c>
      <c r="T420" s="2" t="n">
        <v>186</v>
      </c>
    </row>
    <row r="421" customFormat="false" ht="18.7" hidden="false" customHeight="true" outlineLevel="0" collapsed="false">
      <c r="A421" s="1" t="n">
        <v>420</v>
      </c>
      <c r="B421" s="7" t="str">
        <f aca="false">HYPERLINK("https://mncourtfraud.com/file/27-CR-20-25524.pdf","27-CR-20-25524")</f>
        <v>27-CR-20-25524</v>
      </c>
      <c r="C421" s="1" t="n">
        <v>1</v>
      </c>
      <c r="D421" s="2" t="s">
        <v>12</v>
      </c>
      <c r="E421" s="8" t="n">
        <v>45048</v>
      </c>
      <c r="F421" s="2" t="s">
        <v>80</v>
      </c>
      <c r="G421" s="7" t="str">
        <f aca="false">HYPERLINK("https://mncourtfraud.com/file/MCRO_27-CR-20-25524_Finding of Incompetency and Order_2023-05-02_20251126180022.pdf","MCRO_27-CR-20-25524_Finding of Incompetency and Order_2023-05-02_20251126180022.pdf")</f>
        <v>MCRO_27-CR-20-25524_Finding of Incompetency and Order_2023-05-02_20251126180022.pdf</v>
      </c>
      <c r="H421" s="7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421" s="1" t="s">
        <v>3406</v>
      </c>
      <c r="K421" s="2" t="s">
        <v>3453</v>
      </c>
      <c r="L421" s="2" t="s">
        <v>3408</v>
      </c>
      <c r="M421" s="2" t="n">
        <v>3442</v>
      </c>
      <c r="O421" s="2" t="s">
        <v>3454</v>
      </c>
      <c r="P421" s="2" t="s">
        <v>3410</v>
      </c>
      <c r="S421" s="2" t="n">
        <v>857</v>
      </c>
      <c r="T421" s="2" t="n">
        <v>184</v>
      </c>
    </row>
    <row r="422" customFormat="false" ht="18.7" hidden="false" customHeight="true" outlineLevel="0" collapsed="false">
      <c r="A422" s="1" t="n">
        <v>421</v>
      </c>
      <c r="B422" s="7" t="str">
        <f aca="false">HYPERLINK("https://mncourtfraud.com/file/27-CR-20-25524.pdf","27-CR-20-25524")</f>
        <v>27-CR-20-25524</v>
      </c>
      <c r="C422" s="1" t="n">
        <v>1</v>
      </c>
      <c r="D422" s="2" t="s">
        <v>12</v>
      </c>
      <c r="E422" s="8" t="n">
        <v>45048</v>
      </c>
      <c r="F422" s="2" t="s">
        <v>80</v>
      </c>
      <c r="G422" s="7" t="str">
        <f aca="false">HYPERLINK("https://mncourtfraud.com/file/MCRO_27-CR-20-25524_Finding of Incompetency and Order_2023-05-02_20251126180022.pdf","MCRO_27-CR-20-25524_Finding of Incompetency and Order_2023-05-02_20251126180022.pdf")</f>
        <v>MCRO_27-CR-20-25524_Finding of Incompetency and Order_2023-05-02_20251126180022.pdf</v>
      </c>
      <c r="H422" s="7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422" s="1" t="s">
        <v>3406</v>
      </c>
      <c r="L422" s="2" t="s">
        <v>3412</v>
      </c>
      <c r="M422" s="2" t="n">
        <v>3824</v>
      </c>
      <c r="S422" s="2" t="n">
        <v>1850</v>
      </c>
      <c r="T422" s="2" t="n">
        <v>160</v>
      </c>
    </row>
    <row r="423" customFormat="false" ht="18.7" hidden="false" customHeight="true" outlineLevel="0" collapsed="false">
      <c r="A423" s="1" t="n">
        <v>422</v>
      </c>
      <c r="B423" s="7" t="str">
        <f aca="false">HYPERLINK("https://mncourtfraud.com/file/27-CR-20-25524.pdf","27-CR-20-25524")</f>
        <v>27-CR-20-25524</v>
      </c>
      <c r="C423" s="1" t="n">
        <v>1</v>
      </c>
      <c r="D423" s="2" t="s">
        <v>12</v>
      </c>
      <c r="E423" s="8" t="n">
        <v>45048</v>
      </c>
      <c r="F423" s="2" t="s">
        <v>80</v>
      </c>
      <c r="G423" s="7" t="str">
        <f aca="false">HYPERLINK("https://mncourtfraud.com/file/MCRO_27-CR-20-25524_Finding of Incompetency and Order_2023-05-02_20251126180022.pdf","MCRO_27-CR-20-25524_Finding of Incompetency and Order_2023-05-02_20251126180022.pdf")</f>
        <v>MCRO_27-CR-20-25524_Finding of Incompetency and Order_2023-05-02_20251126180022.pdf</v>
      </c>
      <c r="H423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423" s="1" t="s">
        <v>3413</v>
      </c>
      <c r="J423" s="2" t="s">
        <v>3448</v>
      </c>
      <c r="K423" s="2" t="s">
        <v>3448</v>
      </c>
      <c r="L423" s="2" t="s">
        <v>3415</v>
      </c>
      <c r="M423" s="2" t="n">
        <v>916684</v>
      </c>
    </row>
    <row r="424" customFormat="false" ht="18.7" hidden="false" customHeight="true" outlineLevel="0" collapsed="false">
      <c r="A424" s="1" t="n">
        <v>423</v>
      </c>
      <c r="B424" s="7" t="str">
        <f aca="false">HYPERLINK("https://mncourtfraud.com/file/27-CR-20-25524.pdf","27-CR-20-25524")</f>
        <v>27-CR-20-25524</v>
      </c>
      <c r="C424" s="1" t="n">
        <v>1</v>
      </c>
      <c r="D424" s="2" t="s">
        <v>12</v>
      </c>
      <c r="E424" s="8" t="n">
        <v>45093</v>
      </c>
      <c r="F424" s="2" t="s">
        <v>82</v>
      </c>
      <c r="G424" s="7" t="str">
        <f aca="false">HYPERLINK("https://mncourtfraud.com/file/MCRO_27-CR-20-25524_Notice of Case Reassignment_2023-06-16_20251126180103.pdf","MCRO_27-CR-20-25524_Notice of Case Reassignment_2023-06-16_20251126180103.pdf")</f>
        <v>MCRO_27-CR-20-25524_Notice of Case Reassignment_2023-06-16_20251126180103.pdf</v>
      </c>
      <c r="H424" s="7" t="str">
        <f aca="false">HYPERLINK("https://mncourtfraud.com/file/1fd1136a5ae69c0e5068fedf111533c283fb06da71a1aebe96b41cad9a15bb33.ttf","1fd1136a5ae69c0e5068fedf111533c283fb06da71a1aebe96b41cad9a15bb33")</f>
        <v>1fd1136a5ae69c0e5068fedf111533c283fb06da71a1aebe96b41cad9a15bb33</v>
      </c>
      <c r="I424" s="1" t="s">
        <v>3413</v>
      </c>
      <c r="J424" s="2" t="s">
        <v>3455</v>
      </c>
      <c r="K424" s="2" t="s">
        <v>3455</v>
      </c>
      <c r="L424" s="2" t="s">
        <v>3415</v>
      </c>
      <c r="M424" s="2" t="n">
        <v>96348</v>
      </c>
      <c r="N424" s="2" t="s">
        <v>3456</v>
      </c>
    </row>
    <row r="425" customFormat="false" ht="18.7" hidden="false" customHeight="true" outlineLevel="0" collapsed="false">
      <c r="A425" s="1" t="n">
        <v>424</v>
      </c>
      <c r="B425" s="7" t="str">
        <f aca="false">HYPERLINK("https://mncourtfraud.com/file/27-CR-20-25524.pdf","27-CR-20-25524")</f>
        <v>27-CR-20-25524</v>
      </c>
      <c r="C425" s="1" t="n">
        <v>1</v>
      </c>
      <c r="D425" s="2" t="s">
        <v>12</v>
      </c>
      <c r="E425" s="8" t="n">
        <v>45093</v>
      </c>
      <c r="F425" s="2" t="s">
        <v>82</v>
      </c>
      <c r="G425" s="7" t="str">
        <f aca="false">HYPERLINK("https://mncourtfraud.com/file/MCRO_27-CR-20-25524_Notice of Case Reassignment_2023-06-16_20251126180103.pdf","MCRO_27-CR-20-25524_Notice of Case Reassignment_2023-06-16_20251126180103.pdf")</f>
        <v>MCRO_27-CR-20-25524_Notice of Case Reassignment_2023-06-16_20251126180103.pdf</v>
      </c>
      <c r="H425" s="7" t="str">
        <f aca="false">HYPERLINK("https://mncourtfraud.com/file/4b0b043cb476134a2e47a5f4c233d3d0f7a52a3b063b8831356383f89fcd1118.ttf","4b0b043cb476134a2e47a5f4c233d3d0f7a52a3b063b8831356383f89fcd1118")</f>
        <v>4b0b043cb476134a2e47a5f4c233d3d0f7a52a3b063b8831356383f89fcd1118</v>
      </c>
      <c r="I425" s="1" t="s">
        <v>3413</v>
      </c>
      <c r="J425" s="2" t="s">
        <v>3457</v>
      </c>
      <c r="K425" s="2" t="s">
        <v>3457</v>
      </c>
      <c r="L425" s="2" t="s">
        <v>3415</v>
      </c>
      <c r="M425" s="2" t="n">
        <v>79764</v>
      </c>
      <c r="N425" s="2" t="s">
        <v>3458</v>
      </c>
    </row>
    <row r="426" customFormat="false" ht="18.7" hidden="false" customHeight="true" outlineLevel="0" collapsed="false">
      <c r="A426" s="1" t="n">
        <v>425</v>
      </c>
      <c r="B426" s="7" t="str">
        <f aca="false">HYPERLINK("https://mncourtfraud.com/file/27-CR-20-25524.pdf","27-CR-20-25524")</f>
        <v>27-CR-20-25524</v>
      </c>
      <c r="C426" s="1" t="n">
        <v>1</v>
      </c>
      <c r="D426" s="2" t="s">
        <v>12</v>
      </c>
      <c r="E426" s="8" t="n">
        <v>45160</v>
      </c>
      <c r="F426" s="2" t="s">
        <v>15</v>
      </c>
      <c r="G426" s="7" t="str">
        <f aca="false">HYPERLINK("https://mncourtfraud.com/file/MCRO_27-CR-20-25524_Order-Evaluation for Competency to Proceed (Rule 20.01)_2023-08-22_20251126180250.pdf","MCRO_27-CR-20-25524_Order-Evaluation for Competency to Proceed (Rule 20.01)_2023-08-22_20251126180250.pdf")</f>
        <v>MCRO_27-CR-20-25524_Order-Evaluation for Competency to Proceed (Rule 20.01)_2023-08-22_20251126180250.pdf</v>
      </c>
      <c r="H426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426" s="1" t="s">
        <v>3413</v>
      </c>
      <c r="J426" s="2" t="s">
        <v>3449</v>
      </c>
      <c r="K426" s="2" t="s">
        <v>3449</v>
      </c>
      <c r="L426" s="2" t="s">
        <v>3415</v>
      </c>
      <c r="M426" s="2" t="n">
        <v>125504</v>
      </c>
    </row>
    <row r="427" customFormat="false" ht="18.7" hidden="false" customHeight="true" outlineLevel="0" collapsed="false">
      <c r="A427" s="1" t="n">
        <v>426</v>
      </c>
      <c r="B427" s="7" t="str">
        <f aca="false">HYPERLINK("https://mncourtfraud.com/file/27-CR-20-25524.pdf","27-CR-20-25524")</f>
        <v>27-CR-20-25524</v>
      </c>
      <c r="C427" s="1" t="n">
        <v>1</v>
      </c>
      <c r="D427" s="2" t="s">
        <v>12</v>
      </c>
      <c r="E427" s="8" t="n">
        <v>45160</v>
      </c>
      <c r="F427" s="2" t="s">
        <v>15</v>
      </c>
      <c r="G427" s="7" t="str">
        <f aca="false">HYPERLINK("https://mncourtfraud.com/file/MCRO_27-CR-20-25524_Order-Evaluation for Competency to Proceed (Rule 20.01)_2023-08-22_20251126180250.pdf","MCRO_27-CR-20-25524_Order-Evaluation for Competency to Proceed (Rule 20.01)_2023-08-22_20251126180250.pdf")</f>
        <v>MCRO_27-CR-20-25524_Order-Evaluation for Competency to Proceed (Rule 20.01)_2023-08-22_20251126180250.pdf</v>
      </c>
      <c r="H427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427" s="1" t="s">
        <v>3413</v>
      </c>
      <c r="J427" s="2" t="s">
        <v>3449</v>
      </c>
      <c r="K427" s="2" t="s">
        <v>3449</v>
      </c>
      <c r="L427" s="2" t="s">
        <v>3415</v>
      </c>
      <c r="M427" s="2" t="n">
        <v>125504</v>
      </c>
    </row>
    <row r="428" customFormat="false" ht="18.7" hidden="false" customHeight="true" outlineLevel="0" collapsed="false">
      <c r="A428" s="1" t="n">
        <v>427</v>
      </c>
      <c r="B428" s="7" t="str">
        <f aca="false">HYPERLINK("https://mncourtfraud.com/file/27-CR-20-25524.pdf","27-CR-20-25524")</f>
        <v>27-CR-20-25524</v>
      </c>
      <c r="C428" s="1" t="n">
        <v>1</v>
      </c>
      <c r="D428" s="2" t="s">
        <v>12</v>
      </c>
      <c r="E428" s="8" t="n">
        <v>45160</v>
      </c>
      <c r="F428" s="2" t="s">
        <v>15</v>
      </c>
      <c r="G428" s="7" t="str">
        <f aca="false">HYPERLINK("https://mncourtfraud.com/file/MCRO_27-CR-20-25524_Order-Evaluation for Competency to Proceed (Rule 20.01)_2023-08-22_20251126180250.pdf","MCRO_27-CR-20-25524_Order-Evaluation for Competency to Proceed (Rule 20.01)_2023-08-22_20251126180250.pdf")</f>
        <v>MCRO_27-CR-20-25524_Order-Evaluation for Competency to Proceed (Rule 20.01)_2023-08-22_20251126180250.pdf</v>
      </c>
      <c r="H428" s="7" t="str">
        <f aca="false">HYPERLINK("https://mncourtfraud.com/file/0174a154b1dd2c8824c0108a525fa6ced84bf8b7d2fc9696a847700a4f83bb3b.ttf","0174a154b1dd2c8824c0108a525fa6ced84bf8b7d2fc9696a847700a4f83bb3b")</f>
        <v>0174a154b1dd2c8824c0108a525fa6ced84bf8b7d2fc9696a847700a4f83bb3b</v>
      </c>
      <c r="I428" s="1" t="s">
        <v>3413</v>
      </c>
      <c r="J428" s="2" t="s">
        <v>3422</v>
      </c>
      <c r="K428" s="2" t="s">
        <v>3422</v>
      </c>
      <c r="L428" s="2" t="s">
        <v>3415</v>
      </c>
      <c r="M428" s="2" t="n">
        <v>101216</v>
      </c>
    </row>
    <row r="429" customFormat="false" ht="18.7" hidden="false" customHeight="true" outlineLevel="0" collapsed="false">
      <c r="A429" s="1" t="n">
        <v>428</v>
      </c>
      <c r="B429" s="7" t="str">
        <f aca="false">HYPERLINK("https://mncourtfraud.com/file/27-CR-20-25524.pdf","27-CR-20-25524")</f>
        <v>27-CR-20-25524</v>
      </c>
      <c r="C429" s="1" t="n">
        <v>1</v>
      </c>
      <c r="D429" s="2" t="s">
        <v>12</v>
      </c>
      <c r="E429" s="8" t="n">
        <v>45160</v>
      </c>
      <c r="F429" s="2" t="s">
        <v>15</v>
      </c>
      <c r="G429" s="7" t="str">
        <f aca="false">HYPERLINK("https://mncourtfraud.com/file/MCRO_27-CR-20-25524_Order-Evaluation for Competency to Proceed (Rule 20.01)_2023-08-22_20251126180250.pdf","MCRO_27-CR-20-25524_Order-Evaluation for Competency to Proceed (Rule 20.01)_2023-08-22_20251126180250.pdf")</f>
        <v>MCRO_27-CR-20-25524_Order-Evaluation for Competency to Proceed (Rule 20.01)_2023-08-22_20251126180250.pdf</v>
      </c>
      <c r="H429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429" s="1" t="s">
        <v>3413</v>
      </c>
      <c r="J429" s="2" t="s">
        <v>3423</v>
      </c>
      <c r="K429" s="2" t="s">
        <v>3423</v>
      </c>
      <c r="L429" s="2" t="s">
        <v>3415</v>
      </c>
      <c r="M429" s="2" t="n">
        <v>11088</v>
      </c>
    </row>
    <row r="430" customFormat="false" ht="18.7" hidden="false" customHeight="true" outlineLevel="0" collapsed="false">
      <c r="A430" s="1" t="n">
        <v>429</v>
      </c>
      <c r="B430" s="7" t="str">
        <f aca="false">HYPERLINK("https://mncourtfraud.com/file/27-CR-20-25524.pdf","27-CR-20-25524")</f>
        <v>27-CR-20-25524</v>
      </c>
      <c r="C430" s="1" t="n">
        <v>1</v>
      </c>
      <c r="D430" s="2" t="s">
        <v>12</v>
      </c>
      <c r="E430" s="8" t="n">
        <v>45160</v>
      </c>
      <c r="F430" s="2" t="s">
        <v>15</v>
      </c>
      <c r="G430" s="7" t="str">
        <f aca="false">HYPERLINK("https://mncourtfraud.com/file/MCRO_27-CR-20-25524_Order-Evaluation for Competency to Proceed (Rule 20.01)_2023-08-22_20251126180250.pdf","MCRO_27-CR-20-25524_Order-Evaluation for Competency to Proceed (Rule 20.01)_2023-08-22_20251126180250.pdf")</f>
        <v>MCRO_27-CR-20-25524_Order-Evaluation for Competency to Proceed (Rule 20.01)_2023-08-22_20251126180250.pdf</v>
      </c>
      <c r="H430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430" s="1" t="s">
        <v>3413</v>
      </c>
      <c r="J430" s="2" t="s">
        <v>3446</v>
      </c>
      <c r="K430" s="2" t="s">
        <v>3446</v>
      </c>
      <c r="L430" s="2" t="s">
        <v>3415</v>
      </c>
      <c r="M430" s="2" t="n">
        <v>55072</v>
      </c>
      <c r="N430" s="2" t="s">
        <v>3447</v>
      </c>
    </row>
    <row r="431" customFormat="false" ht="18.7" hidden="false" customHeight="true" outlineLevel="0" collapsed="false">
      <c r="A431" s="1" t="n">
        <v>430</v>
      </c>
      <c r="B431" s="7" t="str">
        <f aca="false">HYPERLINK("https://mncourtfraud.com/file/27-CR-20-25524.pdf","27-CR-20-25524")</f>
        <v>27-CR-20-25524</v>
      </c>
      <c r="C431" s="1" t="n">
        <v>1</v>
      </c>
      <c r="D431" s="2" t="s">
        <v>12</v>
      </c>
      <c r="E431" s="8" t="n">
        <v>45160</v>
      </c>
      <c r="F431" s="2" t="s">
        <v>15</v>
      </c>
      <c r="G431" s="7" t="str">
        <f aca="false">HYPERLINK("https://mncourtfraud.com/file/MCRO_27-CR-20-25524_Order-Evaluation for Competency to Proceed (Rule 20.01)_2023-08-22_20251126180250.pdf","MCRO_27-CR-20-25524_Order-Evaluation for Competency to Proceed (Rule 20.01)_2023-08-22_20251126180250.pdf")</f>
        <v>MCRO_27-CR-20-25524_Order-Evaluation for Competency to Proceed (Rule 20.01)_2023-08-22_20251126180250.pdf</v>
      </c>
      <c r="H431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431" s="1" t="s">
        <v>3413</v>
      </c>
      <c r="J431" s="2" t="s">
        <v>3424</v>
      </c>
      <c r="K431" s="2" t="s">
        <v>3424</v>
      </c>
      <c r="L431" s="2" t="s">
        <v>3415</v>
      </c>
      <c r="M431" s="2" t="n">
        <v>14252</v>
      </c>
    </row>
    <row r="432" customFormat="false" ht="18.7" hidden="false" customHeight="true" outlineLevel="0" collapsed="false">
      <c r="A432" s="1" t="n">
        <v>431</v>
      </c>
      <c r="B432" s="7" t="str">
        <f aca="false">HYPERLINK("https://mncourtfraud.com/file/27-CR-20-25524.pdf","27-CR-20-25524")</f>
        <v>27-CR-20-25524</v>
      </c>
      <c r="C432" s="1" t="n">
        <v>1</v>
      </c>
      <c r="D432" s="2" t="s">
        <v>12</v>
      </c>
      <c r="E432" s="8" t="n">
        <v>45160</v>
      </c>
      <c r="F432" s="2" t="s">
        <v>15</v>
      </c>
      <c r="G432" s="7" t="str">
        <f aca="false">HYPERLINK("https://mncourtfraud.com/file/MCRO_27-CR-20-25524_Order-Evaluation for Competency to Proceed (Rule 20.01)_2023-08-22_20251126180250.pdf","MCRO_27-CR-20-25524_Order-Evaluation for Competency to Proceed (Rule 20.01)_2023-08-22_20251126180250.pdf")</f>
        <v>MCRO_27-CR-20-25524_Order-Evaluation for Competency to Proceed (Rule 20.01)_2023-08-22_20251126180250.pdf</v>
      </c>
      <c r="H432" s="7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432" s="1" t="s">
        <v>3406</v>
      </c>
      <c r="L432" s="2" t="s">
        <v>3412</v>
      </c>
      <c r="M432" s="2" t="n">
        <v>5012</v>
      </c>
      <c r="S432" s="2" t="n">
        <v>2740</v>
      </c>
      <c r="T432" s="2" t="n">
        <v>180</v>
      </c>
    </row>
    <row r="433" customFormat="false" ht="18.7" hidden="false" customHeight="true" outlineLevel="0" collapsed="false">
      <c r="A433" s="1" t="n">
        <v>432</v>
      </c>
      <c r="B433" s="7" t="str">
        <f aca="false">HYPERLINK("https://mncourtfraud.com/file/27-CR-20-25524.pdf","27-CR-20-25524")</f>
        <v>27-CR-20-25524</v>
      </c>
      <c r="C433" s="1" t="n">
        <v>1</v>
      </c>
      <c r="D433" s="2" t="s">
        <v>12</v>
      </c>
      <c r="E433" s="8" t="n">
        <v>45160</v>
      </c>
      <c r="F433" s="2" t="s">
        <v>15</v>
      </c>
      <c r="G433" s="7" t="str">
        <f aca="false">HYPERLINK("https://mncourtfraud.com/file/MCRO_27-CR-20-25524_Order-Evaluation for Competency to Proceed (Rule 20.01)_2023-08-22_20251126180250.pdf","MCRO_27-CR-20-25524_Order-Evaluation for Competency to Proceed (Rule 20.01)_2023-08-22_20251126180250.pdf")</f>
        <v>MCRO_27-CR-20-25524_Order-Evaluation for Competency to Proceed (Rule 20.01)_2023-08-22_20251126180250.pdf</v>
      </c>
      <c r="H433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433" s="1" t="s">
        <v>3413</v>
      </c>
      <c r="J433" s="2" t="s">
        <v>3448</v>
      </c>
      <c r="K433" s="2" t="s">
        <v>3448</v>
      </c>
      <c r="L433" s="2" t="s">
        <v>3415</v>
      </c>
      <c r="M433" s="2" t="n">
        <v>916684</v>
      </c>
    </row>
    <row r="434" customFormat="false" ht="18.7" hidden="false" customHeight="true" outlineLevel="0" collapsed="false">
      <c r="A434" s="1" t="n">
        <v>433</v>
      </c>
      <c r="B434" s="7" t="str">
        <f aca="false">HYPERLINK("https://mncourtfraud.com/file/27-CR-20-25524.pdf","27-CR-20-25524")</f>
        <v>27-CR-20-25524</v>
      </c>
      <c r="C434" s="1" t="n">
        <v>1</v>
      </c>
      <c r="D434" s="2" t="s">
        <v>12</v>
      </c>
      <c r="E434" s="8" t="n">
        <v>45160</v>
      </c>
      <c r="F434" s="2" t="s">
        <v>15</v>
      </c>
      <c r="G434" s="7" t="str">
        <f aca="false">HYPERLINK("https://mncourtfraud.com/file/MCRO_27-CR-20-25524_Order-Evaluation for Competency to Proceed (Rule 20.01)_2023-08-22_20251126180250.pdf","MCRO_27-CR-20-25524_Order-Evaluation for Competency to Proceed (Rule 20.01)_2023-08-22_20251126180250.pdf")</f>
        <v>MCRO_27-CR-20-25524_Order-Evaluation for Competency to Proceed (Rule 20.01)_2023-08-22_20251126180250.pdf</v>
      </c>
      <c r="H434" s="7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434" s="1" t="s">
        <v>3406</v>
      </c>
      <c r="K434" s="2" t="s">
        <v>3459</v>
      </c>
      <c r="L434" s="2" t="s">
        <v>3408</v>
      </c>
      <c r="M434" s="2" t="n">
        <v>5220</v>
      </c>
      <c r="O434" s="2" t="s">
        <v>3460</v>
      </c>
      <c r="P434" s="2" t="s">
        <v>3410</v>
      </c>
      <c r="S434" s="2" t="n">
        <v>881</v>
      </c>
      <c r="T434" s="2" t="n">
        <v>216</v>
      </c>
    </row>
    <row r="435" customFormat="false" ht="18.7" hidden="false" customHeight="true" outlineLevel="0" collapsed="false">
      <c r="A435" s="1" t="n">
        <v>434</v>
      </c>
      <c r="B435" s="7" t="str">
        <f aca="false">HYPERLINK("https://mncourtfraud.com/file/27-CR-20-25524.pdf","27-CR-20-25524")</f>
        <v>27-CR-20-25524</v>
      </c>
      <c r="C435" s="1" t="n">
        <v>1</v>
      </c>
      <c r="D435" s="2" t="s">
        <v>12</v>
      </c>
      <c r="E435" s="8" t="n">
        <v>45412</v>
      </c>
      <c r="F435" s="2" t="s">
        <v>15</v>
      </c>
      <c r="G435" s="7" t="str">
        <f aca="false">HYPERLINK("https://mncourtfraud.com/file/MCRO_27-CR-20-25524_Order-Evaluation for Competency to Proceed (Rule 20.01)_2024-04-30_20251126180301.pdf","MCRO_27-CR-20-25524_Order-Evaluation for Competency to Proceed (Rule 20.01)_2024-04-30_20251126180301.pdf")</f>
        <v>MCRO_27-CR-20-25524_Order-Evaluation for Competency to Proceed (Rule 20.01)_2024-04-30_20251126180301.pdf</v>
      </c>
      <c r="H435" s="7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435" s="1" t="s">
        <v>3406</v>
      </c>
      <c r="L435" s="2" t="s">
        <v>3412</v>
      </c>
      <c r="M435" s="2" t="n">
        <v>154549</v>
      </c>
      <c r="S435" s="2" t="n">
        <v>2560</v>
      </c>
      <c r="T435" s="2" t="n">
        <v>3300</v>
      </c>
    </row>
    <row r="436" customFormat="false" ht="18.7" hidden="false" customHeight="true" outlineLevel="0" collapsed="false">
      <c r="A436" s="1" t="n">
        <v>435</v>
      </c>
      <c r="B436" s="7" t="str">
        <f aca="false">HYPERLINK("https://mncourtfraud.com/file/27-CR-20-25524.pdf","27-CR-20-25524")</f>
        <v>27-CR-20-25524</v>
      </c>
      <c r="C436" s="1" t="n">
        <v>1</v>
      </c>
      <c r="D436" s="2" t="s">
        <v>12</v>
      </c>
      <c r="E436" s="8" t="n">
        <v>45412</v>
      </c>
      <c r="F436" s="2" t="s">
        <v>15</v>
      </c>
      <c r="G436" s="7" t="str">
        <f aca="false">HYPERLINK("https://mncourtfraud.com/file/MCRO_27-CR-20-25524_Order-Evaluation for Competency to Proceed (Rule 20.01)_2024-04-30_20251126180301.pdf","MCRO_27-CR-20-25524_Order-Evaluation for Competency to Proceed (Rule 20.01)_2024-04-30_20251126180301.pdf")</f>
        <v>MCRO_27-CR-20-25524_Order-Evaluation for Competency to Proceed (Rule 20.01)_2024-04-30_20251126180301.pdf</v>
      </c>
      <c r="H436" s="7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436" s="1" t="s">
        <v>3406</v>
      </c>
      <c r="L436" s="2" t="s">
        <v>3412</v>
      </c>
      <c r="M436" s="2" t="n">
        <v>180051</v>
      </c>
      <c r="S436" s="2" t="n">
        <v>2560</v>
      </c>
      <c r="T436" s="2" t="n">
        <v>3300</v>
      </c>
    </row>
    <row r="437" customFormat="false" ht="18.7" hidden="false" customHeight="true" outlineLevel="0" collapsed="false">
      <c r="A437" s="1" t="n">
        <v>436</v>
      </c>
      <c r="B437" s="7" t="str">
        <f aca="false">HYPERLINK("https://mncourtfraud.com/file/27-CR-20-25524.pdf","27-CR-20-25524")</f>
        <v>27-CR-20-25524</v>
      </c>
      <c r="C437" s="1" t="n">
        <v>1</v>
      </c>
      <c r="D437" s="2" t="s">
        <v>12</v>
      </c>
      <c r="E437" s="8" t="n">
        <v>45412</v>
      </c>
      <c r="F437" s="2" t="s">
        <v>24</v>
      </c>
      <c r="G437" s="7" t="str">
        <f aca="false">HYPERLINK("https://mncourtfraud.com/file/MCRO_27-CR-20-25524_Order for Conditional Release_2024-04-30_20251126180129.pdf","MCRO_27-CR-20-25524_Order for Conditional Release_2024-04-30_20251126180129.pdf")</f>
        <v>MCRO_27-CR-20-25524_Order for Conditional Release_2024-04-30_20251126180129.pdf</v>
      </c>
      <c r="H437" s="7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437" s="1" t="s">
        <v>3406</v>
      </c>
      <c r="L437" s="2" t="s">
        <v>3412</v>
      </c>
      <c r="M437" s="2" t="n">
        <v>38726</v>
      </c>
      <c r="S437" s="2" t="n">
        <v>2560</v>
      </c>
      <c r="T437" s="2" t="n">
        <v>3300</v>
      </c>
    </row>
    <row r="438" customFormat="false" ht="18.7" hidden="false" customHeight="true" outlineLevel="0" collapsed="false">
      <c r="A438" s="1" t="n">
        <v>437</v>
      </c>
      <c r="B438" s="7" t="str">
        <f aca="false">HYPERLINK("https://mncourtfraud.com/file/27-CR-20-25524.pdf","27-CR-20-25524")</f>
        <v>27-CR-20-25524</v>
      </c>
      <c r="C438" s="1" t="n">
        <v>1</v>
      </c>
      <c r="D438" s="2" t="s">
        <v>12</v>
      </c>
      <c r="E438" s="8" t="n">
        <v>45412</v>
      </c>
      <c r="F438" s="2" t="s">
        <v>15</v>
      </c>
      <c r="G438" s="7" t="str">
        <f aca="false">HYPERLINK("https://mncourtfraud.com/file/MCRO_27-CR-20-25524_Order-Evaluation for Competency to Proceed (Rule 20.01)_2024-04-30_20251126180301.pdf","MCRO_27-CR-20-25524_Order-Evaluation for Competency to Proceed (Rule 20.01)_2024-04-30_20251126180301.pdf")</f>
        <v>MCRO_27-CR-20-25524_Order-Evaluation for Competency to Proceed (Rule 20.01)_2024-04-30_20251126180301.pdf</v>
      </c>
      <c r="H438" s="7" t="str">
        <f aca="false">HYPERLINK("https://mncourtfraud.com/file/4db7d2599119dc45c08adba3b9b2ba67e6a3d697261d3f95ca4c5b01777bcfbe.ttf","4db7d2599119dc45c08adba3b9b2ba67e6a3d697261d3f95ca4c5b01777bcfbe")</f>
        <v>4db7d2599119dc45c08adba3b9b2ba67e6a3d697261d3f95ca4c5b01777bcfbe</v>
      </c>
      <c r="I438" s="1" t="s">
        <v>3413</v>
      </c>
      <c r="L438" s="2" t="s">
        <v>3415</v>
      </c>
      <c r="M438" s="2" t="n">
        <v>333576</v>
      </c>
    </row>
    <row r="439" customFormat="false" ht="18.7" hidden="false" customHeight="true" outlineLevel="0" collapsed="false">
      <c r="A439" s="1" t="n">
        <v>438</v>
      </c>
      <c r="B439" s="7" t="str">
        <f aca="false">HYPERLINK("https://mncourtfraud.com/file/27-CR-20-25524.pdf","27-CR-20-25524")</f>
        <v>27-CR-20-25524</v>
      </c>
      <c r="C439" s="1" t="n">
        <v>1</v>
      </c>
      <c r="D439" s="2" t="s">
        <v>12</v>
      </c>
      <c r="E439" s="8" t="n">
        <v>45412</v>
      </c>
      <c r="F439" s="2" t="s">
        <v>15</v>
      </c>
      <c r="G439" s="7" t="str">
        <f aca="false">HYPERLINK("https://mncourtfraud.com/file/MCRO_27-CR-20-25524_Order-Evaluation for Competency to Proceed (Rule 20.01)_2024-04-30_20251126180301.pdf","MCRO_27-CR-20-25524_Order-Evaluation for Competency to Proceed (Rule 20.01)_2024-04-30_20251126180301.pdf")</f>
        <v>MCRO_27-CR-20-25524_Order-Evaluation for Competency to Proceed (Rule 20.01)_2024-04-30_20251126180301.pdf</v>
      </c>
      <c r="H439" s="7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439" s="1" t="s">
        <v>3406</v>
      </c>
      <c r="L439" s="2" t="s">
        <v>3412</v>
      </c>
      <c r="M439" s="2" t="n">
        <v>71271</v>
      </c>
      <c r="S439" s="2" t="n">
        <v>2560</v>
      </c>
      <c r="T439" s="2" t="n">
        <v>3300</v>
      </c>
    </row>
    <row r="440" customFormat="false" ht="18.7" hidden="false" customHeight="true" outlineLevel="0" collapsed="false">
      <c r="A440" s="1" t="n">
        <v>439</v>
      </c>
      <c r="B440" s="7" t="str">
        <f aca="false">HYPERLINK("https://mncourtfraud.com/file/27-CR-20-25524.pdf","27-CR-20-25524")</f>
        <v>27-CR-20-25524</v>
      </c>
      <c r="C440" s="1" t="n">
        <v>1</v>
      </c>
      <c r="D440" s="2" t="s">
        <v>12</v>
      </c>
      <c r="E440" s="8" t="n">
        <v>45412</v>
      </c>
      <c r="F440" s="2" t="s">
        <v>24</v>
      </c>
      <c r="G440" s="7" t="str">
        <f aca="false">HYPERLINK("https://mncourtfraud.com/file/MCRO_27-CR-20-25524_Order for Conditional Release_2024-04-30_20251126180129.pdf","MCRO_27-CR-20-25524_Order for Conditional Release_2024-04-30_20251126180129.pdf")</f>
        <v>MCRO_27-CR-20-25524_Order for Conditional Release_2024-04-30_20251126180129.pdf</v>
      </c>
      <c r="H440" s="7" t="str">
        <f aca="false">HYPERLINK("https://mncourtfraud.com/file/d5cf4f06aaee8f372e6af86dab12d75d131a3ba68ba6baeac4b7b514ef3e0b85.ttf","d5cf4f06aaee8f372e6af86dab12d75d131a3ba68ba6baeac4b7b514ef3e0b85")</f>
        <v>d5cf4f06aaee8f372e6af86dab12d75d131a3ba68ba6baeac4b7b514ef3e0b85</v>
      </c>
      <c r="I440" s="1" t="s">
        <v>3413</v>
      </c>
      <c r="L440" s="2" t="s">
        <v>3415</v>
      </c>
      <c r="M440" s="2" t="n">
        <v>333576</v>
      </c>
    </row>
    <row r="441" customFormat="false" ht="18.7" hidden="false" customHeight="true" outlineLevel="0" collapsed="false">
      <c r="A441" s="1" t="n">
        <v>440</v>
      </c>
      <c r="B441" s="7" t="str">
        <f aca="false">HYPERLINK("https://mncourtfraud.com/file/27-CR-20-25524.pdf","27-CR-20-25524")</f>
        <v>27-CR-20-25524</v>
      </c>
      <c r="C441" s="1" t="n">
        <v>1</v>
      </c>
      <c r="D441" s="2" t="s">
        <v>12</v>
      </c>
      <c r="E441" s="8" t="n">
        <v>45412</v>
      </c>
      <c r="F441" s="2" t="s">
        <v>24</v>
      </c>
      <c r="G441" s="7" t="str">
        <f aca="false">HYPERLINK("https://mncourtfraud.com/file/MCRO_27-CR-20-25524_Order for Conditional Release_2024-04-30_20251126180129.pdf","MCRO_27-CR-20-25524_Order for Conditional Release_2024-04-30_20251126180129.pdf")</f>
        <v>MCRO_27-CR-20-25524_Order for Conditional Release_2024-04-30_20251126180129.pdf</v>
      </c>
      <c r="H441" s="7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441" s="1" t="s">
        <v>3406</v>
      </c>
      <c r="L441" s="2" t="s">
        <v>3412</v>
      </c>
      <c r="M441" s="2" t="n">
        <v>195018</v>
      </c>
      <c r="S441" s="2" t="n">
        <v>2560</v>
      </c>
      <c r="T441" s="2" t="n">
        <v>3300</v>
      </c>
    </row>
    <row r="442" customFormat="false" ht="18.7" hidden="false" customHeight="true" outlineLevel="0" collapsed="false">
      <c r="A442" s="1" t="n">
        <v>441</v>
      </c>
      <c r="B442" s="7" t="str">
        <f aca="false">HYPERLINK("https://mncourtfraud.com/file/27-CR-20-25524.pdf","27-CR-20-25524")</f>
        <v>27-CR-20-25524</v>
      </c>
      <c r="C442" s="1" t="n">
        <v>1</v>
      </c>
      <c r="D442" s="2" t="s">
        <v>12</v>
      </c>
      <c r="E442" s="8" t="n">
        <v>45414</v>
      </c>
      <c r="F442" s="2" t="s">
        <v>15</v>
      </c>
      <c r="G442" s="7" t="str">
        <f aca="false">HYPERLINK("https://mncourtfraud.com/file/MCRO_27-CR-20-25524_Order-Evaluation for Competency to Proceed (Rule 20.01)_2024-05-02_20251126180315.pdf","MCRO_27-CR-20-25524_Order-Evaluation for Competency to Proceed (Rule 20.01)_2024-05-02_20251126180315.pdf")</f>
        <v>MCRO_27-CR-20-25524_Order-Evaluation for Competency to Proceed (Rule 20.01)_2024-05-02_20251126180315.pdf</v>
      </c>
      <c r="H442" s="7" t="str">
        <f aca="false">HYPERLINK("https://mncourtfraud.com/file/2334ffebdb5935692e585dca375f29d2a439ea079415a7870c41d361a1529848.png","2334ffebdb5935692e585dca375f29d2a439ea079415a7870c41d361a1529848")</f>
        <v>2334ffebdb5935692e585dca375f29d2a439ea079415a7870c41d361a1529848</v>
      </c>
      <c r="I442" s="1" t="s">
        <v>3406</v>
      </c>
      <c r="L442" s="2" t="s">
        <v>3412</v>
      </c>
      <c r="M442" s="2" t="n">
        <v>76471</v>
      </c>
      <c r="S442" s="2" t="n">
        <v>2560</v>
      </c>
      <c r="T442" s="2" t="n">
        <v>3300</v>
      </c>
    </row>
    <row r="443" customFormat="false" ht="18.7" hidden="false" customHeight="true" outlineLevel="0" collapsed="false">
      <c r="A443" s="1" t="n">
        <v>442</v>
      </c>
      <c r="B443" s="7" t="str">
        <f aca="false">HYPERLINK("https://mncourtfraud.com/file/27-CR-20-25524.pdf","27-CR-20-25524")</f>
        <v>27-CR-20-25524</v>
      </c>
      <c r="C443" s="1" t="n">
        <v>1</v>
      </c>
      <c r="D443" s="2" t="s">
        <v>12</v>
      </c>
      <c r="E443" s="8" t="n">
        <v>45414</v>
      </c>
      <c r="F443" s="2" t="s">
        <v>15</v>
      </c>
      <c r="G443" s="7" t="str">
        <f aca="false">HYPERLINK("https://mncourtfraud.com/file/MCRO_27-CR-20-25524_Order-Evaluation for Competency to Proceed (Rule 20.01)_2024-05-02_20251126180315.pdf","MCRO_27-CR-20-25524_Order-Evaluation for Competency to Proceed (Rule 20.01)_2024-05-02_20251126180315.pdf")</f>
        <v>MCRO_27-CR-20-25524_Order-Evaluation for Competency to Proceed (Rule 20.01)_2024-05-02_20251126180315.pdf</v>
      </c>
      <c r="H443" s="7" t="str">
        <f aca="false">HYPERLINK("https://mncourtfraud.com/file/6882c3a298d82673f81b62516a8b9eddd3943628cfb8298db94eb0648c0600e7.ttf","6882c3a298d82673f81b62516a8b9eddd3943628cfb8298db94eb0648c0600e7")</f>
        <v>6882c3a298d82673f81b62516a8b9eddd3943628cfb8298db94eb0648c0600e7</v>
      </c>
      <c r="I443" s="1" t="s">
        <v>3413</v>
      </c>
      <c r="L443" s="2" t="s">
        <v>3415</v>
      </c>
      <c r="M443" s="2" t="n">
        <v>333576</v>
      </c>
    </row>
    <row r="444" customFormat="false" ht="18.7" hidden="false" customHeight="true" outlineLevel="0" collapsed="false">
      <c r="A444" s="1" t="n">
        <v>443</v>
      </c>
      <c r="B444" s="7" t="str">
        <f aca="false">HYPERLINK("https://mncourtfraud.com/file/27-CR-20-25524.pdf","27-CR-20-25524")</f>
        <v>27-CR-20-25524</v>
      </c>
      <c r="C444" s="1" t="n">
        <v>1</v>
      </c>
      <c r="D444" s="2" t="s">
        <v>12</v>
      </c>
      <c r="E444" s="8" t="n">
        <v>45414</v>
      </c>
      <c r="F444" s="2" t="s">
        <v>15</v>
      </c>
      <c r="G444" s="7" t="str">
        <f aca="false">HYPERLINK("https://mncourtfraud.com/file/MCRO_27-CR-20-25524_Order-Evaluation for Competency to Proceed (Rule 20.01)_2024-05-02_20251126180315.pdf","MCRO_27-CR-20-25524_Order-Evaluation for Competency to Proceed (Rule 20.01)_2024-05-02_20251126180315.pdf")</f>
        <v>MCRO_27-CR-20-25524_Order-Evaluation for Competency to Proceed (Rule 20.01)_2024-05-02_20251126180315.pdf</v>
      </c>
      <c r="H444" s="7" t="str">
        <f aca="false">HYPERLINK("https://mncourtfraud.com/file/caf59c02284c0a2f7541127a151b675449f1e361ca9fca44cd8f9740d128e177.png","caf59c02284c0a2f7541127a151b675449f1e361ca9fca44cd8f9740d128e177")</f>
        <v>caf59c02284c0a2f7541127a151b675449f1e361ca9fca44cd8f9740d128e177</v>
      </c>
      <c r="I444" s="1" t="s">
        <v>3406</v>
      </c>
      <c r="L444" s="2" t="s">
        <v>3412</v>
      </c>
      <c r="M444" s="2" t="n">
        <v>177701</v>
      </c>
      <c r="S444" s="2" t="n">
        <v>2560</v>
      </c>
      <c r="T444" s="2" t="n">
        <v>3300</v>
      </c>
    </row>
    <row r="445" customFormat="false" ht="18.7" hidden="false" customHeight="true" outlineLevel="0" collapsed="false">
      <c r="A445" s="1" t="n">
        <v>444</v>
      </c>
      <c r="B445" s="7" t="str">
        <f aca="false">HYPERLINK("https://mncourtfraud.com/file/27-CR-20-25524.pdf","27-CR-20-25524")</f>
        <v>27-CR-20-25524</v>
      </c>
      <c r="C445" s="1" t="n">
        <v>1</v>
      </c>
      <c r="D445" s="2" t="s">
        <v>12</v>
      </c>
      <c r="E445" s="8" t="n">
        <v>45414</v>
      </c>
      <c r="F445" s="2" t="s">
        <v>15</v>
      </c>
      <c r="G445" s="7" t="str">
        <f aca="false">HYPERLINK("https://mncourtfraud.com/file/MCRO_27-CR-20-25524_Order-Evaluation for Competency to Proceed (Rule 20.01)_2024-05-02_20251126180315.pdf","MCRO_27-CR-20-25524_Order-Evaluation for Competency to Proceed (Rule 20.01)_2024-05-02_20251126180315.pdf")</f>
        <v>MCRO_27-CR-20-25524_Order-Evaluation for Competency to Proceed (Rule 20.01)_2024-05-02_20251126180315.pdf</v>
      </c>
      <c r="H445" s="7" t="str">
        <f aca="false">HYPERLINK("https://mncourtfraud.com/file/e61deb871206097a5eaa7f170d358fe401857ac0dd968930ba7aed4ad6828a07.png","e61deb871206097a5eaa7f170d358fe401857ac0dd968930ba7aed4ad6828a07")</f>
        <v>e61deb871206097a5eaa7f170d358fe401857ac0dd968930ba7aed4ad6828a07</v>
      </c>
      <c r="I445" s="1" t="s">
        <v>3406</v>
      </c>
      <c r="L445" s="2" t="s">
        <v>3412</v>
      </c>
      <c r="M445" s="2" t="n">
        <v>148084</v>
      </c>
      <c r="S445" s="2" t="n">
        <v>2560</v>
      </c>
      <c r="T445" s="2" t="n">
        <v>3300</v>
      </c>
    </row>
    <row r="446" customFormat="false" ht="18.7" hidden="false" customHeight="true" outlineLevel="0" collapsed="false">
      <c r="A446" s="1" t="n">
        <v>445</v>
      </c>
      <c r="B446" s="7" t="str">
        <f aca="false">HYPERLINK("https://mncourtfraud.com/file/27-CR-20-2581.pdf","27-CR-20-2581")</f>
        <v>27-CR-20-2581</v>
      </c>
      <c r="C446" s="1" t="n">
        <v>1</v>
      </c>
      <c r="D446" s="2" t="s">
        <v>12</v>
      </c>
      <c r="E446" s="8" t="n">
        <v>43970</v>
      </c>
      <c r="F446" s="2" t="s">
        <v>17</v>
      </c>
      <c r="G446" s="7" t="str">
        <f aca="false">HYPERLINK("https://mncourtfraud.com/file/MCRO_27-CR-20-2581_Returned Mail_2020-05-19_20251126180706.pdf","MCRO_27-CR-20-2581_Returned Mail_2020-05-19_20251126180706.pdf")</f>
        <v>MCRO_27-CR-20-2581_Returned Mail_2020-05-19_20251126180706.pdf</v>
      </c>
      <c r="H446" s="7" t="str">
        <f aca="false">HYPERLINK("https://mncourtfraud.com/file/0a6d95d1becdf9eb6c58da13b100362792caefda72d549096c0bda16a04654ea.ttf","0a6d95d1becdf9eb6c58da13b100362792caefda72d549096c0bda16a04654ea")</f>
        <v>0a6d95d1becdf9eb6c58da13b100362792caefda72d549096c0bda16a04654ea</v>
      </c>
      <c r="I446" s="1" t="s">
        <v>3413</v>
      </c>
      <c r="L446" s="2" t="s">
        <v>3415</v>
      </c>
      <c r="M446" s="2" t="n">
        <v>8220</v>
      </c>
    </row>
    <row r="447" customFormat="false" ht="18.7" hidden="false" customHeight="true" outlineLevel="0" collapsed="false">
      <c r="A447" s="1" t="n">
        <v>446</v>
      </c>
      <c r="B447" s="7" t="str">
        <f aca="false">HYPERLINK("https://mncourtfraud.com/file/27-CR-20-2581.pdf","27-CR-20-2581")</f>
        <v>27-CR-20-2581</v>
      </c>
      <c r="C447" s="1" t="n">
        <v>1</v>
      </c>
      <c r="D447" s="2" t="s">
        <v>12</v>
      </c>
      <c r="E447" s="8" t="n">
        <v>43970</v>
      </c>
      <c r="F447" s="2" t="s">
        <v>17</v>
      </c>
      <c r="G447" s="7" t="str">
        <f aca="false">HYPERLINK("https://mncourtfraud.com/file/MCRO_27-CR-20-2581_Returned Mail_2020-05-19_20251126180706.pdf","MCRO_27-CR-20-2581_Returned Mail_2020-05-19_20251126180706.pdf")</f>
        <v>MCRO_27-CR-20-2581_Returned Mail_2020-05-19_20251126180706.pdf</v>
      </c>
      <c r="H447" s="7" t="str">
        <f aca="false">HYPERLINK("https://mncourtfraud.com/file/30bceaaafce4807fd93a4b01e1c63e9a3e3333311b6902c72e7c6066ebd12d80.jpg","30bceaaafce4807fd93a4b01e1c63e9a3e3333311b6902c72e7c6066ebd12d80")</f>
        <v>30bceaaafce4807fd93a4b01e1c63e9a3e3333311b6902c72e7c6066ebd12d80</v>
      </c>
      <c r="I447" s="1" t="s">
        <v>3417</v>
      </c>
      <c r="L447" s="2" t="s">
        <v>3419</v>
      </c>
      <c r="M447" s="2" t="n">
        <v>198731</v>
      </c>
      <c r="S447" s="2" t="n">
        <v>2552</v>
      </c>
      <c r="T447" s="2" t="n">
        <v>3300</v>
      </c>
    </row>
    <row r="448" customFormat="false" ht="18.7" hidden="false" customHeight="true" outlineLevel="0" collapsed="false">
      <c r="A448" s="1" t="n">
        <v>447</v>
      </c>
      <c r="B448" s="7" t="str">
        <f aca="false">HYPERLINK("https://mncourtfraud.com/file/27-CR-20-2581.pdf","27-CR-20-2581")</f>
        <v>27-CR-20-2581</v>
      </c>
      <c r="C448" s="1" t="n">
        <v>1</v>
      </c>
      <c r="D448" s="2" t="s">
        <v>12</v>
      </c>
      <c r="E448" s="8" t="n">
        <v>44103</v>
      </c>
      <c r="F448" s="2" t="s">
        <v>19</v>
      </c>
      <c r="G448" s="7" t="str">
        <f aca="false">HYPERLINK("https://mncourtfraud.com/file/MCRO_27-CR-20-2581_Findings and Order_2020-09-29_20251126180408.pdf","MCRO_27-CR-20-2581_Findings and Order_2020-09-29_20251126180408.pdf")</f>
        <v>MCRO_27-CR-20-2581_Findings and Order_2020-09-29_20251126180408.pdf</v>
      </c>
      <c r="H448" s="7" t="str">
        <f aca="false">HYPERLINK("https://mncourtfraud.com/file/07e316fd6acde14e6752ac35fdb3665e9ff5ef9e00e600946974d23aa824e93e.png","07e316fd6acde14e6752ac35fdb3665e9ff5ef9e00e600946974d23aa824e93e")</f>
        <v>07e316fd6acde14e6752ac35fdb3665e9ff5ef9e00e600946974d23aa824e93e</v>
      </c>
      <c r="I448" s="1" t="s">
        <v>3406</v>
      </c>
      <c r="L448" s="2" t="s">
        <v>3412</v>
      </c>
      <c r="M448" s="2" t="n">
        <v>111400</v>
      </c>
      <c r="S448" s="2" t="n">
        <v>2560</v>
      </c>
      <c r="T448" s="2" t="n">
        <v>3300</v>
      </c>
    </row>
    <row r="449" customFormat="false" ht="18.7" hidden="false" customHeight="true" outlineLevel="0" collapsed="false">
      <c r="A449" s="1" t="n">
        <v>448</v>
      </c>
      <c r="B449" s="7" t="str">
        <f aca="false">HYPERLINK("https://mncourtfraud.com/file/27-CR-20-2581.pdf","27-CR-20-2581")</f>
        <v>27-CR-20-2581</v>
      </c>
      <c r="C449" s="1" t="n">
        <v>1</v>
      </c>
      <c r="D449" s="2" t="s">
        <v>12</v>
      </c>
      <c r="E449" s="8" t="n">
        <v>44103</v>
      </c>
      <c r="F449" s="2" t="s">
        <v>19</v>
      </c>
      <c r="G449" s="7" t="str">
        <f aca="false">HYPERLINK("https://mncourtfraud.com/file/MCRO_27-CR-20-2581_Findings and Order_2020-09-29_20251126180408.pdf","MCRO_27-CR-20-2581_Findings and Order_2020-09-29_20251126180408.pdf")</f>
        <v>MCRO_27-CR-20-2581_Findings and Order_2020-09-29_20251126180408.pdf</v>
      </c>
      <c r="H449" s="7" t="str">
        <f aca="false">HYPERLINK("https://mncourtfraud.com/file/11d6853f752025b4a249aab4251b562f847a3e41fb629b4cbcb4ec8dff13315a.png","11d6853f752025b4a249aab4251b562f847a3e41fb629b4cbcb4ec8dff13315a")</f>
        <v>11d6853f752025b4a249aab4251b562f847a3e41fb629b4cbcb4ec8dff13315a</v>
      </c>
      <c r="I449" s="1" t="s">
        <v>3406</v>
      </c>
      <c r="L449" s="2" t="s">
        <v>3412</v>
      </c>
      <c r="M449" s="2" t="n">
        <v>112047</v>
      </c>
      <c r="S449" s="2" t="n">
        <v>2560</v>
      </c>
      <c r="T449" s="2" t="n">
        <v>3300</v>
      </c>
    </row>
    <row r="450" customFormat="false" ht="18.7" hidden="false" customHeight="true" outlineLevel="0" collapsed="false">
      <c r="A450" s="1" t="n">
        <v>449</v>
      </c>
      <c r="B450" s="7" t="str">
        <f aca="false">HYPERLINK("https://mncourtfraud.com/file/27-CR-20-2581.pdf","27-CR-20-2581")</f>
        <v>27-CR-20-2581</v>
      </c>
      <c r="C450" s="1" t="n">
        <v>1</v>
      </c>
      <c r="D450" s="2" t="s">
        <v>12</v>
      </c>
      <c r="E450" s="8" t="n">
        <v>44103</v>
      </c>
      <c r="F450" s="2" t="s">
        <v>19</v>
      </c>
      <c r="G450" s="7" t="str">
        <f aca="false">HYPERLINK("https://mncourtfraud.com/file/MCRO_27-CR-20-2581_Findings and Order_2020-09-29_20251126180408.pdf","MCRO_27-CR-20-2581_Findings and Order_2020-09-29_20251126180408.pdf")</f>
        <v>MCRO_27-CR-20-2581_Findings and Order_2020-09-29_20251126180408.pdf</v>
      </c>
      <c r="H450" s="7" t="str">
        <f aca="false">HYPERLINK("https://mncourtfraud.com/file/127cb2cdb982ab960ee2d2f125b54b1d346457e50895c842b62b1be6393cf7ea.png","127cb2cdb982ab960ee2d2f125b54b1d346457e50895c842b62b1be6393cf7ea")</f>
        <v>127cb2cdb982ab960ee2d2f125b54b1d346457e50895c842b62b1be6393cf7ea</v>
      </c>
      <c r="I450" s="1" t="s">
        <v>3406</v>
      </c>
      <c r="L450" s="2" t="s">
        <v>3412</v>
      </c>
      <c r="M450" s="2" t="n">
        <v>128592</v>
      </c>
      <c r="S450" s="2" t="n">
        <v>2560</v>
      </c>
      <c r="T450" s="2" t="n">
        <v>3300</v>
      </c>
    </row>
    <row r="451" customFormat="false" ht="18.7" hidden="false" customHeight="true" outlineLevel="0" collapsed="false">
      <c r="A451" s="1" t="n">
        <v>450</v>
      </c>
      <c r="B451" s="7" t="str">
        <f aca="false">HYPERLINK("https://mncourtfraud.com/file/27-CR-20-2581.pdf","27-CR-20-2581")</f>
        <v>27-CR-20-2581</v>
      </c>
      <c r="C451" s="1" t="n">
        <v>1</v>
      </c>
      <c r="D451" s="2" t="s">
        <v>12</v>
      </c>
      <c r="E451" s="8" t="n">
        <v>44103</v>
      </c>
      <c r="F451" s="2" t="s">
        <v>19</v>
      </c>
      <c r="G451" s="7" t="str">
        <f aca="false">HYPERLINK("https://mncourtfraud.com/file/MCRO_27-CR-20-2581_Findings and Order_2020-09-29_20251126180408.pdf","MCRO_27-CR-20-2581_Findings and Order_2020-09-29_20251126180408.pdf")</f>
        <v>MCRO_27-CR-20-2581_Findings and Order_2020-09-29_20251126180408.pdf</v>
      </c>
      <c r="H451" s="7" t="str">
        <f aca="false">HYPERLINK("https://mncourtfraud.com/file/5ee07b0391e4f938d4624dade86775142f093b69d44110679cb386a9fcdb51dc.png","5ee07b0391e4f938d4624dade86775142f093b69d44110679cb386a9fcdb51dc")</f>
        <v>5ee07b0391e4f938d4624dade86775142f093b69d44110679cb386a9fcdb51dc</v>
      </c>
      <c r="I451" s="1" t="s">
        <v>3406</v>
      </c>
      <c r="L451" s="2" t="s">
        <v>3412</v>
      </c>
      <c r="M451" s="2" t="n">
        <v>141864</v>
      </c>
      <c r="S451" s="2" t="n">
        <v>2560</v>
      </c>
      <c r="T451" s="2" t="n">
        <v>3300</v>
      </c>
    </row>
    <row r="452" customFormat="false" ht="18.7" hidden="false" customHeight="true" outlineLevel="0" collapsed="false">
      <c r="A452" s="1" t="n">
        <v>451</v>
      </c>
      <c r="B452" s="7" t="str">
        <f aca="false">HYPERLINK("https://mncourtfraud.com/file/27-CR-20-2581.pdf","27-CR-20-2581")</f>
        <v>27-CR-20-2581</v>
      </c>
      <c r="C452" s="1" t="n">
        <v>1</v>
      </c>
      <c r="D452" s="2" t="s">
        <v>12</v>
      </c>
      <c r="E452" s="8" t="n">
        <v>44103</v>
      </c>
      <c r="F452" s="2" t="s">
        <v>19</v>
      </c>
      <c r="G452" s="7" t="str">
        <f aca="false">HYPERLINK("https://mncourtfraud.com/file/MCRO_27-CR-20-2581_Findings and Order_2020-09-29_20251126180408.pdf","MCRO_27-CR-20-2581_Findings and Order_2020-09-29_20251126180408.pdf")</f>
        <v>MCRO_27-CR-20-2581_Findings and Order_2020-09-29_20251126180408.pdf</v>
      </c>
      <c r="H452" s="7" t="str">
        <f aca="false">HYPERLINK("https://mncourtfraud.com/file/9298e052f4612cb0f1a6b3a16e09a68c67c5100b302cdb5815615d0bef9cb57b.png","9298e052f4612cb0f1a6b3a16e09a68c67c5100b302cdb5815615d0bef9cb57b")</f>
        <v>9298e052f4612cb0f1a6b3a16e09a68c67c5100b302cdb5815615d0bef9cb57b</v>
      </c>
      <c r="I452" s="1" t="s">
        <v>3406</v>
      </c>
      <c r="L452" s="2" t="s">
        <v>3412</v>
      </c>
      <c r="M452" s="2" t="n">
        <v>132457</v>
      </c>
      <c r="S452" s="2" t="n">
        <v>2560</v>
      </c>
      <c r="T452" s="2" t="n">
        <v>3300</v>
      </c>
    </row>
    <row r="453" customFormat="false" ht="18.7" hidden="false" customHeight="true" outlineLevel="0" collapsed="false">
      <c r="A453" s="1" t="n">
        <v>452</v>
      </c>
      <c r="B453" s="7" t="str">
        <f aca="false">HYPERLINK("https://mncourtfraud.com/file/27-CR-20-2581.pdf","27-CR-20-2581")</f>
        <v>27-CR-20-2581</v>
      </c>
      <c r="C453" s="1" t="n">
        <v>1</v>
      </c>
      <c r="D453" s="2" t="s">
        <v>12</v>
      </c>
      <c r="E453" s="8" t="n">
        <v>44103</v>
      </c>
      <c r="F453" s="2" t="s">
        <v>19</v>
      </c>
      <c r="G453" s="7" t="str">
        <f aca="false">HYPERLINK("https://mncourtfraud.com/file/MCRO_27-CR-20-2581_Findings and Order_2020-09-29_20251126180408.pdf","MCRO_27-CR-20-2581_Findings and Order_2020-09-29_20251126180408.pdf")</f>
        <v>MCRO_27-CR-20-2581_Findings and Order_2020-09-29_20251126180408.pdf</v>
      </c>
      <c r="H453" s="7" t="str">
        <f aca="false">HYPERLINK("https://mncourtfraud.com/file/ed475875d3636fc55785bfc0d90873f236925934528f91fa7187443759c8d7a9.ttf","ed475875d3636fc55785bfc0d90873f236925934528f91fa7187443759c8d7a9")</f>
        <v>ed475875d3636fc55785bfc0d90873f236925934528f91fa7187443759c8d7a9</v>
      </c>
      <c r="I453" s="1" t="s">
        <v>3413</v>
      </c>
      <c r="L453" s="2" t="s">
        <v>3415</v>
      </c>
      <c r="M453" s="2" t="n">
        <v>12924</v>
      </c>
    </row>
    <row r="454" customFormat="false" ht="18.7" hidden="false" customHeight="true" outlineLevel="0" collapsed="false">
      <c r="A454" s="1" t="n">
        <v>453</v>
      </c>
      <c r="B454" s="7" t="str">
        <f aca="false">HYPERLINK("https://mncourtfraud.com/file/27-CR-20-2581.pdf","27-CR-20-2581")</f>
        <v>27-CR-20-2581</v>
      </c>
      <c r="C454" s="1" t="n">
        <v>1</v>
      </c>
      <c r="D454" s="2" t="s">
        <v>12</v>
      </c>
      <c r="E454" s="8" t="n">
        <v>44225</v>
      </c>
      <c r="F454" s="2" t="s">
        <v>15</v>
      </c>
      <c r="G454" s="7" t="str">
        <f aca="false">HYPERLINK("https://mncourtfraud.com/file/MCRO_27-CR-20-2581_Order-Evaluation for Competency to Proceed (Rule 20.01)_2021-01-29_20251126180652.pdf","MCRO_27-CR-20-2581_Order-Evaluation for Competency to Proceed (Rule 20.01)_2021-01-29_20251126180652.pdf")</f>
        <v>MCRO_27-CR-20-2581_Order-Evaluation for Competency to Proceed (Rule 20.01)_2021-01-29_20251126180652.pdf</v>
      </c>
      <c r="H454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454" s="1" t="s">
        <v>3406</v>
      </c>
      <c r="K454" s="2" t="s">
        <v>3420</v>
      </c>
      <c r="L454" s="2" t="s">
        <v>3408</v>
      </c>
      <c r="M454" s="2" t="n">
        <v>7306</v>
      </c>
      <c r="O454" s="2" t="s">
        <v>3409</v>
      </c>
      <c r="P454" s="2" t="s">
        <v>3410</v>
      </c>
      <c r="S454" s="2" t="n">
        <v>319</v>
      </c>
      <c r="T454" s="2" t="n">
        <v>105</v>
      </c>
    </row>
    <row r="455" customFormat="false" ht="18.7" hidden="false" customHeight="true" outlineLevel="0" collapsed="false">
      <c r="A455" s="1" t="n">
        <v>454</v>
      </c>
      <c r="B455" s="7" t="str">
        <f aca="false">HYPERLINK("https://mncourtfraud.com/file/27-CR-20-2581.pdf","27-CR-20-2581")</f>
        <v>27-CR-20-2581</v>
      </c>
      <c r="C455" s="1" t="n">
        <v>1</v>
      </c>
      <c r="D455" s="2" t="s">
        <v>12</v>
      </c>
      <c r="E455" s="8" t="n">
        <v>44225</v>
      </c>
      <c r="F455" s="2" t="s">
        <v>15</v>
      </c>
      <c r="G455" s="7" t="str">
        <f aca="false">HYPERLINK("https://mncourtfraud.com/file/MCRO_27-CR-20-2581_Order-Evaluation for Competency to Proceed (Rule 20.01)_2021-01-29_20251126180652.pdf","MCRO_27-CR-20-2581_Order-Evaluation for Competency to Proceed (Rule 20.01)_2021-01-29_20251126180652.pdf")</f>
        <v>MCRO_27-CR-20-2581_Order-Evaluation for Competency to Proceed (Rule 20.01)_2021-01-29_20251126180652.pdf</v>
      </c>
      <c r="H455" s="7" t="str">
        <f aca="false">HYPERLINK("https://mncourtfraud.com/file/546304e2050278ff497f628e7aee653da606219dd05bf0397179732462a20afc.ttf","546304e2050278ff497f628e7aee653da606219dd05bf0397179732462a20afc")</f>
        <v>546304e2050278ff497f628e7aee653da606219dd05bf0397179732462a20afc</v>
      </c>
      <c r="I455" s="1" t="s">
        <v>3413</v>
      </c>
      <c r="J455" s="2" t="s">
        <v>3421</v>
      </c>
      <c r="K455" s="2" t="s">
        <v>3421</v>
      </c>
      <c r="L455" s="2" t="s">
        <v>3415</v>
      </c>
      <c r="M455" s="2" t="n">
        <v>399420</v>
      </c>
    </row>
    <row r="456" customFormat="false" ht="18.7" hidden="false" customHeight="true" outlineLevel="0" collapsed="false">
      <c r="A456" s="1" t="n">
        <v>455</v>
      </c>
      <c r="B456" s="7" t="str">
        <f aca="false">HYPERLINK("https://mncourtfraud.com/file/27-CR-20-2581.pdf","27-CR-20-2581")</f>
        <v>27-CR-20-2581</v>
      </c>
      <c r="C456" s="1" t="n">
        <v>1</v>
      </c>
      <c r="D456" s="2" t="s">
        <v>12</v>
      </c>
      <c r="E456" s="8" t="n">
        <v>44225</v>
      </c>
      <c r="F456" s="2" t="s">
        <v>15</v>
      </c>
      <c r="G456" s="7" t="str">
        <f aca="false">HYPERLINK("https://mncourtfraud.com/file/MCRO_27-CR-20-2581_Order-Evaluation for Competency to Proceed (Rule 20.01)_2021-01-29_20251126180652.pdf","MCRO_27-CR-20-2581_Order-Evaluation for Competency to Proceed (Rule 20.01)_2021-01-29_20251126180652.pdf")</f>
        <v>MCRO_27-CR-20-2581_Order-Evaluation for Competency to Proceed (Rule 20.01)_2021-01-29_20251126180652.pdf</v>
      </c>
      <c r="H456" s="7" t="str">
        <f aca="false">HYPERLINK("https://mncourtfraud.com/file/5fe279e2bb67346d4b9382b6d426f3b2037a8a7faa39183d4cc98bf1b3eac581.ttf","5fe279e2bb67346d4b9382b6d426f3b2037a8a7faa39183d4cc98bf1b3eac581")</f>
        <v>5fe279e2bb67346d4b9382b6d426f3b2037a8a7faa39183d4cc98bf1b3eac581</v>
      </c>
      <c r="I456" s="1" t="s">
        <v>3413</v>
      </c>
      <c r="J456" s="2" t="s">
        <v>3422</v>
      </c>
      <c r="K456" s="2" t="s">
        <v>3422</v>
      </c>
      <c r="L456" s="2" t="s">
        <v>3415</v>
      </c>
      <c r="M456" s="2" t="n">
        <v>584320</v>
      </c>
    </row>
    <row r="457" customFormat="false" ht="18.7" hidden="false" customHeight="true" outlineLevel="0" collapsed="false">
      <c r="A457" s="1" t="n">
        <v>456</v>
      </c>
      <c r="B457" s="7" t="str">
        <f aca="false">HYPERLINK("https://mncourtfraud.com/file/27-CR-20-2581.pdf","27-CR-20-2581")</f>
        <v>27-CR-20-2581</v>
      </c>
      <c r="C457" s="1" t="n">
        <v>1</v>
      </c>
      <c r="D457" s="2" t="s">
        <v>12</v>
      </c>
      <c r="E457" s="8" t="n">
        <v>44225</v>
      </c>
      <c r="F457" s="2" t="s">
        <v>15</v>
      </c>
      <c r="G457" s="7" t="str">
        <f aca="false">HYPERLINK("https://mncourtfraud.com/file/MCRO_27-CR-20-2581_Order-Evaluation for Competency to Proceed (Rule 20.01)_2021-01-29_20251126180652.pdf","MCRO_27-CR-20-2581_Order-Evaluation for Competency to Proceed (Rule 20.01)_2021-01-29_20251126180652.pdf")</f>
        <v>MCRO_27-CR-20-2581_Order-Evaluation for Competency to Proceed (Rule 20.01)_2021-01-29_20251126180652.pdf</v>
      </c>
      <c r="H457" s="7" t="str">
        <f aca="false">HYPERLINK("https://mncourtfraud.com/file/b1c2362109b3c1555dd5946549cada931b8066060cb7036e6b0b500de41c44e8.ttf","b1c2362109b3c1555dd5946549cada931b8066060cb7036e6b0b500de41c44e8")</f>
        <v>b1c2362109b3c1555dd5946549cada931b8066060cb7036e6b0b500de41c44e8</v>
      </c>
      <c r="I457" s="1" t="s">
        <v>3413</v>
      </c>
      <c r="J457" s="2" t="s">
        <v>3423</v>
      </c>
      <c r="K457" s="2" t="s">
        <v>3423</v>
      </c>
      <c r="L457" s="2" t="s">
        <v>3415</v>
      </c>
      <c r="M457" s="2" t="n">
        <v>25228</v>
      </c>
    </row>
    <row r="458" customFormat="false" ht="18.7" hidden="false" customHeight="true" outlineLevel="0" collapsed="false">
      <c r="A458" s="1" t="n">
        <v>457</v>
      </c>
      <c r="B458" s="7" t="str">
        <f aca="false">HYPERLINK("https://mncourtfraud.com/file/27-CR-20-2581.pdf","27-CR-20-2581")</f>
        <v>27-CR-20-2581</v>
      </c>
      <c r="C458" s="1" t="n">
        <v>1</v>
      </c>
      <c r="D458" s="2" t="s">
        <v>12</v>
      </c>
      <c r="E458" s="8" t="n">
        <v>44225</v>
      </c>
      <c r="F458" s="2" t="s">
        <v>15</v>
      </c>
      <c r="G458" s="7" t="str">
        <f aca="false">HYPERLINK("https://mncourtfraud.com/file/MCRO_27-CR-20-2581_Order-Evaluation for Competency to Proceed (Rule 20.01)_2021-01-29_20251126180652.pdf","MCRO_27-CR-20-2581_Order-Evaluation for Competency to Proceed (Rule 20.01)_2021-01-29_20251126180652.pdf")</f>
        <v>MCRO_27-CR-20-2581_Order-Evaluation for Competency to Proceed (Rule 20.01)_2021-01-29_20251126180652.pdf</v>
      </c>
      <c r="H458" s="7" t="str">
        <f aca="false">HYPERLINK("https://mncourtfraud.com/file/d2c62141a1ec41646c92beed2b2984b9af228aca51b9dba5d40aa343c9c7fc50.ttf","d2c62141a1ec41646c92beed2b2984b9af228aca51b9dba5d40aa343c9c7fc50")</f>
        <v>d2c62141a1ec41646c92beed2b2984b9af228aca51b9dba5d40aa343c9c7fc50</v>
      </c>
      <c r="I458" s="1" t="s">
        <v>3413</v>
      </c>
      <c r="J458" s="2" t="s">
        <v>3424</v>
      </c>
      <c r="K458" s="2" t="s">
        <v>3424</v>
      </c>
      <c r="L458" s="2" t="s">
        <v>3415</v>
      </c>
      <c r="M458" s="2" t="n">
        <v>29188</v>
      </c>
    </row>
    <row r="459" customFormat="false" ht="18.7" hidden="false" customHeight="true" outlineLevel="0" collapsed="false">
      <c r="A459" s="1" t="n">
        <v>458</v>
      </c>
      <c r="B459" s="7" t="str">
        <f aca="false">HYPERLINK("https://mncourtfraud.com/file/27-CR-20-2581.pdf","27-CR-20-2581")</f>
        <v>27-CR-20-2581</v>
      </c>
      <c r="C459" s="1" t="n">
        <v>1</v>
      </c>
      <c r="D459" s="2" t="s">
        <v>12</v>
      </c>
      <c r="E459" s="8" t="n">
        <v>44225</v>
      </c>
      <c r="F459" s="2" t="s">
        <v>15</v>
      </c>
      <c r="G459" s="7" t="str">
        <f aca="false">HYPERLINK("https://mncourtfraud.com/file/MCRO_27-CR-20-2581_Order-Evaluation for Competency to Proceed (Rule 20.01)_2021-01-29_20251126180652.pdf","MCRO_27-CR-20-2581_Order-Evaluation for Competency to Proceed (Rule 20.01)_2021-01-29_20251126180652.pdf")</f>
        <v>MCRO_27-CR-20-2581_Order-Evaluation for Competency to Proceed (Rule 20.01)_2021-01-29_20251126180652.pdf</v>
      </c>
      <c r="H459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459" s="1" t="s">
        <v>3406</v>
      </c>
      <c r="K459" s="2" t="s">
        <v>3425</v>
      </c>
      <c r="L459" s="2" t="s">
        <v>3408</v>
      </c>
      <c r="M459" s="2" t="n">
        <v>21225</v>
      </c>
      <c r="O459" s="2" t="s">
        <v>3409</v>
      </c>
      <c r="P459" s="2" t="s">
        <v>3410</v>
      </c>
      <c r="S459" s="2" t="n">
        <v>319</v>
      </c>
      <c r="T459" s="2" t="n">
        <v>105</v>
      </c>
    </row>
    <row r="460" customFormat="false" ht="18.7" hidden="false" customHeight="true" outlineLevel="0" collapsed="false">
      <c r="A460" s="1" t="n">
        <v>459</v>
      </c>
      <c r="B460" s="7" t="str">
        <f aca="false">HYPERLINK("https://mncourtfraud.com/file/27-CR-20-2581.pdf","27-CR-20-2581")</f>
        <v>27-CR-20-2581</v>
      </c>
      <c r="C460" s="1" t="n">
        <v>1</v>
      </c>
      <c r="D460" s="2" t="s">
        <v>12</v>
      </c>
      <c r="E460" s="8" t="n">
        <v>44396</v>
      </c>
      <c r="F460" s="2" t="s">
        <v>15</v>
      </c>
      <c r="G460" s="7" t="str">
        <f aca="false">HYPERLINK("https://mncourtfraud.com/file/MCRO_27-CR-20-2581_Order-Evaluation for Competency to Proceed (Rule 20.01)_2021-07-19_20251126180534.pdf","MCRO_27-CR-20-2581_Order-Evaluation for Competency to Proceed (Rule 20.01)_2021-07-19_20251126180534.pdf")</f>
        <v>MCRO_27-CR-20-2581_Order-Evaluation for Competency to Proceed (Rule 20.01)_2021-07-19_20251126180534.pdf</v>
      </c>
      <c r="H460" s="7" t="str">
        <f aca="false">HYPERLINK("https://mncourtfraud.com/file/3c420246f2e65fe170a924adeafbddee6822c4845295b94238ec2620cb857386.png","3c420246f2e65fe170a924adeafbddee6822c4845295b94238ec2620cb857386")</f>
        <v>3c420246f2e65fe170a924adeafbddee6822c4845295b94238ec2620cb857386</v>
      </c>
      <c r="I460" s="1" t="s">
        <v>3406</v>
      </c>
      <c r="L460" s="2" t="s">
        <v>3412</v>
      </c>
      <c r="M460" s="2" t="n">
        <v>143224</v>
      </c>
      <c r="S460" s="2" t="n">
        <v>2550</v>
      </c>
      <c r="T460" s="2" t="n">
        <v>3300</v>
      </c>
    </row>
    <row r="461" customFormat="false" ht="18.7" hidden="false" customHeight="true" outlineLevel="0" collapsed="false">
      <c r="A461" s="1" t="n">
        <v>460</v>
      </c>
      <c r="B461" s="7" t="str">
        <f aca="false">HYPERLINK("https://mncourtfraud.com/file/27-CR-20-2581.pdf","27-CR-20-2581")</f>
        <v>27-CR-20-2581</v>
      </c>
      <c r="C461" s="1" t="n">
        <v>1</v>
      </c>
      <c r="D461" s="2" t="s">
        <v>12</v>
      </c>
      <c r="E461" s="8" t="n">
        <v>44396</v>
      </c>
      <c r="F461" s="2" t="s">
        <v>15</v>
      </c>
      <c r="G461" s="7" t="str">
        <f aca="false">HYPERLINK("https://mncourtfraud.com/file/MCRO_27-CR-20-2581_Order-Evaluation for Competency to Proceed (Rule 20.01)_2021-07-19_20251126180534.pdf","MCRO_27-CR-20-2581_Order-Evaluation for Competency to Proceed (Rule 20.01)_2021-07-19_20251126180534.pdf")</f>
        <v>MCRO_27-CR-20-2581_Order-Evaluation for Competency to Proceed (Rule 20.01)_2021-07-19_20251126180534.pdf</v>
      </c>
      <c r="H461" s="7" t="str">
        <f aca="false">HYPERLINK("https://mncourtfraud.com/file/58f537ca573f9151ef55d63f570125f52090e63a66dd8a4eaee0ac1400dd7962.png","58f537ca573f9151ef55d63f570125f52090e63a66dd8a4eaee0ac1400dd7962")</f>
        <v>58f537ca573f9151ef55d63f570125f52090e63a66dd8a4eaee0ac1400dd7962</v>
      </c>
      <c r="I461" s="1" t="s">
        <v>3406</v>
      </c>
      <c r="L461" s="2" t="s">
        <v>3412</v>
      </c>
      <c r="M461" s="2" t="n">
        <v>150494</v>
      </c>
      <c r="S461" s="2" t="n">
        <v>2550</v>
      </c>
      <c r="T461" s="2" t="n">
        <v>3300</v>
      </c>
    </row>
    <row r="462" customFormat="false" ht="18.7" hidden="false" customHeight="true" outlineLevel="0" collapsed="false">
      <c r="A462" s="1" t="n">
        <v>461</v>
      </c>
      <c r="B462" s="7" t="str">
        <f aca="false">HYPERLINK("https://mncourtfraud.com/file/27-CR-20-2581.pdf","27-CR-20-2581")</f>
        <v>27-CR-20-2581</v>
      </c>
      <c r="C462" s="1" t="n">
        <v>1</v>
      </c>
      <c r="D462" s="2" t="s">
        <v>12</v>
      </c>
      <c r="E462" s="8" t="n">
        <v>44396</v>
      </c>
      <c r="F462" s="2" t="s">
        <v>15</v>
      </c>
      <c r="G462" s="7" t="str">
        <f aca="false">HYPERLINK("https://mncourtfraud.com/file/MCRO_27-CR-20-2581_Order-Evaluation for Competency to Proceed (Rule 20.01)_2021-07-19_20251126180534.pdf","MCRO_27-CR-20-2581_Order-Evaluation for Competency to Proceed (Rule 20.01)_2021-07-19_20251126180534.pdf")</f>
        <v>MCRO_27-CR-20-2581_Order-Evaluation for Competency to Proceed (Rule 20.01)_2021-07-19_20251126180534.pdf</v>
      </c>
      <c r="H462" s="7" t="str">
        <f aca="false">HYPERLINK("https://mncourtfraud.com/file/725b545f986c8733406b8b88256fc0aa48477537a6c6e61c1d25e43a1cbb3d55.ttf","725b545f986c8733406b8b88256fc0aa48477537a6c6e61c1d25e43a1cbb3d55")</f>
        <v>725b545f986c8733406b8b88256fc0aa48477537a6c6e61c1d25e43a1cbb3d55</v>
      </c>
      <c r="I462" s="1" t="s">
        <v>3413</v>
      </c>
      <c r="L462" s="2" t="s">
        <v>3415</v>
      </c>
      <c r="M462" s="2" t="n">
        <v>333584</v>
      </c>
    </row>
    <row r="463" customFormat="false" ht="18.7" hidden="false" customHeight="true" outlineLevel="0" collapsed="false">
      <c r="A463" s="1" t="n">
        <v>462</v>
      </c>
      <c r="B463" s="7" t="str">
        <f aca="false">HYPERLINK("https://mncourtfraud.com/file/27-CR-20-2581.pdf","27-CR-20-2581")</f>
        <v>27-CR-20-2581</v>
      </c>
      <c r="C463" s="1" t="n">
        <v>1</v>
      </c>
      <c r="D463" s="2" t="s">
        <v>12</v>
      </c>
      <c r="E463" s="8" t="n">
        <v>44439</v>
      </c>
      <c r="F463" s="2" t="s">
        <v>19</v>
      </c>
      <c r="G463" s="7" t="str">
        <f aca="false">HYPERLINK("https://mncourtfraud.com/file/MCRO_27-CR-20-2581_Findings and Order_2021-08-31_20251126180418.pdf","MCRO_27-CR-20-2581_Findings and Order_2021-08-31_20251126180418.pdf")</f>
        <v>MCRO_27-CR-20-2581_Findings and Order_2021-08-31_20251126180418.pdf</v>
      </c>
      <c r="H463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463" s="1" t="s">
        <v>3413</v>
      </c>
      <c r="J463" s="2" t="s">
        <v>3426</v>
      </c>
      <c r="K463" s="2" t="s">
        <v>3426</v>
      </c>
      <c r="L463" s="2" t="s">
        <v>3415</v>
      </c>
      <c r="M463" s="2" t="n">
        <v>74997</v>
      </c>
      <c r="N463" s="2" t="s">
        <v>3427</v>
      </c>
    </row>
    <row r="464" customFormat="false" ht="18.7" hidden="false" customHeight="true" outlineLevel="0" collapsed="false">
      <c r="A464" s="1" t="n">
        <v>463</v>
      </c>
      <c r="B464" s="7" t="str">
        <f aca="false">HYPERLINK("https://mncourtfraud.com/file/27-CR-20-2581.pdf","27-CR-20-2581")</f>
        <v>27-CR-20-2581</v>
      </c>
      <c r="C464" s="1" t="n">
        <v>1</v>
      </c>
      <c r="D464" s="2" t="s">
        <v>12</v>
      </c>
      <c r="E464" s="8" t="n">
        <v>44439</v>
      </c>
      <c r="F464" s="2" t="s">
        <v>19</v>
      </c>
      <c r="G464" s="7" t="str">
        <f aca="false">HYPERLINK("https://mncourtfraud.com/file/MCRO_27-CR-20-2581_Findings and Order_2021-08-31_20251126180418.pdf","MCRO_27-CR-20-2581_Findings and Order_2021-08-31_20251126180418.pdf")</f>
        <v>MCRO_27-CR-20-2581_Findings and Order_2021-08-31_20251126180418.pdf</v>
      </c>
      <c r="H464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464" s="1" t="s">
        <v>3413</v>
      </c>
      <c r="J464" s="2" t="s">
        <v>3414</v>
      </c>
      <c r="K464" s="2" t="s">
        <v>3414</v>
      </c>
      <c r="L464" s="2" t="s">
        <v>3415</v>
      </c>
      <c r="M464" s="2" t="n">
        <v>65384</v>
      </c>
    </row>
    <row r="465" customFormat="false" ht="18.7" hidden="false" customHeight="true" outlineLevel="0" collapsed="false">
      <c r="A465" s="1" t="n">
        <v>464</v>
      </c>
      <c r="B465" s="7" t="str">
        <f aca="false">HYPERLINK("https://mncourtfraud.com/file/27-CR-20-2581.pdf","27-CR-20-2581")</f>
        <v>27-CR-20-2581</v>
      </c>
      <c r="C465" s="1" t="n">
        <v>1</v>
      </c>
      <c r="D465" s="2" t="s">
        <v>12</v>
      </c>
      <c r="E465" s="8" t="n">
        <v>44439</v>
      </c>
      <c r="F465" s="2" t="s">
        <v>19</v>
      </c>
      <c r="G465" s="7" t="str">
        <f aca="false">HYPERLINK("https://mncourtfraud.com/file/MCRO_27-CR-20-2581_Findings and Order_2021-08-31_20251126180418.pdf","MCRO_27-CR-20-2581_Findings and Order_2021-08-31_20251126180418.pdf")</f>
        <v>MCRO_27-CR-20-2581_Findings and Order_2021-08-31_20251126180418.pdf</v>
      </c>
      <c r="H465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465" s="1" t="s">
        <v>3413</v>
      </c>
      <c r="J465" s="2" t="s">
        <v>3414</v>
      </c>
      <c r="K465" s="2" t="s">
        <v>3414</v>
      </c>
      <c r="L465" s="2" t="s">
        <v>3415</v>
      </c>
      <c r="M465" s="2" t="n">
        <v>65384</v>
      </c>
    </row>
    <row r="466" customFormat="false" ht="18.7" hidden="false" customHeight="true" outlineLevel="0" collapsed="false">
      <c r="A466" s="1" t="n">
        <v>465</v>
      </c>
      <c r="B466" s="7" t="str">
        <f aca="false">HYPERLINK("https://mncourtfraud.com/file/27-CR-20-2581.pdf","27-CR-20-2581")</f>
        <v>27-CR-20-2581</v>
      </c>
      <c r="C466" s="1" t="n">
        <v>1</v>
      </c>
      <c r="D466" s="2" t="s">
        <v>12</v>
      </c>
      <c r="E466" s="8" t="n">
        <v>44439</v>
      </c>
      <c r="F466" s="2" t="s">
        <v>19</v>
      </c>
      <c r="G466" s="7" t="str">
        <f aca="false">HYPERLINK("https://mncourtfraud.com/file/MCRO_27-CR-20-2581_Findings and Order_2021-08-31_20251126180418.pdf","MCRO_27-CR-20-2581_Findings and Order_2021-08-31_20251126180418.pdf")</f>
        <v>MCRO_27-CR-20-2581_Findings and Order_2021-08-31_20251126180418.pdf</v>
      </c>
      <c r="H466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466" s="1" t="s">
        <v>3428</v>
      </c>
      <c r="J466" s="2" t="s">
        <v>3429</v>
      </c>
      <c r="K466" s="2" t="s">
        <v>3429</v>
      </c>
      <c r="L466" s="2" t="s">
        <v>3415</v>
      </c>
      <c r="M466" s="2" t="n">
        <v>86093</v>
      </c>
    </row>
    <row r="467" customFormat="false" ht="18.7" hidden="false" customHeight="true" outlineLevel="0" collapsed="false">
      <c r="A467" s="1" t="n">
        <v>466</v>
      </c>
      <c r="B467" s="7" t="str">
        <f aca="false">HYPERLINK("https://mncourtfraud.com/file/27-CR-20-2581.pdf","27-CR-20-2581")</f>
        <v>27-CR-20-2581</v>
      </c>
      <c r="C467" s="1" t="n">
        <v>1</v>
      </c>
      <c r="D467" s="2" t="s">
        <v>12</v>
      </c>
      <c r="E467" s="8" t="n">
        <v>44439</v>
      </c>
      <c r="F467" s="2" t="s">
        <v>19</v>
      </c>
      <c r="G467" s="7" t="str">
        <f aca="false">HYPERLINK("https://mncourtfraud.com/file/MCRO_27-CR-20-2581_Findings and Order_2021-08-31_20251126180418.pdf","MCRO_27-CR-20-2581_Findings and Order_2021-08-31_20251126180418.pdf")</f>
        <v>MCRO_27-CR-20-2581_Findings and Order_2021-08-31_20251126180418.pdf</v>
      </c>
      <c r="H467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467" s="1" t="s">
        <v>3406</v>
      </c>
      <c r="K467" s="2" t="s">
        <v>3430</v>
      </c>
      <c r="L467" s="2" t="s">
        <v>3408</v>
      </c>
      <c r="M467" s="2" t="n">
        <v>28069</v>
      </c>
      <c r="O467" s="2" t="s">
        <v>3409</v>
      </c>
      <c r="P467" s="2" t="s">
        <v>3410</v>
      </c>
      <c r="S467" s="2" t="n">
        <v>448</v>
      </c>
      <c r="T467" s="2" t="n">
        <v>128</v>
      </c>
    </row>
    <row r="468" customFormat="false" ht="18.7" hidden="false" customHeight="true" outlineLevel="0" collapsed="false">
      <c r="A468" s="1" t="n">
        <v>467</v>
      </c>
      <c r="B468" s="7" t="str">
        <f aca="false">HYPERLINK("https://mncourtfraud.com/file/27-CR-20-2581.pdf","27-CR-20-2581")</f>
        <v>27-CR-20-2581</v>
      </c>
      <c r="C468" s="1" t="n">
        <v>1</v>
      </c>
      <c r="D468" s="2" t="s">
        <v>12</v>
      </c>
      <c r="E468" s="8" t="n">
        <v>44439</v>
      </c>
      <c r="F468" s="2" t="s">
        <v>19</v>
      </c>
      <c r="G468" s="7" t="str">
        <f aca="false">HYPERLINK("https://mncourtfraud.com/file/MCRO_27-CR-20-2581_Findings and Order_2021-08-31_20251126180418.pdf","MCRO_27-CR-20-2581_Findings and Order_2021-08-31_20251126180418.pdf")</f>
        <v>MCRO_27-CR-20-2581_Findings and Order_2021-08-31_20251126180418.pdf</v>
      </c>
      <c r="H468" s="7" t="str">
        <f aca="false">HYPERLINK("https://mncourtfraud.com/file/d85226137c53579f37f2c87321a4ff209a309a82330591d9457774d7d697befc.ttf","d85226137c53579f37f2c87321a4ff209a309a82330591d9457774d7d697befc")</f>
        <v>d85226137c53579f37f2c87321a4ff209a309a82330591d9457774d7d697befc</v>
      </c>
      <c r="I468" s="1" t="s">
        <v>3413</v>
      </c>
      <c r="J468" s="2" t="s">
        <v>3414</v>
      </c>
      <c r="K468" s="2" t="s">
        <v>3416</v>
      </c>
      <c r="L468" s="2" t="s">
        <v>3415</v>
      </c>
      <c r="M468" s="2" t="n">
        <v>49992</v>
      </c>
    </row>
    <row r="469" customFormat="false" ht="18.7" hidden="false" customHeight="true" outlineLevel="0" collapsed="false">
      <c r="A469" s="1" t="n">
        <v>468</v>
      </c>
      <c r="B469" s="7" t="str">
        <f aca="false">HYPERLINK("https://mncourtfraud.com/file/27-CR-20-2581.pdf","27-CR-20-2581")</f>
        <v>27-CR-20-2581</v>
      </c>
      <c r="C469" s="1" t="n">
        <v>1</v>
      </c>
      <c r="D469" s="2" t="s">
        <v>12</v>
      </c>
      <c r="E469" s="8" t="n">
        <v>44460</v>
      </c>
      <c r="F469" s="2" t="s">
        <v>24</v>
      </c>
      <c r="G469" s="7" t="str">
        <f aca="false">HYPERLINK("https://mncourtfraud.com/file/MCRO_27-CR-20-2581_Order for Conditional Release_2021-09-21_20251126180509.pdf","MCRO_27-CR-20-2581_Order for Conditional Release_2021-09-21_20251126180509.pdf")</f>
        <v>MCRO_27-CR-20-2581_Order for Conditional Release_2021-09-21_20251126180509.pdf</v>
      </c>
      <c r="H469" s="7" t="str">
        <f aca="false">HYPERLINK("https://mncourtfraud.com/file/02dfb6e08fd11b3563d1b9b621b56dbf2dc11acbd85e42bfd83f728fb300bef2.ttf","02dfb6e08fd11b3563d1b9b621b56dbf2dc11acbd85e42bfd83f728fb300bef2")</f>
        <v>02dfb6e08fd11b3563d1b9b621b56dbf2dc11acbd85e42bfd83f728fb300bef2</v>
      </c>
      <c r="I469" s="1" t="s">
        <v>3413</v>
      </c>
      <c r="L469" s="2" t="s">
        <v>3415</v>
      </c>
      <c r="M469" s="2" t="n">
        <v>333576</v>
      </c>
    </row>
    <row r="470" customFormat="false" ht="18.7" hidden="false" customHeight="true" outlineLevel="0" collapsed="false">
      <c r="A470" s="1" t="n">
        <v>469</v>
      </c>
      <c r="B470" s="7" t="str">
        <f aca="false">HYPERLINK("https://mncourtfraud.com/file/27-CR-20-2581.pdf","27-CR-20-2581")</f>
        <v>27-CR-20-2581</v>
      </c>
      <c r="C470" s="1" t="n">
        <v>1</v>
      </c>
      <c r="D470" s="2" t="s">
        <v>12</v>
      </c>
      <c r="E470" s="8" t="n">
        <v>44460</v>
      </c>
      <c r="F470" s="2" t="s">
        <v>24</v>
      </c>
      <c r="G470" s="7" t="str">
        <f aca="false">HYPERLINK("https://mncourtfraud.com/file/MCRO_27-CR-20-2581_Order for Conditional Release_2021-09-21_20251126180509.pdf","MCRO_27-CR-20-2581_Order for Conditional Release_2021-09-21_20251126180509.pdf")</f>
        <v>MCRO_27-CR-20-2581_Order for Conditional Release_2021-09-21_20251126180509.pdf</v>
      </c>
      <c r="H470" s="7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470" s="1" t="s">
        <v>3406</v>
      </c>
      <c r="L470" s="2" t="s">
        <v>3412</v>
      </c>
      <c r="M470" s="2" t="n">
        <v>152962</v>
      </c>
      <c r="S470" s="2" t="n">
        <v>2560</v>
      </c>
      <c r="T470" s="2" t="n">
        <v>3300</v>
      </c>
    </row>
    <row r="471" customFormat="false" ht="18.7" hidden="false" customHeight="true" outlineLevel="0" collapsed="false">
      <c r="A471" s="1" t="n">
        <v>470</v>
      </c>
      <c r="B471" s="7" t="str">
        <f aca="false">HYPERLINK("https://mncourtfraud.com/file/27-CR-20-2581.pdf","27-CR-20-2581")</f>
        <v>27-CR-20-2581</v>
      </c>
      <c r="C471" s="1" t="n">
        <v>1</v>
      </c>
      <c r="D471" s="2" t="s">
        <v>12</v>
      </c>
      <c r="E471" s="8" t="n">
        <v>44468</v>
      </c>
      <c r="F471" s="2" t="s">
        <v>24</v>
      </c>
      <c r="G471" s="7" t="str">
        <f aca="false">HYPERLINK("https://mncourtfraud.com/file/MCRO_27-CR-20-2581_Order for Conditional Release_2021-09-29_20251126180519.pdf","MCRO_27-CR-20-2581_Order for Conditional Release_2021-09-29_20251126180519.pdf")</f>
        <v>MCRO_27-CR-20-2581_Order for Conditional Release_2021-09-29_20251126180519.pdf</v>
      </c>
      <c r="H471" s="7" t="str">
        <f aca="false">HYPERLINK("https://mncourtfraud.com/file/29d541cb6920f2a0815a72232c8164e19ffda7ff89f025261d343aef97d55c23.png","29d541cb6920f2a0815a72232c8164e19ffda7ff89f025261d343aef97d55c23")</f>
        <v>29d541cb6920f2a0815a72232c8164e19ffda7ff89f025261d343aef97d55c23</v>
      </c>
      <c r="I471" s="1" t="s">
        <v>3406</v>
      </c>
      <c r="L471" s="2" t="s">
        <v>3412</v>
      </c>
      <c r="M471" s="2" t="n">
        <v>104</v>
      </c>
      <c r="S471" s="2" t="n">
        <v>5</v>
      </c>
      <c r="T471" s="2" t="n">
        <v>75</v>
      </c>
    </row>
    <row r="472" customFormat="false" ht="18.7" hidden="false" customHeight="true" outlineLevel="0" collapsed="false">
      <c r="A472" s="1" t="n">
        <v>471</v>
      </c>
      <c r="B472" s="7" t="str">
        <f aca="false">HYPERLINK("https://mncourtfraud.com/file/27-CR-20-2581.pdf","27-CR-20-2581")</f>
        <v>27-CR-20-2581</v>
      </c>
      <c r="C472" s="1" t="n">
        <v>1</v>
      </c>
      <c r="D472" s="2" t="s">
        <v>12</v>
      </c>
      <c r="E472" s="8" t="n">
        <v>44468</v>
      </c>
      <c r="F472" s="2" t="s">
        <v>24</v>
      </c>
      <c r="G472" s="7" t="str">
        <f aca="false">HYPERLINK("https://mncourtfraud.com/file/MCRO_27-CR-20-2581_Order for Conditional Release_2021-09-29_20251126180519.pdf","MCRO_27-CR-20-2581_Order for Conditional Release_2021-09-29_20251126180519.pdf")</f>
        <v>MCRO_27-CR-20-2581_Order for Conditional Release_2021-09-29_20251126180519.pdf</v>
      </c>
      <c r="H472" s="7" t="str">
        <f aca="false">HYPERLINK("https://mncourtfraud.com/file/3d978c70f8a4a91fd25d0f653c2931516767fdd837fcadff75a8c3cd2ba3a28e.png","3d978c70f8a4a91fd25d0f653c2931516767fdd837fcadff75a8c3cd2ba3a28e")</f>
        <v>3d978c70f8a4a91fd25d0f653c2931516767fdd837fcadff75a8c3cd2ba3a28e</v>
      </c>
      <c r="I472" s="1" t="s">
        <v>3406</v>
      </c>
      <c r="L472" s="2" t="s">
        <v>3412</v>
      </c>
      <c r="M472" s="2" t="n">
        <v>2435</v>
      </c>
      <c r="S472" s="2" t="n">
        <v>1069</v>
      </c>
      <c r="T472" s="2" t="n">
        <v>679</v>
      </c>
    </row>
    <row r="473" customFormat="false" ht="18.7" hidden="false" customHeight="true" outlineLevel="0" collapsed="false">
      <c r="A473" s="1" t="n">
        <v>472</v>
      </c>
      <c r="B473" s="7" t="str">
        <f aca="false">HYPERLINK("https://mncourtfraud.com/file/27-CR-20-2581.pdf","27-CR-20-2581")</f>
        <v>27-CR-20-2581</v>
      </c>
      <c r="C473" s="1" t="n">
        <v>1</v>
      </c>
      <c r="D473" s="2" t="s">
        <v>12</v>
      </c>
      <c r="E473" s="8" t="n">
        <v>44468</v>
      </c>
      <c r="F473" s="2" t="s">
        <v>24</v>
      </c>
      <c r="G473" s="7" t="str">
        <f aca="false">HYPERLINK("https://mncourtfraud.com/file/MCRO_27-CR-20-2581_Order for Conditional Release_2021-09-29_20251126180519.pdf","MCRO_27-CR-20-2581_Order for Conditional Release_2021-09-29_20251126180519.pdf")</f>
        <v>MCRO_27-CR-20-2581_Order for Conditional Release_2021-09-29_20251126180519.pdf</v>
      </c>
      <c r="H473" s="7" t="str">
        <f aca="false">HYPERLINK("https://mncourtfraud.com/file/3f202249d41f264cabf7a4fd2c634829df7886c25cb759658f06c1a8bca28360.cid","3f202249d41f264cabf7a4fd2c634829df7886c25cb759658f06c1a8bca28360")</f>
        <v>3f202249d41f264cabf7a4fd2c634829df7886c25cb759658f06c1a8bca28360</v>
      </c>
      <c r="I473" s="1" t="s">
        <v>3431</v>
      </c>
      <c r="L473" s="2" t="s">
        <v>3415</v>
      </c>
      <c r="M473" s="2" t="n">
        <v>1397</v>
      </c>
    </row>
    <row r="474" customFormat="false" ht="18.7" hidden="false" customHeight="true" outlineLevel="0" collapsed="false">
      <c r="A474" s="1" t="n">
        <v>473</v>
      </c>
      <c r="B474" s="7" t="str">
        <f aca="false">HYPERLINK("https://mncourtfraud.com/file/27-CR-20-2581.pdf","27-CR-20-2581")</f>
        <v>27-CR-20-2581</v>
      </c>
      <c r="C474" s="1" t="n">
        <v>1</v>
      </c>
      <c r="D474" s="2" t="s">
        <v>12</v>
      </c>
      <c r="E474" s="8" t="n">
        <v>44468</v>
      </c>
      <c r="F474" s="2" t="s">
        <v>24</v>
      </c>
      <c r="G474" s="7" t="str">
        <f aca="false">HYPERLINK("https://mncourtfraud.com/file/MCRO_27-CR-20-2581_Order for Conditional Release_2021-09-29_20251126180519.pdf","MCRO_27-CR-20-2581_Order for Conditional Release_2021-09-29_20251126180519.pdf")</f>
        <v>MCRO_27-CR-20-2581_Order for Conditional Release_2021-09-29_20251126180519.pdf</v>
      </c>
      <c r="H474" s="7" t="str">
        <f aca="false">HYPERLINK("https://mncourtfraud.com/file/425a64ecdc19aa0c86b927b2be8980d179c92ac4af2a49d3c3ad0aa278728c52.png","425a64ecdc19aa0c86b927b2be8980d179c92ac4af2a49d3c3ad0aa278728c52")</f>
        <v>425a64ecdc19aa0c86b927b2be8980d179c92ac4af2a49d3c3ad0aa278728c52</v>
      </c>
      <c r="I474" s="1" t="s">
        <v>3406</v>
      </c>
      <c r="L474" s="2" t="s">
        <v>3412</v>
      </c>
      <c r="M474" s="2" t="n">
        <v>520</v>
      </c>
      <c r="S474" s="2" t="n">
        <v>126</v>
      </c>
      <c r="T474" s="2" t="n">
        <v>150</v>
      </c>
    </row>
    <row r="475" customFormat="false" ht="18.7" hidden="false" customHeight="true" outlineLevel="0" collapsed="false">
      <c r="A475" s="1" t="n">
        <v>474</v>
      </c>
      <c r="B475" s="7" t="str">
        <f aca="false">HYPERLINK("https://mncourtfraud.com/file/27-CR-20-2581.pdf","27-CR-20-2581")</f>
        <v>27-CR-20-2581</v>
      </c>
      <c r="C475" s="1" t="n">
        <v>1</v>
      </c>
      <c r="D475" s="2" t="s">
        <v>12</v>
      </c>
      <c r="E475" s="8" t="n">
        <v>44468</v>
      </c>
      <c r="F475" s="2" t="s">
        <v>24</v>
      </c>
      <c r="G475" s="7" t="str">
        <f aca="false">HYPERLINK("https://mncourtfraud.com/file/MCRO_27-CR-20-2581_Order for Conditional Release_2021-09-29_20251126180519.pdf","MCRO_27-CR-20-2581_Order for Conditional Release_2021-09-29_20251126180519.pdf")</f>
        <v>MCRO_27-CR-20-2581_Order for Conditional Release_2021-09-29_20251126180519.pdf</v>
      </c>
      <c r="H475" s="7" t="str">
        <f aca="false">HYPERLINK("https://mncourtfraud.com/file/4458a2b033c8132fd890227750c1df180ec4563b9dc0a6394b3691240425c9b3.cid","4458a2b033c8132fd890227750c1df180ec4563b9dc0a6394b3691240425c9b3")</f>
        <v>4458a2b033c8132fd890227750c1df180ec4563b9dc0a6394b3691240425c9b3</v>
      </c>
      <c r="I475" s="1" t="s">
        <v>3431</v>
      </c>
      <c r="L475" s="2" t="s">
        <v>3415</v>
      </c>
      <c r="M475" s="2" t="n">
        <v>3580</v>
      </c>
    </row>
    <row r="476" customFormat="false" ht="18.7" hidden="false" customHeight="true" outlineLevel="0" collapsed="false">
      <c r="A476" s="1" t="n">
        <v>475</v>
      </c>
      <c r="B476" s="7" t="str">
        <f aca="false">HYPERLINK("https://mncourtfraud.com/file/27-CR-20-2581.pdf","27-CR-20-2581")</f>
        <v>27-CR-20-2581</v>
      </c>
      <c r="C476" s="1" t="n">
        <v>1</v>
      </c>
      <c r="D476" s="2" t="s">
        <v>12</v>
      </c>
      <c r="E476" s="8" t="n">
        <v>44468</v>
      </c>
      <c r="F476" s="2" t="s">
        <v>24</v>
      </c>
      <c r="G476" s="7" t="str">
        <f aca="false">HYPERLINK("https://mncourtfraud.com/file/MCRO_27-CR-20-2581_Order for Conditional Release_2021-09-29_20251126180519.pdf","MCRO_27-CR-20-2581_Order for Conditional Release_2021-09-29_20251126180519.pdf")</f>
        <v>MCRO_27-CR-20-2581_Order for Conditional Release_2021-09-29_20251126180519.pdf</v>
      </c>
      <c r="H476" s="7" t="str">
        <f aca="false">HYPERLINK("https://mncourtfraud.com/file/45a9f49ddf96d4a4dcf4561d2702204f448986045babf3fdd52fa18200557e31.png","45a9f49ddf96d4a4dcf4561d2702204f448986045babf3fdd52fa18200557e31")</f>
        <v>45a9f49ddf96d4a4dcf4561d2702204f448986045babf3fdd52fa18200557e31</v>
      </c>
      <c r="I476" s="1" t="s">
        <v>3406</v>
      </c>
      <c r="L476" s="2" t="s">
        <v>3412</v>
      </c>
      <c r="M476" s="2" t="n">
        <v>97</v>
      </c>
      <c r="S476" s="2" t="n">
        <v>3</v>
      </c>
      <c r="T476" s="2" t="n">
        <v>4</v>
      </c>
    </row>
    <row r="477" customFormat="false" ht="18.7" hidden="false" customHeight="true" outlineLevel="0" collapsed="false">
      <c r="A477" s="1" t="n">
        <v>476</v>
      </c>
      <c r="B477" s="7" t="str">
        <f aca="false">HYPERLINK("https://mncourtfraud.com/file/27-CR-20-2581.pdf","27-CR-20-2581")</f>
        <v>27-CR-20-2581</v>
      </c>
      <c r="C477" s="1" t="n">
        <v>1</v>
      </c>
      <c r="D477" s="2" t="s">
        <v>12</v>
      </c>
      <c r="E477" s="8" t="n">
        <v>44468</v>
      </c>
      <c r="F477" s="2" t="s">
        <v>24</v>
      </c>
      <c r="G477" s="7" t="str">
        <f aca="false">HYPERLINK("https://mncourtfraud.com/file/MCRO_27-CR-20-2581_Order for Conditional Release_2021-09-29_20251126180519.pdf","MCRO_27-CR-20-2581_Order for Conditional Release_2021-09-29_20251126180519.pdf")</f>
        <v>MCRO_27-CR-20-2581_Order for Conditional Release_2021-09-29_20251126180519.pdf</v>
      </c>
      <c r="H477" s="7" t="str">
        <f aca="false">HYPERLINK("https://mncourtfraud.com/file/50457dc3e0bb6204f128f3222c76884dffaf132a86395902e3967a44a5d511ed.cid","50457dc3e0bb6204f128f3222c76884dffaf132a86395902e3967a44a5d511ed")</f>
        <v>50457dc3e0bb6204f128f3222c76884dffaf132a86395902e3967a44a5d511ed</v>
      </c>
      <c r="I477" s="1" t="s">
        <v>3431</v>
      </c>
      <c r="L477" s="2" t="s">
        <v>3415</v>
      </c>
      <c r="M477" s="2" t="n">
        <v>2839</v>
      </c>
    </row>
    <row r="478" customFormat="false" ht="18.7" hidden="false" customHeight="true" outlineLevel="0" collapsed="false">
      <c r="A478" s="1" t="n">
        <v>477</v>
      </c>
      <c r="B478" s="7" t="str">
        <f aca="false">HYPERLINK("https://mncourtfraud.com/file/27-CR-20-2581.pdf","27-CR-20-2581")</f>
        <v>27-CR-20-2581</v>
      </c>
      <c r="C478" s="1" t="n">
        <v>1</v>
      </c>
      <c r="D478" s="2" t="s">
        <v>12</v>
      </c>
      <c r="E478" s="8" t="n">
        <v>44468</v>
      </c>
      <c r="F478" s="2" t="s">
        <v>24</v>
      </c>
      <c r="G478" s="7" t="str">
        <f aca="false">HYPERLINK("https://mncourtfraud.com/file/MCRO_27-CR-20-2581_Order for Conditional Release_2021-09-29_20251126180519.pdf","MCRO_27-CR-20-2581_Order for Conditional Release_2021-09-29_20251126180519.pdf")</f>
        <v>MCRO_27-CR-20-2581_Order for Conditional Release_2021-09-29_20251126180519.pdf</v>
      </c>
      <c r="H478" s="7" t="str">
        <f aca="false">HYPERLINK("https://mncourtfraud.com/file/52f2827f81e9a21813e5089396a7afa6accf4023998e877d3b9460283e0bb9a5.cid","52f2827f81e9a21813e5089396a7afa6accf4023998e877d3b9460283e0bb9a5")</f>
        <v>52f2827f81e9a21813e5089396a7afa6accf4023998e877d3b9460283e0bb9a5</v>
      </c>
      <c r="I478" s="1" t="s">
        <v>3431</v>
      </c>
      <c r="L478" s="2" t="s">
        <v>3415</v>
      </c>
      <c r="M478" s="2" t="n">
        <v>381</v>
      </c>
    </row>
    <row r="479" customFormat="false" ht="18.7" hidden="false" customHeight="true" outlineLevel="0" collapsed="false">
      <c r="A479" s="1" t="n">
        <v>478</v>
      </c>
      <c r="B479" s="7" t="str">
        <f aca="false">HYPERLINK("https://mncourtfraud.com/file/27-CR-20-2581.pdf","27-CR-20-2581")</f>
        <v>27-CR-20-2581</v>
      </c>
      <c r="C479" s="1" t="n">
        <v>1</v>
      </c>
      <c r="D479" s="2" t="s">
        <v>12</v>
      </c>
      <c r="E479" s="8" t="n">
        <v>44468</v>
      </c>
      <c r="F479" s="2" t="s">
        <v>24</v>
      </c>
      <c r="G479" s="7" t="str">
        <f aca="false">HYPERLINK("https://mncourtfraud.com/file/MCRO_27-CR-20-2581_Order for Conditional Release_2021-09-29_20251126180519.pdf","MCRO_27-CR-20-2581_Order for Conditional Release_2021-09-29_20251126180519.pdf")</f>
        <v>MCRO_27-CR-20-2581_Order for Conditional Release_2021-09-29_20251126180519.pdf</v>
      </c>
      <c r="H479" s="7" t="str">
        <f aca="false">HYPERLINK("https://mncourtfraud.com/file/5bf127b8427f0831bc8864aa549643604be6b63d8ca96ff1ba7182ccec9bc2ad.cid","5bf127b8427f0831bc8864aa549643604be6b63d8ca96ff1ba7182ccec9bc2ad")</f>
        <v>5bf127b8427f0831bc8864aa549643604be6b63d8ca96ff1ba7182ccec9bc2ad</v>
      </c>
      <c r="I479" s="1" t="s">
        <v>3431</v>
      </c>
      <c r="L479" s="2" t="s">
        <v>3415</v>
      </c>
      <c r="M479" s="2" t="n">
        <v>7990</v>
      </c>
    </row>
    <row r="480" customFormat="false" ht="18.7" hidden="false" customHeight="true" outlineLevel="0" collapsed="false">
      <c r="A480" s="1" t="n">
        <v>479</v>
      </c>
      <c r="B480" s="7" t="str">
        <f aca="false">HYPERLINK("https://mncourtfraud.com/file/27-CR-20-2581.pdf","27-CR-20-2581")</f>
        <v>27-CR-20-2581</v>
      </c>
      <c r="C480" s="1" t="n">
        <v>1</v>
      </c>
      <c r="D480" s="2" t="s">
        <v>12</v>
      </c>
      <c r="E480" s="8" t="n">
        <v>44468</v>
      </c>
      <c r="F480" s="2" t="s">
        <v>24</v>
      </c>
      <c r="G480" s="7" t="str">
        <f aca="false">HYPERLINK("https://mncourtfraud.com/file/MCRO_27-CR-20-2581_Order for Conditional Release_2021-09-29_20251126180519.pdf","MCRO_27-CR-20-2581_Order for Conditional Release_2021-09-29_20251126180519.pdf")</f>
        <v>MCRO_27-CR-20-2581_Order for Conditional Release_2021-09-29_20251126180519.pdf</v>
      </c>
      <c r="H480" s="7" t="str">
        <f aca="false">HYPERLINK("https://mncourtfraud.com/file/614121b29b009262816a5b70532c1a04ec73c5d83786c4500719e9e7d614a562.cid","614121b29b009262816a5b70532c1a04ec73c5d83786c4500719e9e7d614a562")</f>
        <v>614121b29b009262816a5b70532c1a04ec73c5d83786c4500719e9e7d614a562</v>
      </c>
      <c r="I480" s="1" t="s">
        <v>3431</v>
      </c>
      <c r="L480" s="2" t="s">
        <v>3415</v>
      </c>
      <c r="M480" s="2" t="n">
        <v>5970</v>
      </c>
    </row>
    <row r="481" customFormat="false" ht="18.7" hidden="false" customHeight="true" outlineLevel="0" collapsed="false">
      <c r="A481" s="1" t="n">
        <v>480</v>
      </c>
      <c r="B481" s="7" t="str">
        <f aca="false">HYPERLINK("https://mncourtfraud.com/file/27-CR-20-2581.pdf","27-CR-20-2581")</f>
        <v>27-CR-20-2581</v>
      </c>
      <c r="C481" s="1" t="n">
        <v>1</v>
      </c>
      <c r="D481" s="2" t="s">
        <v>12</v>
      </c>
      <c r="E481" s="8" t="n">
        <v>44468</v>
      </c>
      <c r="F481" s="2" t="s">
        <v>24</v>
      </c>
      <c r="G481" s="7" t="str">
        <f aca="false">HYPERLINK("https://mncourtfraud.com/file/MCRO_27-CR-20-2581_Order for Conditional Release_2021-09-29_20251126180519.pdf","MCRO_27-CR-20-2581_Order for Conditional Release_2021-09-29_20251126180519.pdf")</f>
        <v>MCRO_27-CR-20-2581_Order for Conditional Release_2021-09-29_20251126180519.pdf</v>
      </c>
      <c r="H481" s="7" t="str">
        <f aca="false">HYPERLINK("https://mncourtfraud.com/file/7e14169e8fd6eddddd43bc2fc14557202f527587078dd29e867ad63570714e07.png","7e14169e8fd6eddddd43bc2fc14557202f527587078dd29e867ad63570714e07")</f>
        <v>7e14169e8fd6eddddd43bc2fc14557202f527587078dd29e867ad63570714e07</v>
      </c>
      <c r="I481" s="1" t="s">
        <v>3406</v>
      </c>
      <c r="L481" s="2" t="s">
        <v>3412</v>
      </c>
      <c r="M481" s="2" t="n">
        <v>100</v>
      </c>
      <c r="S481" s="2" t="n">
        <v>5</v>
      </c>
      <c r="T481" s="2" t="n">
        <v>5</v>
      </c>
    </row>
    <row r="482" customFormat="false" ht="18.7" hidden="false" customHeight="true" outlineLevel="0" collapsed="false">
      <c r="A482" s="1" t="n">
        <v>481</v>
      </c>
      <c r="B482" s="7" t="str">
        <f aca="false">HYPERLINK("https://mncourtfraud.com/file/27-CR-20-2581.pdf","27-CR-20-2581")</f>
        <v>27-CR-20-2581</v>
      </c>
      <c r="C482" s="1" t="n">
        <v>1</v>
      </c>
      <c r="D482" s="2" t="s">
        <v>12</v>
      </c>
      <c r="E482" s="8" t="n">
        <v>44468</v>
      </c>
      <c r="F482" s="2" t="s">
        <v>24</v>
      </c>
      <c r="G482" s="7" t="str">
        <f aca="false">HYPERLINK("https://mncourtfraud.com/file/MCRO_27-CR-20-2581_Order for Conditional Release_2021-09-29_20251126180519.pdf","MCRO_27-CR-20-2581_Order for Conditional Release_2021-09-29_20251126180519.pdf")</f>
        <v>MCRO_27-CR-20-2581_Order for Conditional Release_2021-09-29_20251126180519.pdf</v>
      </c>
      <c r="H482" s="7" t="str">
        <f aca="false">HYPERLINK("https://mncourtfraud.com/file/8198df5372238cac138bb64883627cf42bfc08ac483ff14b35858ae098fa3e09.cid","8198df5372238cac138bb64883627cf42bfc08ac483ff14b35858ae098fa3e09")</f>
        <v>8198df5372238cac138bb64883627cf42bfc08ac483ff14b35858ae098fa3e09</v>
      </c>
      <c r="I482" s="1" t="s">
        <v>3431</v>
      </c>
      <c r="L482" s="2" t="s">
        <v>3415</v>
      </c>
      <c r="M482" s="2" t="n">
        <v>3966</v>
      </c>
    </row>
    <row r="483" customFormat="false" ht="18.7" hidden="false" customHeight="true" outlineLevel="0" collapsed="false">
      <c r="A483" s="1" t="n">
        <v>482</v>
      </c>
      <c r="B483" s="7" t="str">
        <f aca="false">HYPERLINK("https://mncourtfraud.com/file/27-CR-20-2581.pdf","27-CR-20-2581")</f>
        <v>27-CR-20-2581</v>
      </c>
      <c r="C483" s="1" t="n">
        <v>1</v>
      </c>
      <c r="D483" s="2" t="s">
        <v>12</v>
      </c>
      <c r="E483" s="8" t="n">
        <v>44468</v>
      </c>
      <c r="F483" s="2" t="s">
        <v>24</v>
      </c>
      <c r="G483" s="7" t="str">
        <f aca="false">HYPERLINK("https://mncourtfraud.com/file/MCRO_27-CR-20-2581_Order for Conditional Release_2021-09-29_20251126180519.pdf","MCRO_27-CR-20-2581_Order for Conditional Release_2021-09-29_20251126180519.pdf")</f>
        <v>MCRO_27-CR-20-2581_Order for Conditional Release_2021-09-29_20251126180519.pdf</v>
      </c>
      <c r="H483" s="7" t="str">
        <f aca="false">HYPERLINK("https://mncourtfraud.com/file/8793bfb8eeebb59de729b22461b75a010eda532097214bf8285117449fae5b3c.png","8793bfb8eeebb59de729b22461b75a010eda532097214bf8285117449fae5b3c")</f>
        <v>8793bfb8eeebb59de729b22461b75a010eda532097214bf8285117449fae5b3c</v>
      </c>
      <c r="I483" s="1" t="s">
        <v>3406</v>
      </c>
      <c r="L483" s="2" t="s">
        <v>3412</v>
      </c>
      <c r="M483" s="2" t="n">
        <v>104</v>
      </c>
      <c r="S483" s="2" t="n">
        <v>6</v>
      </c>
      <c r="T483" s="2" t="n">
        <v>4</v>
      </c>
    </row>
    <row r="484" customFormat="false" ht="18.7" hidden="false" customHeight="true" outlineLevel="0" collapsed="false">
      <c r="A484" s="1" t="n">
        <v>483</v>
      </c>
      <c r="B484" s="7" t="str">
        <f aca="false">HYPERLINK("https://mncourtfraud.com/file/27-CR-20-2581.pdf","27-CR-20-2581")</f>
        <v>27-CR-20-2581</v>
      </c>
      <c r="C484" s="1" t="n">
        <v>1</v>
      </c>
      <c r="D484" s="2" t="s">
        <v>12</v>
      </c>
      <c r="E484" s="8" t="n">
        <v>44468</v>
      </c>
      <c r="F484" s="2" t="s">
        <v>24</v>
      </c>
      <c r="G484" s="7" t="str">
        <f aca="false">HYPERLINK("https://mncourtfraud.com/file/MCRO_27-CR-20-2581_Order for Conditional Release_2021-09-29_20251126180519.pdf","MCRO_27-CR-20-2581_Order for Conditional Release_2021-09-29_20251126180519.pdf")</f>
        <v>MCRO_27-CR-20-2581_Order for Conditional Release_2021-09-29_20251126180519.pdf</v>
      </c>
      <c r="H484" s="7" t="str">
        <f aca="false">HYPERLINK("https://mncourtfraud.com/file/8c2e00c7a4e8974eff73eba397a59d5f5f25d249433535298973d70a9f79dec8.png","8c2e00c7a4e8974eff73eba397a59d5f5f25d249433535298973d70a9f79dec8")</f>
        <v>8c2e00c7a4e8974eff73eba397a59d5f5f25d249433535298973d70a9f79dec8</v>
      </c>
      <c r="I484" s="1" t="s">
        <v>3406</v>
      </c>
      <c r="L484" s="2" t="s">
        <v>3412</v>
      </c>
      <c r="M484" s="2" t="n">
        <v>810</v>
      </c>
      <c r="S484" s="2" t="n">
        <v>519</v>
      </c>
      <c r="T484" s="2" t="n">
        <v>231</v>
      </c>
    </row>
    <row r="485" customFormat="false" ht="18.7" hidden="false" customHeight="true" outlineLevel="0" collapsed="false">
      <c r="A485" s="1" t="n">
        <v>484</v>
      </c>
      <c r="B485" s="7" t="str">
        <f aca="false">HYPERLINK("https://mncourtfraud.com/file/27-CR-20-2581.pdf","27-CR-20-2581")</f>
        <v>27-CR-20-2581</v>
      </c>
      <c r="C485" s="1" t="n">
        <v>1</v>
      </c>
      <c r="D485" s="2" t="s">
        <v>12</v>
      </c>
      <c r="E485" s="8" t="n">
        <v>44468</v>
      </c>
      <c r="F485" s="2" t="s">
        <v>24</v>
      </c>
      <c r="G485" s="7" t="str">
        <f aca="false">HYPERLINK("https://mncourtfraud.com/file/MCRO_27-CR-20-2581_Order for Conditional Release_2021-09-29_20251126180519.pdf","MCRO_27-CR-20-2581_Order for Conditional Release_2021-09-29_20251126180519.pdf")</f>
        <v>MCRO_27-CR-20-2581_Order for Conditional Release_2021-09-29_20251126180519.pdf</v>
      </c>
      <c r="H485" s="7" t="str">
        <f aca="false">HYPERLINK("https://mncourtfraud.com/file/a431b1b5f48186b4c98851d84352c1573e22c0e9b97117edbc0ad8603da3c307.png","a431b1b5f48186b4c98851d84352c1573e22c0e9b97117edbc0ad8603da3c307")</f>
        <v>a431b1b5f48186b4c98851d84352c1573e22c0e9b97117edbc0ad8603da3c307</v>
      </c>
      <c r="I485" s="1" t="s">
        <v>3406</v>
      </c>
      <c r="L485" s="2" t="s">
        <v>3412</v>
      </c>
      <c r="M485" s="2" t="n">
        <v>157</v>
      </c>
      <c r="S485" s="2" t="n">
        <v>7</v>
      </c>
      <c r="T485" s="2" t="n">
        <v>284</v>
      </c>
    </row>
    <row r="486" customFormat="false" ht="18.7" hidden="false" customHeight="true" outlineLevel="0" collapsed="false">
      <c r="A486" s="1" t="n">
        <v>485</v>
      </c>
      <c r="B486" s="7" t="str">
        <f aca="false">HYPERLINK("https://mncourtfraud.com/file/27-CR-20-2581.pdf","27-CR-20-2581")</f>
        <v>27-CR-20-2581</v>
      </c>
      <c r="C486" s="1" t="n">
        <v>1</v>
      </c>
      <c r="D486" s="2" t="s">
        <v>12</v>
      </c>
      <c r="E486" s="8" t="n">
        <v>44468</v>
      </c>
      <c r="F486" s="2" t="s">
        <v>24</v>
      </c>
      <c r="G486" s="7" t="str">
        <f aca="false">HYPERLINK("https://mncourtfraud.com/file/MCRO_27-CR-20-2581_Order for Conditional Release_2021-09-29_20251126180519.pdf","MCRO_27-CR-20-2581_Order for Conditional Release_2021-09-29_20251126180519.pdf")</f>
        <v>MCRO_27-CR-20-2581_Order for Conditional Release_2021-09-29_20251126180519.pdf</v>
      </c>
      <c r="H486" s="7" t="str">
        <f aca="false">HYPERLINK("https://mncourtfraud.com/file/ac369f378e3fbed88e7c1c71d7e27d3af59d79c8d2f8338a6182f69d0e17a2ef.cid","ac369f378e3fbed88e7c1c71d7e27d3af59d79c8d2f8338a6182f69d0e17a2ef")</f>
        <v>ac369f378e3fbed88e7c1c71d7e27d3af59d79c8d2f8338a6182f69d0e17a2ef</v>
      </c>
      <c r="I486" s="1" t="s">
        <v>3431</v>
      </c>
      <c r="L486" s="2" t="s">
        <v>3415</v>
      </c>
      <c r="M486" s="2" t="n">
        <v>14113</v>
      </c>
    </row>
    <row r="487" customFormat="false" ht="18.7" hidden="false" customHeight="true" outlineLevel="0" collapsed="false">
      <c r="A487" s="1" t="n">
        <v>486</v>
      </c>
      <c r="B487" s="7" t="str">
        <f aca="false">HYPERLINK("https://mncourtfraud.com/file/27-CR-20-2581.pdf","27-CR-20-2581")</f>
        <v>27-CR-20-2581</v>
      </c>
      <c r="C487" s="1" t="n">
        <v>1</v>
      </c>
      <c r="D487" s="2" t="s">
        <v>12</v>
      </c>
      <c r="E487" s="8" t="n">
        <v>44468</v>
      </c>
      <c r="F487" s="2" t="s">
        <v>24</v>
      </c>
      <c r="G487" s="7" t="str">
        <f aca="false">HYPERLINK("https://mncourtfraud.com/file/MCRO_27-CR-20-2581_Order for Conditional Release_2021-09-29_20251126180519.pdf","MCRO_27-CR-20-2581_Order for Conditional Release_2021-09-29_20251126180519.pdf")</f>
        <v>MCRO_27-CR-20-2581_Order for Conditional Release_2021-09-29_20251126180519.pdf</v>
      </c>
      <c r="H487" s="7" t="str">
        <f aca="false">HYPERLINK("https://mncourtfraud.com/file/b1c38e97038ce898a189d377f1fa9f4b673ae497ef07cd779e6d54764f350895.cid","b1c38e97038ce898a189d377f1fa9f4b673ae497ef07cd779e6d54764f350895")</f>
        <v>b1c38e97038ce898a189d377f1fa9f4b673ae497ef07cd779e6d54764f350895</v>
      </c>
      <c r="I487" s="1" t="s">
        <v>3431</v>
      </c>
      <c r="L487" s="2" t="s">
        <v>3415</v>
      </c>
      <c r="M487" s="2" t="n">
        <v>3783</v>
      </c>
    </row>
    <row r="488" customFormat="false" ht="18.7" hidden="false" customHeight="true" outlineLevel="0" collapsed="false">
      <c r="A488" s="1" t="n">
        <v>487</v>
      </c>
      <c r="B488" s="7" t="str">
        <f aca="false">HYPERLINK("https://mncourtfraud.com/file/27-CR-20-2581.pdf","27-CR-20-2581")</f>
        <v>27-CR-20-2581</v>
      </c>
      <c r="C488" s="1" t="n">
        <v>1</v>
      </c>
      <c r="D488" s="2" t="s">
        <v>12</v>
      </c>
      <c r="E488" s="8" t="n">
        <v>44468</v>
      </c>
      <c r="F488" s="2" t="s">
        <v>24</v>
      </c>
      <c r="G488" s="7" t="str">
        <f aca="false">HYPERLINK("https://mncourtfraud.com/file/MCRO_27-CR-20-2581_Order for Conditional Release_2021-09-29_20251126180519.pdf","MCRO_27-CR-20-2581_Order for Conditional Release_2021-09-29_20251126180519.pdf")</f>
        <v>MCRO_27-CR-20-2581_Order for Conditional Release_2021-09-29_20251126180519.pdf</v>
      </c>
      <c r="H488" s="7" t="str">
        <f aca="false">HYPERLINK("https://mncourtfraud.com/file/ba989ca65f54d43887ebbc930462a840e60360223cb0c16c223e7e9ed46afecb.cid","ba989ca65f54d43887ebbc930462a840e60360223cb0c16c223e7e9ed46afecb")</f>
        <v>ba989ca65f54d43887ebbc930462a840e60360223cb0c16c223e7e9ed46afecb</v>
      </c>
      <c r="I488" s="1" t="s">
        <v>3431</v>
      </c>
      <c r="L488" s="2" t="s">
        <v>3415</v>
      </c>
      <c r="M488" s="2" t="n">
        <v>444</v>
      </c>
    </row>
    <row r="489" customFormat="false" ht="18.7" hidden="false" customHeight="true" outlineLevel="0" collapsed="false">
      <c r="A489" s="1" t="n">
        <v>488</v>
      </c>
      <c r="B489" s="7" t="str">
        <f aca="false">HYPERLINK("https://mncourtfraud.com/file/27-CR-20-2581.pdf","27-CR-20-2581")</f>
        <v>27-CR-20-2581</v>
      </c>
      <c r="C489" s="1" t="n">
        <v>1</v>
      </c>
      <c r="D489" s="2" t="s">
        <v>12</v>
      </c>
      <c r="E489" s="8" t="n">
        <v>44468</v>
      </c>
      <c r="F489" s="2" t="s">
        <v>24</v>
      </c>
      <c r="G489" s="7" t="str">
        <f aca="false">HYPERLINK("https://mncourtfraud.com/file/MCRO_27-CR-20-2581_Order for Conditional Release_2021-09-29_20251126180519.pdf","MCRO_27-CR-20-2581_Order for Conditional Release_2021-09-29_20251126180519.pdf")</f>
        <v>MCRO_27-CR-20-2581_Order for Conditional Release_2021-09-29_20251126180519.pdf</v>
      </c>
      <c r="H489" s="7" t="str">
        <f aca="false">HYPERLINK("https://mncourtfraud.com/file/db9c8118091788c7a0a30157e363f5dd281f7a35fb525fad58599ee6371079a5.cid","db9c8118091788c7a0a30157e363f5dd281f7a35fb525fad58599ee6371079a5")</f>
        <v>db9c8118091788c7a0a30157e363f5dd281f7a35fb525fad58599ee6371079a5</v>
      </c>
      <c r="I489" s="1" t="s">
        <v>3431</v>
      </c>
      <c r="L489" s="2" t="s">
        <v>3415</v>
      </c>
      <c r="M489" s="2" t="n">
        <v>848</v>
      </c>
    </row>
    <row r="490" customFormat="false" ht="18.7" hidden="false" customHeight="true" outlineLevel="0" collapsed="false">
      <c r="A490" s="1" t="n">
        <v>489</v>
      </c>
      <c r="B490" s="7" t="str">
        <f aca="false">HYPERLINK("https://mncourtfraud.com/file/27-CR-20-2581.pdf","27-CR-20-2581")</f>
        <v>27-CR-20-2581</v>
      </c>
      <c r="C490" s="1" t="n">
        <v>1</v>
      </c>
      <c r="D490" s="2" t="s">
        <v>12</v>
      </c>
      <c r="E490" s="8" t="n">
        <v>44468</v>
      </c>
      <c r="F490" s="2" t="s">
        <v>24</v>
      </c>
      <c r="G490" s="7" t="str">
        <f aca="false">HYPERLINK("https://mncourtfraud.com/file/MCRO_27-CR-20-2581_Order for Conditional Release_2021-09-29_20251126180519.pdf","MCRO_27-CR-20-2581_Order for Conditional Release_2021-09-29_20251126180519.pdf")</f>
        <v>MCRO_27-CR-20-2581_Order for Conditional Release_2021-09-29_20251126180519.pdf</v>
      </c>
      <c r="H490" s="7" t="str">
        <f aca="false">HYPERLINK("https://mncourtfraud.com/file/e04b4db843c4bf02679b586bdc06323c2777cf59091b22718210a1dd2a0badc7.png","e04b4db843c4bf02679b586bdc06323c2777cf59091b22718210a1dd2a0badc7")</f>
        <v>e04b4db843c4bf02679b586bdc06323c2777cf59091b22718210a1dd2a0badc7</v>
      </c>
      <c r="I490" s="1" t="s">
        <v>3406</v>
      </c>
      <c r="L490" s="2" t="s">
        <v>3412</v>
      </c>
      <c r="M490" s="2" t="n">
        <v>199</v>
      </c>
      <c r="S490" s="2" t="n">
        <v>7</v>
      </c>
      <c r="T490" s="2" t="n">
        <v>347</v>
      </c>
    </row>
    <row r="491" customFormat="false" ht="18.7" hidden="false" customHeight="true" outlineLevel="0" collapsed="false">
      <c r="A491" s="1" t="n">
        <v>490</v>
      </c>
      <c r="B491" s="7" t="str">
        <f aca="false">HYPERLINK("https://mncourtfraud.com/file/27-CR-20-2581.pdf","27-CR-20-2581")</f>
        <v>27-CR-20-2581</v>
      </c>
      <c r="C491" s="1" t="n">
        <v>1</v>
      </c>
      <c r="D491" s="2" t="s">
        <v>12</v>
      </c>
      <c r="E491" s="8" t="n">
        <v>44468</v>
      </c>
      <c r="F491" s="2" t="s">
        <v>24</v>
      </c>
      <c r="G491" s="7" t="str">
        <f aca="false">HYPERLINK("https://mncourtfraud.com/file/MCRO_27-CR-20-2581_Order for Conditional Release_2021-09-29_20251126180519.pdf","MCRO_27-CR-20-2581_Order for Conditional Release_2021-09-29_20251126180519.pdf")</f>
        <v>MCRO_27-CR-20-2581_Order for Conditional Release_2021-09-29_20251126180519.pdf</v>
      </c>
      <c r="H491" s="7" t="str">
        <f aca="false">HYPERLINK("https://mncourtfraud.com/file/edbae421bba147262ba26ef60780ca6dfd5bedce23be39a1f883da7c23dae35f.cid","edbae421bba147262ba26ef60780ca6dfd5bedce23be39a1f883da7c23dae35f")</f>
        <v>edbae421bba147262ba26ef60780ca6dfd5bedce23be39a1f883da7c23dae35f</v>
      </c>
      <c r="I491" s="1" t="s">
        <v>3431</v>
      </c>
      <c r="L491" s="2" t="s">
        <v>3415</v>
      </c>
      <c r="M491" s="2" t="n">
        <v>21348</v>
      </c>
    </row>
    <row r="492" customFormat="false" ht="18.7" hidden="false" customHeight="true" outlineLevel="0" collapsed="false">
      <c r="A492" s="1" t="n">
        <v>491</v>
      </c>
      <c r="B492" s="7" t="str">
        <f aca="false">HYPERLINK("https://mncourtfraud.com/file/27-CR-20-2581.pdf","27-CR-20-2581")</f>
        <v>27-CR-20-2581</v>
      </c>
      <c r="C492" s="1" t="n">
        <v>1</v>
      </c>
      <c r="D492" s="2" t="s">
        <v>12</v>
      </c>
      <c r="E492" s="8" t="n">
        <v>44468</v>
      </c>
      <c r="F492" s="2" t="s">
        <v>24</v>
      </c>
      <c r="G492" s="7" t="str">
        <f aca="false">HYPERLINK("https://mncourtfraud.com/file/MCRO_27-CR-20-2581_Order for Conditional Release_2021-09-29_20251126180519.pdf","MCRO_27-CR-20-2581_Order for Conditional Release_2021-09-29_20251126180519.pdf")</f>
        <v>MCRO_27-CR-20-2581_Order for Conditional Release_2021-09-29_20251126180519.pdf</v>
      </c>
      <c r="H492" s="7" t="str">
        <f aca="false">HYPERLINK("https://mncourtfraud.com/file/efd944d517e9b552a77a910c5203f04540cf1249b7304a04f4907f542ec53c17.cid","efd944d517e9b552a77a910c5203f04540cf1249b7304a04f4907f542ec53c17")</f>
        <v>efd944d517e9b552a77a910c5203f04540cf1249b7304a04f4907f542ec53c17</v>
      </c>
      <c r="I492" s="1" t="s">
        <v>3431</v>
      </c>
      <c r="L492" s="2" t="s">
        <v>3415</v>
      </c>
      <c r="M492" s="2" t="n">
        <v>5521</v>
      </c>
    </row>
    <row r="493" customFormat="false" ht="18.7" hidden="false" customHeight="true" outlineLevel="0" collapsed="false">
      <c r="A493" s="1" t="n">
        <v>492</v>
      </c>
      <c r="B493" s="7" t="str">
        <f aca="false">HYPERLINK("https://mncourtfraud.com/file/27-CR-20-2581.pdf","27-CR-20-2581")</f>
        <v>27-CR-20-2581</v>
      </c>
      <c r="C493" s="1" t="n">
        <v>1</v>
      </c>
      <c r="D493" s="2" t="s">
        <v>12</v>
      </c>
      <c r="E493" s="8" t="n">
        <v>44468</v>
      </c>
      <c r="F493" s="2" t="s">
        <v>24</v>
      </c>
      <c r="G493" s="7" t="str">
        <f aca="false">HYPERLINK("https://mncourtfraud.com/file/MCRO_27-CR-20-2581_Order for Conditional Release_2021-09-29_20251126180519.pdf","MCRO_27-CR-20-2581_Order for Conditional Release_2021-09-29_20251126180519.pdf")</f>
        <v>MCRO_27-CR-20-2581_Order for Conditional Release_2021-09-29_20251126180519.pdf</v>
      </c>
      <c r="H493" s="7" t="str">
        <f aca="false">HYPERLINK("https://mncourtfraud.com/file/fe1965a60cba51fe144ad80b55474d56106539ec2835ed039f2e68d2691deed0.cid","fe1965a60cba51fe144ad80b55474d56106539ec2835ed039f2e68d2691deed0")</f>
        <v>fe1965a60cba51fe144ad80b55474d56106539ec2835ed039f2e68d2691deed0</v>
      </c>
      <c r="I493" s="1" t="s">
        <v>3431</v>
      </c>
      <c r="L493" s="2" t="s">
        <v>3415</v>
      </c>
      <c r="M493" s="2" t="n">
        <v>4323</v>
      </c>
    </row>
    <row r="494" customFormat="false" ht="18.7" hidden="false" customHeight="true" outlineLevel="0" collapsed="false">
      <c r="A494" s="1" t="n">
        <v>493</v>
      </c>
      <c r="B494" s="7" t="str">
        <f aca="false">HYPERLINK("https://mncourtfraud.com/file/27-CR-20-2581.pdf","27-CR-20-2581")</f>
        <v>27-CR-20-2581</v>
      </c>
      <c r="C494" s="1" t="n">
        <v>1</v>
      </c>
      <c r="D494" s="2" t="s">
        <v>12</v>
      </c>
      <c r="E494" s="8" t="n">
        <v>44468</v>
      </c>
      <c r="F494" s="2" t="s">
        <v>24</v>
      </c>
      <c r="G494" s="7" t="str">
        <f aca="false">HYPERLINK("https://mncourtfraud.com/file/MCRO_27-CR-20-2581_Order for Conditional Release_2021-09-29_20251126180519.pdf","MCRO_27-CR-20-2581_Order for Conditional Release_2021-09-29_20251126180519.pdf")</f>
        <v>MCRO_27-CR-20-2581_Order for Conditional Release_2021-09-29_20251126180519.pdf</v>
      </c>
      <c r="H494" s="7" t="str">
        <f aca="false">HYPERLINK("https://mncourtfraud.com/file/ff78f82f1ff3b9436a8d65df586b0bef19dd8fcf1b27941145ca7e723b37620b.cid","ff78f82f1ff3b9436a8d65df586b0bef19dd8fcf1b27941145ca7e723b37620b")</f>
        <v>ff78f82f1ff3b9436a8d65df586b0bef19dd8fcf1b27941145ca7e723b37620b</v>
      </c>
      <c r="I494" s="1" t="s">
        <v>3431</v>
      </c>
      <c r="L494" s="2" t="s">
        <v>3415</v>
      </c>
      <c r="M494" s="2" t="n">
        <v>339</v>
      </c>
    </row>
    <row r="495" customFormat="false" ht="18.7" hidden="false" customHeight="true" outlineLevel="0" collapsed="false">
      <c r="A495" s="1" t="n">
        <v>494</v>
      </c>
      <c r="B495" s="7" t="str">
        <f aca="false">HYPERLINK("https://mncourtfraud.com/file/27-CR-20-2581.pdf","27-CR-20-2581")</f>
        <v>27-CR-20-2581</v>
      </c>
      <c r="C495" s="1" t="n">
        <v>1</v>
      </c>
      <c r="D495" s="2" t="s">
        <v>12</v>
      </c>
      <c r="E495" s="8" t="n">
        <v>44543</v>
      </c>
      <c r="F495" s="2" t="s">
        <v>15</v>
      </c>
      <c r="G495" s="7" t="str">
        <f aca="false">HYPERLINK("https://mncourtfraud.com/file/MCRO_27-CR-20-2581_Order-Evaluation for Competency to Proceed (Rule 20.01)_2021-12-13_20251126180544.pdf","MCRO_27-CR-20-2581_Order-Evaluation for Competency to Proceed (Rule 20.01)_2021-12-13_20251126180544.pdf")</f>
        <v>MCRO_27-CR-20-2581_Order-Evaluation for Competency to Proceed (Rule 20.01)_2021-12-13_20251126180544.pdf</v>
      </c>
      <c r="H495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495" s="1" t="s">
        <v>3413</v>
      </c>
      <c r="J495" s="2" t="s">
        <v>3423</v>
      </c>
      <c r="K495" s="2" t="s">
        <v>3423</v>
      </c>
      <c r="L495" s="2" t="s">
        <v>3415</v>
      </c>
      <c r="M495" s="2" t="n">
        <v>11088</v>
      </c>
    </row>
    <row r="496" customFormat="false" ht="18.7" hidden="false" customHeight="true" outlineLevel="0" collapsed="false">
      <c r="A496" s="1" t="n">
        <v>495</v>
      </c>
      <c r="B496" s="7" t="str">
        <f aca="false">HYPERLINK("https://mncourtfraud.com/file/27-CR-20-2581.pdf","27-CR-20-2581")</f>
        <v>27-CR-20-2581</v>
      </c>
      <c r="C496" s="1" t="n">
        <v>1</v>
      </c>
      <c r="D496" s="2" t="s">
        <v>12</v>
      </c>
      <c r="E496" s="8" t="n">
        <v>44543</v>
      </c>
      <c r="F496" s="2" t="s">
        <v>15</v>
      </c>
      <c r="G496" s="7" t="str">
        <f aca="false">HYPERLINK("https://mncourtfraud.com/file/MCRO_27-CR-20-2581_Order-Evaluation for Competency to Proceed (Rule 20.01)_2021-12-13_20251126180544.pdf","MCRO_27-CR-20-2581_Order-Evaluation for Competency to Proceed (Rule 20.01)_2021-12-13_20251126180544.pdf")</f>
        <v>MCRO_27-CR-20-2581_Order-Evaluation for Competency to Proceed (Rule 20.01)_2021-12-13_20251126180544.pdf</v>
      </c>
      <c r="H496" s="7" t="str">
        <f aca="false">HYPERLINK("https://mncourtfraud.com/file/22be6394304ce5b678311fefb19c39c8cb0a49d25f23150f1efe21ad14b99c7b.ttf","22be6394304ce5b678311fefb19c39c8cb0a49d25f23150f1efe21ad14b99c7b")</f>
        <v>22be6394304ce5b678311fefb19c39c8cb0a49d25f23150f1efe21ad14b99c7b</v>
      </c>
      <c r="I496" s="1" t="s">
        <v>3413</v>
      </c>
      <c r="J496" s="2" t="s">
        <v>3421</v>
      </c>
      <c r="K496" s="2" t="s">
        <v>3421</v>
      </c>
      <c r="L496" s="2" t="s">
        <v>3415</v>
      </c>
      <c r="M496" s="2" t="n">
        <v>117192</v>
      </c>
    </row>
    <row r="497" customFormat="false" ht="18.7" hidden="false" customHeight="true" outlineLevel="0" collapsed="false">
      <c r="A497" s="1" t="n">
        <v>496</v>
      </c>
      <c r="B497" s="7" t="str">
        <f aca="false">HYPERLINK("https://mncourtfraud.com/file/27-CR-20-2581.pdf","27-CR-20-2581")</f>
        <v>27-CR-20-2581</v>
      </c>
      <c r="C497" s="1" t="n">
        <v>1</v>
      </c>
      <c r="D497" s="2" t="s">
        <v>12</v>
      </c>
      <c r="E497" s="8" t="n">
        <v>44543</v>
      </c>
      <c r="F497" s="2" t="s">
        <v>15</v>
      </c>
      <c r="G497" s="7" t="str">
        <f aca="false">HYPERLINK("https://mncourtfraud.com/file/MCRO_27-CR-20-2581_Order-Evaluation for Competency to Proceed (Rule 20.01)_2021-12-13_20251126180544.pdf","MCRO_27-CR-20-2581_Order-Evaluation for Competency to Proceed (Rule 20.01)_2021-12-13_20251126180544.pdf")</f>
        <v>MCRO_27-CR-20-2581_Order-Evaluation for Competency to Proceed (Rule 20.01)_2021-12-13_20251126180544.pdf</v>
      </c>
      <c r="H497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497" s="1" t="s">
        <v>3413</v>
      </c>
      <c r="J497" s="2" t="s">
        <v>3424</v>
      </c>
      <c r="K497" s="2" t="s">
        <v>3424</v>
      </c>
      <c r="L497" s="2" t="s">
        <v>3415</v>
      </c>
      <c r="M497" s="2" t="n">
        <v>14252</v>
      </c>
    </row>
    <row r="498" customFormat="false" ht="18.7" hidden="false" customHeight="true" outlineLevel="0" collapsed="false">
      <c r="A498" s="1" t="n">
        <v>497</v>
      </c>
      <c r="B498" s="7" t="str">
        <f aca="false">HYPERLINK("https://mncourtfraud.com/file/27-CR-20-2581.pdf","27-CR-20-2581")</f>
        <v>27-CR-20-2581</v>
      </c>
      <c r="C498" s="1" t="n">
        <v>1</v>
      </c>
      <c r="D498" s="2" t="s">
        <v>12</v>
      </c>
      <c r="E498" s="8" t="n">
        <v>44543</v>
      </c>
      <c r="F498" s="2" t="s">
        <v>15</v>
      </c>
      <c r="G498" s="7" t="str">
        <f aca="false">HYPERLINK("https://mncourtfraud.com/file/MCRO_27-CR-20-2581_Order-Evaluation for Competency to Proceed (Rule 20.01)_2021-12-13_20251126180544.pdf","MCRO_27-CR-20-2581_Order-Evaluation for Competency to Proceed (Rule 20.01)_2021-12-13_20251126180544.pdf")</f>
        <v>MCRO_27-CR-20-2581_Order-Evaluation for Competency to Proceed (Rule 20.01)_2021-12-13_20251126180544.pdf</v>
      </c>
      <c r="H498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498" s="1" t="s">
        <v>3406</v>
      </c>
      <c r="K498" s="2" t="s">
        <v>3420</v>
      </c>
      <c r="L498" s="2" t="s">
        <v>3408</v>
      </c>
      <c r="M498" s="2" t="n">
        <v>7306</v>
      </c>
      <c r="O498" s="2" t="s">
        <v>3409</v>
      </c>
      <c r="P498" s="2" t="s">
        <v>3410</v>
      </c>
      <c r="S498" s="2" t="n">
        <v>319</v>
      </c>
      <c r="T498" s="2" t="n">
        <v>105</v>
      </c>
    </row>
    <row r="499" customFormat="false" ht="18.7" hidden="false" customHeight="true" outlineLevel="0" collapsed="false">
      <c r="A499" s="1" t="n">
        <v>498</v>
      </c>
      <c r="B499" s="7" t="str">
        <f aca="false">HYPERLINK("https://mncourtfraud.com/file/27-CR-20-2581.pdf","27-CR-20-2581")</f>
        <v>27-CR-20-2581</v>
      </c>
      <c r="C499" s="1" t="n">
        <v>1</v>
      </c>
      <c r="D499" s="2" t="s">
        <v>12</v>
      </c>
      <c r="E499" s="8" t="n">
        <v>44543</v>
      </c>
      <c r="F499" s="2" t="s">
        <v>15</v>
      </c>
      <c r="G499" s="7" t="str">
        <f aca="false">HYPERLINK("https://mncourtfraud.com/file/MCRO_27-CR-20-2581_Order-Evaluation for Competency to Proceed (Rule 20.01)_2021-12-13_20251126180544.pdf","MCRO_27-CR-20-2581_Order-Evaluation for Competency to Proceed (Rule 20.01)_2021-12-13_20251126180544.pdf")</f>
        <v>MCRO_27-CR-20-2581_Order-Evaluation for Competency to Proceed (Rule 20.01)_2021-12-13_20251126180544.pdf</v>
      </c>
      <c r="H499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499" s="1" t="s">
        <v>3406</v>
      </c>
      <c r="K499" s="2" t="s">
        <v>3425</v>
      </c>
      <c r="L499" s="2" t="s">
        <v>3408</v>
      </c>
      <c r="M499" s="2" t="n">
        <v>21225</v>
      </c>
      <c r="O499" s="2" t="s">
        <v>3409</v>
      </c>
      <c r="P499" s="2" t="s">
        <v>3410</v>
      </c>
      <c r="S499" s="2" t="n">
        <v>319</v>
      </c>
      <c r="T499" s="2" t="n">
        <v>105</v>
      </c>
    </row>
    <row r="500" customFormat="false" ht="18.7" hidden="false" customHeight="true" outlineLevel="0" collapsed="false">
      <c r="A500" s="1" t="n">
        <v>499</v>
      </c>
      <c r="B500" s="7" t="str">
        <f aca="false">HYPERLINK("https://mncourtfraud.com/file/27-CR-20-2581.pdf","27-CR-20-2581")</f>
        <v>27-CR-20-2581</v>
      </c>
      <c r="C500" s="1" t="n">
        <v>1</v>
      </c>
      <c r="D500" s="2" t="s">
        <v>12</v>
      </c>
      <c r="E500" s="8" t="n">
        <v>44543</v>
      </c>
      <c r="F500" s="2" t="s">
        <v>15</v>
      </c>
      <c r="G500" s="7" t="str">
        <f aca="false">HYPERLINK("https://mncourtfraud.com/file/MCRO_27-CR-20-2581_Order-Evaluation for Competency to Proceed (Rule 20.01)_2021-12-13_20251126180544.pdf","MCRO_27-CR-20-2581_Order-Evaluation for Competency to Proceed (Rule 20.01)_2021-12-13_20251126180544.pdf")</f>
        <v>MCRO_27-CR-20-2581_Order-Evaluation for Competency to Proceed (Rule 20.01)_2021-12-13_20251126180544.pdf</v>
      </c>
      <c r="H500" s="7" t="str">
        <f aca="false">HYPERLINK("https://mncourtfraud.com/file/f942eca43ffd6bdbf3ee942fee873a73c8baea7707298295b91918b6d8b6d6ee.ttf","f942eca43ffd6bdbf3ee942fee873a73c8baea7707298295b91918b6d8b6d6ee")</f>
        <v>f942eca43ffd6bdbf3ee942fee873a73c8baea7707298295b91918b6d8b6d6ee</v>
      </c>
      <c r="I500" s="1" t="s">
        <v>3413</v>
      </c>
      <c r="J500" s="2" t="s">
        <v>3422</v>
      </c>
      <c r="K500" s="2" t="s">
        <v>3422</v>
      </c>
      <c r="L500" s="2" t="s">
        <v>3415</v>
      </c>
      <c r="M500" s="2" t="n">
        <v>125444</v>
      </c>
    </row>
    <row r="501" customFormat="false" ht="18.7" hidden="false" customHeight="true" outlineLevel="0" collapsed="false">
      <c r="A501" s="1" t="n">
        <v>500</v>
      </c>
      <c r="B501" s="7" t="str">
        <f aca="false">HYPERLINK("https://mncourtfraud.com/file/27-CR-20-2581.pdf","27-CR-20-2581")</f>
        <v>27-CR-20-2581</v>
      </c>
      <c r="C501" s="1" t="n">
        <v>1</v>
      </c>
      <c r="D501" s="2" t="s">
        <v>12</v>
      </c>
      <c r="E501" s="8" t="n">
        <v>44558</v>
      </c>
      <c r="F501" s="2" t="s">
        <v>15</v>
      </c>
      <c r="G501" s="7" t="str">
        <f aca="false">HYPERLINK("https://mncourtfraud.com/file/MCRO_27-CR-20-2581_Order-Evaluation for Competency to Proceed (Rule 20.01)_2021-12-28_20251126180556.pdf","MCRO_27-CR-20-2581_Order-Evaluation for Competency to Proceed (Rule 20.01)_2021-12-28_20251126180556.pdf")</f>
        <v>MCRO_27-CR-20-2581_Order-Evaluation for Competency to Proceed (Rule 20.01)_2021-12-28_20251126180556.pdf</v>
      </c>
      <c r="H501" s="7" t="str">
        <f aca="false">HYPERLINK("https://mncourtfraud.com/file/134e84b3ccba9e97f35a301f4aa23d27a4ea7f6d34804b98a551228ff7ffdbba.png","134e84b3ccba9e97f35a301f4aa23d27a4ea7f6d34804b98a551228ff7ffdbba")</f>
        <v>134e84b3ccba9e97f35a301f4aa23d27a4ea7f6d34804b98a551228ff7ffdbba</v>
      </c>
      <c r="I501" s="1" t="s">
        <v>3406</v>
      </c>
      <c r="L501" s="2" t="s">
        <v>3412</v>
      </c>
      <c r="M501" s="2" t="n">
        <v>17291</v>
      </c>
      <c r="S501" s="2" t="n">
        <v>2550</v>
      </c>
      <c r="T501" s="2" t="n">
        <v>3300</v>
      </c>
    </row>
    <row r="502" customFormat="false" ht="18.7" hidden="false" customHeight="true" outlineLevel="0" collapsed="false">
      <c r="A502" s="1" t="n">
        <v>501</v>
      </c>
      <c r="B502" s="7" t="str">
        <f aca="false">HYPERLINK("https://mncourtfraud.com/file/27-CR-20-2581.pdf","27-CR-20-2581")</f>
        <v>27-CR-20-2581</v>
      </c>
      <c r="C502" s="1" t="n">
        <v>1</v>
      </c>
      <c r="D502" s="2" t="s">
        <v>12</v>
      </c>
      <c r="E502" s="8" t="n">
        <v>44558</v>
      </c>
      <c r="F502" s="2" t="s">
        <v>15</v>
      </c>
      <c r="G502" s="7" t="str">
        <f aca="false">HYPERLINK("https://mncourtfraud.com/file/MCRO_27-CR-20-2581_Order-Evaluation for Competency to Proceed (Rule 20.01)_2021-12-28_20251126180556.pdf","MCRO_27-CR-20-2581_Order-Evaluation for Competency to Proceed (Rule 20.01)_2021-12-28_20251126180556.pdf")</f>
        <v>MCRO_27-CR-20-2581_Order-Evaluation for Competency to Proceed (Rule 20.01)_2021-12-28_20251126180556.pdf</v>
      </c>
      <c r="H502" s="7" t="str">
        <f aca="false">HYPERLINK("https://mncourtfraud.com/file/91a8687bb7e5d5d6cb0f4848dd7f5bd6228e6998f2713e64d0adff59003ebf80.png","91a8687bb7e5d5d6cb0f4848dd7f5bd6228e6998f2713e64d0adff59003ebf80")</f>
        <v>91a8687bb7e5d5d6cb0f4848dd7f5bd6228e6998f2713e64d0adff59003ebf80</v>
      </c>
      <c r="I502" s="1" t="s">
        <v>3406</v>
      </c>
      <c r="L502" s="2" t="s">
        <v>3412</v>
      </c>
      <c r="M502" s="2" t="n">
        <v>131001</v>
      </c>
      <c r="S502" s="2" t="n">
        <v>2550</v>
      </c>
      <c r="T502" s="2" t="n">
        <v>3300</v>
      </c>
    </row>
    <row r="503" customFormat="false" ht="18.7" hidden="false" customHeight="true" outlineLevel="0" collapsed="false">
      <c r="A503" s="1" t="n">
        <v>502</v>
      </c>
      <c r="B503" s="7" t="str">
        <f aca="false">HYPERLINK("https://mncourtfraud.com/file/27-CR-20-2581.pdf","27-CR-20-2581")</f>
        <v>27-CR-20-2581</v>
      </c>
      <c r="C503" s="1" t="n">
        <v>1</v>
      </c>
      <c r="D503" s="2" t="s">
        <v>12</v>
      </c>
      <c r="E503" s="8" t="n">
        <v>44558</v>
      </c>
      <c r="F503" s="2" t="s">
        <v>15</v>
      </c>
      <c r="G503" s="7" t="str">
        <f aca="false">HYPERLINK("https://mncourtfraud.com/file/MCRO_27-CR-20-2581_Order-Evaluation for Competency to Proceed (Rule 20.01)_2021-12-28_20251126180556.pdf","MCRO_27-CR-20-2581_Order-Evaluation for Competency to Proceed (Rule 20.01)_2021-12-28_20251126180556.pdf")</f>
        <v>MCRO_27-CR-20-2581_Order-Evaluation for Competency to Proceed (Rule 20.01)_2021-12-28_20251126180556.pdf</v>
      </c>
      <c r="H503" s="7" t="str">
        <f aca="false">HYPERLINK("https://mncourtfraud.com/file/9a4a88d705f8160429e8182253a6b3b7a143b8d7f782690d8b3d4f6377f646c1.ttf","9a4a88d705f8160429e8182253a6b3b7a143b8d7f782690d8b3d4f6377f646c1")</f>
        <v>9a4a88d705f8160429e8182253a6b3b7a143b8d7f782690d8b3d4f6377f646c1</v>
      </c>
      <c r="I503" s="1" t="s">
        <v>3413</v>
      </c>
      <c r="L503" s="2" t="s">
        <v>3415</v>
      </c>
      <c r="M503" s="2" t="n">
        <v>333576</v>
      </c>
    </row>
    <row r="504" customFormat="false" ht="18.7" hidden="false" customHeight="true" outlineLevel="0" collapsed="false">
      <c r="A504" s="1" t="n">
        <v>503</v>
      </c>
      <c r="B504" s="7" t="str">
        <f aca="false">HYPERLINK("https://mncourtfraud.com/file/27-CR-20-2581.pdf","27-CR-20-2581")</f>
        <v>27-CR-20-2581</v>
      </c>
      <c r="C504" s="1" t="n">
        <v>1</v>
      </c>
      <c r="D504" s="2" t="s">
        <v>12</v>
      </c>
      <c r="E504" s="8" t="n">
        <v>44558</v>
      </c>
      <c r="F504" s="2" t="s">
        <v>15</v>
      </c>
      <c r="G504" s="7" t="str">
        <f aca="false">HYPERLINK("https://mncourtfraud.com/file/MCRO_27-CR-20-2581_Order-Evaluation for Competency to Proceed (Rule 20.01)_2021-12-28_20251126180556.pdf","MCRO_27-CR-20-2581_Order-Evaluation for Competency to Proceed (Rule 20.01)_2021-12-28_20251126180556.pdf")</f>
        <v>MCRO_27-CR-20-2581_Order-Evaluation for Competency to Proceed (Rule 20.01)_2021-12-28_20251126180556.pdf</v>
      </c>
      <c r="H504" s="7" t="str">
        <f aca="false">HYPERLINK("https://mncourtfraud.com/file/e41a778f76d5f19060327409d5efd8e3741f2be7873cb0ac2de3526ca9d73888.png","e41a778f76d5f19060327409d5efd8e3741f2be7873cb0ac2de3526ca9d73888")</f>
        <v>e41a778f76d5f19060327409d5efd8e3741f2be7873cb0ac2de3526ca9d73888</v>
      </c>
      <c r="I504" s="1" t="s">
        <v>3406</v>
      </c>
      <c r="L504" s="2" t="s">
        <v>3412</v>
      </c>
      <c r="M504" s="2" t="n">
        <v>159262</v>
      </c>
      <c r="S504" s="2" t="n">
        <v>2550</v>
      </c>
      <c r="T504" s="2" t="n">
        <v>3300</v>
      </c>
    </row>
    <row r="505" customFormat="false" ht="18.7" hidden="false" customHeight="true" outlineLevel="0" collapsed="false">
      <c r="A505" s="1" t="n">
        <v>504</v>
      </c>
      <c r="B505" s="7" t="str">
        <f aca="false">HYPERLINK("https://mncourtfraud.com/file/27-CR-20-2581.pdf","27-CR-20-2581")</f>
        <v>27-CR-20-2581</v>
      </c>
      <c r="C505" s="1" t="n">
        <v>1</v>
      </c>
      <c r="D505" s="2" t="s">
        <v>12</v>
      </c>
      <c r="E505" s="8" t="n">
        <v>44558</v>
      </c>
      <c r="F505" s="2" t="s">
        <v>15</v>
      </c>
      <c r="G505" s="7" t="str">
        <f aca="false">HYPERLINK("https://mncourtfraud.com/file/MCRO_27-CR-20-2581_Order-Evaluation for Competency to Proceed (Rule 20.01)_2021-12-28_20251126180556.pdf","MCRO_27-CR-20-2581_Order-Evaluation for Competency to Proceed (Rule 20.01)_2021-12-28_20251126180556.pdf")</f>
        <v>MCRO_27-CR-20-2581_Order-Evaluation for Competency to Proceed (Rule 20.01)_2021-12-28_20251126180556.pdf</v>
      </c>
      <c r="H505" s="7" t="str">
        <f aca="false">HYPERLINK("https://mncourtfraud.com/file/f74b3fa2761a8ae1dde11e2edce2594a443ea5dd12db5f6e072514f60ae84cdb.png","f74b3fa2761a8ae1dde11e2edce2594a443ea5dd12db5f6e072514f60ae84cdb")</f>
        <v>f74b3fa2761a8ae1dde11e2edce2594a443ea5dd12db5f6e072514f60ae84cdb</v>
      </c>
      <c r="I505" s="1" t="s">
        <v>3406</v>
      </c>
      <c r="L505" s="2" t="s">
        <v>3412</v>
      </c>
      <c r="M505" s="2" t="n">
        <v>100220</v>
      </c>
      <c r="S505" s="2" t="n">
        <v>2550</v>
      </c>
      <c r="T505" s="2" t="n">
        <v>3300</v>
      </c>
    </row>
    <row r="506" customFormat="false" ht="18.7" hidden="false" customHeight="true" outlineLevel="0" collapsed="false">
      <c r="A506" s="1" t="n">
        <v>505</v>
      </c>
      <c r="B506" s="7" t="str">
        <f aca="false">HYPERLINK("https://mncourtfraud.com/file/27-CR-20-2581.pdf","27-CR-20-2581")</f>
        <v>27-CR-20-2581</v>
      </c>
      <c r="C506" s="1" t="n">
        <v>1</v>
      </c>
      <c r="D506" s="2" t="s">
        <v>12</v>
      </c>
      <c r="E506" s="8" t="n">
        <v>44593</v>
      </c>
      <c r="F506" s="2" t="s">
        <v>19</v>
      </c>
      <c r="G506" s="7" t="str">
        <f aca="false">HYPERLINK("https://mncourtfraud.com/file/MCRO_27-CR-20-2581_Findings and Order_2022-02-01_20251126180358.pdf","MCRO_27-CR-20-2581_Findings and Order_2022-02-01_20251126180358.pdf")</f>
        <v>MCRO_27-CR-20-2581_Findings and Order_2022-02-01_20251126180358.pdf</v>
      </c>
      <c r="H506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506" s="1" t="s">
        <v>3413</v>
      </c>
      <c r="J506" s="2" t="s">
        <v>3426</v>
      </c>
      <c r="K506" s="2" t="s">
        <v>3426</v>
      </c>
      <c r="L506" s="2" t="s">
        <v>3415</v>
      </c>
      <c r="M506" s="2" t="n">
        <v>74997</v>
      </c>
      <c r="N506" s="2" t="s">
        <v>3427</v>
      </c>
    </row>
    <row r="507" customFormat="false" ht="18.7" hidden="false" customHeight="true" outlineLevel="0" collapsed="false">
      <c r="A507" s="1" t="n">
        <v>506</v>
      </c>
      <c r="B507" s="7" t="str">
        <f aca="false">HYPERLINK("https://mncourtfraud.com/file/27-CR-20-2581.pdf","27-CR-20-2581")</f>
        <v>27-CR-20-2581</v>
      </c>
      <c r="C507" s="1" t="n">
        <v>1</v>
      </c>
      <c r="D507" s="2" t="s">
        <v>12</v>
      </c>
      <c r="E507" s="8" t="n">
        <v>44593</v>
      </c>
      <c r="F507" s="2" t="s">
        <v>19</v>
      </c>
      <c r="G507" s="7" t="str">
        <f aca="false">HYPERLINK("https://mncourtfraud.com/file/MCRO_27-CR-20-2581_Findings and Order_2022-02-01_20251126180358.pdf","MCRO_27-CR-20-2581_Findings and Order_2022-02-01_20251126180358.pdf")</f>
        <v>MCRO_27-CR-20-2581_Findings and Order_2022-02-01_20251126180358.pdf</v>
      </c>
      <c r="H507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507" s="1" t="s">
        <v>3428</v>
      </c>
      <c r="J507" s="2" t="s">
        <v>3429</v>
      </c>
      <c r="K507" s="2" t="s">
        <v>3429</v>
      </c>
      <c r="L507" s="2" t="s">
        <v>3415</v>
      </c>
      <c r="M507" s="2" t="n">
        <v>86093</v>
      </c>
    </row>
    <row r="508" customFormat="false" ht="18.7" hidden="false" customHeight="true" outlineLevel="0" collapsed="false">
      <c r="A508" s="1" t="n">
        <v>507</v>
      </c>
      <c r="B508" s="7" t="str">
        <f aca="false">HYPERLINK("https://mncourtfraud.com/file/27-CR-20-2581.pdf","27-CR-20-2581")</f>
        <v>27-CR-20-2581</v>
      </c>
      <c r="C508" s="1" t="n">
        <v>1</v>
      </c>
      <c r="D508" s="2" t="s">
        <v>12</v>
      </c>
      <c r="E508" s="8" t="n">
        <v>44593</v>
      </c>
      <c r="F508" s="2" t="s">
        <v>19</v>
      </c>
      <c r="G508" s="7" t="str">
        <f aca="false">HYPERLINK("https://mncourtfraud.com/file/MCRO_27-CR-20-2581_Findings and Order_2022-02-01_20251126180358.pdf","MCRO_27-CR-20-2581_Findings and Order_2022-02-01_20251126180358.pdf")</f>
        <v>MCRO_27-CR-20-2581_Findings and Order_2022-02-01_20251126180358.pdf</v>
      </c>
      <c r="H508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508" s="1" t="s">
        <v>3413</v>
      </c>
      <c r="J508" s="2" t="s">
        <v>3414</v>
      </c>
      <c r="K508" s="2" t="s">
        <v>3414</v>
      </c>
      <c r="L508" s="2" t="s">
        <v>3415</v>
      </c>
      <c r="M508" s="2" t="n">
        <v>42332</v>
      </c>
    </row>
    <row r="509" customFormat="false" ht="18.7" hidden="false" customHeight="true" outlineLevel="0" collapsed="false">
      <c r="A509" s="1" t="n">
        <v>508</v>
      </c>
      <c r="B509" s="7" t="str">
        <f aca="false">HYPERLINK("https://mncourtfraud.com/file/27-CR-20-2581.pdf","27-CR-20-2581")</f>
        <v>27-CR-20-2581</v>
      </c>
      <c r="C509" s="1" t="n">
        <v>1</v>
      </c>
      <c r="D509" s="2" t="s">
        <v>12</v>
      </c>
      <c r="E509" s="8" t="n">
        <v>44593</v>
      </c>
      <c r="F509" s="2" t="s">
        <v>19</v>
      </c>
      <c r="G509" s="7" t="str">
        <f aca="false">HYPERLINK("https://mncourtfraud.com/file/MCRO_27-CR-20-2581_Findings and Order_2022-02-01_20251126180358.pdf","MCRO_27-CR-20-2581_Findings and Order_2022-02-01_20251126180358.pdf")</f>
        <v>MCRO_27-CR-20-2581_Findings and Order_2022-02-01_20251126180358.pdf</v>
      </c>
      <c r="H509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509" s="1" t="s">
        <v>3413</v>
      </c>
      <c r="J509" s="2" t="s">
        <v>3414</v>
      </c>
      <c r="K509" s="2" t="s">
        <v>3414</v>
      </c>
      <c r="L509" s="2" t="s">
        <v>3415</v>
      </c>
      <c r="M509" s="2" t="n">
        <v>42332</v>
      </c>
    </row>
    <row r="510" customFormat="false" ht="18.7" hidden="false" customHeight="true" outlineLevel="0" collapsed="false">
      <c r="A510" s="1" t="n">
        <v>509</v>
      </c>
      <c r="B510" s="7" t="str">
        <f aca="false">HYPERLINK("https://mncourtfraud.com/file/27-CR-20-2581.pdf","27-CR-20-2581")</f>
        <v>27-CR-20-2581</v>
      </c>
      <c r="C510" s="1" t="n">
        <v>1</v>
      </c>
      <c r="D510" s="2" t="s">
        <v>12</v>
      </c>
      <c r="E510" s="8" t="n">
        <v>44593</v>
      </c>
      <c r="F510" s="2" t="s">
        <v>19</v>
      </c>
      <c r="G510" s="7" t="str">
        <f aca="false">HYPERLINK("https://mncourtfraud.com/file/MCRO_27-CR-20-2581_Findings and Order_2022-02-01_20251126180358.pdf","MCRO_27-CR-20-2581_Findings and Order_2022-02-01_20251126180358.pdf")</f>
        <v>MCRO_27-CR-20-2581_Findings and Order_2022-02-01_20251126180358.pdf</v>
      </c>
      <c r="H510" s="7" t="str">
        <f aca="false">HYPERLINK("https://mncourtfraud.com/file/d1e06f7a12c8d4ae1de62861dbfeadf4f6b52b1cfd6801e548bc1d08782c1451.ttf","d1e06f7a12c8d4ae1de62861dbfeadf4f6b52b1cfd6801e548bc1d08782c1451")</f>
        <v>d1e06f7a12c8d4ae1de62861dbfeadf4f6b52b1cfd6801e548bc1d08782c1451</v>
      </c>
      <c r="I510" s="1" t="s">
        <v>3413</v>
      </c>
      <c r="J510" s="2" t="s">
        <v>3414</v>
      </c>
      <c r="K510" s="2" t="s">
        <v>3416</v>
      </c>
      <c r="L510" s="2" t="s">
        <v>3415</v>
      </c>
      <c r="M510" s="2" t="n">
        <v>28584</v>
      </c>
    </row>
    <row r="511" customFormat="false" ht="18.7" hidden="false" customHeight="true" outlineLevel="0" collapsed="false">
      <c r="A511" s="1" t="n">
        <v>510</v>
      </c>
      <c r="B511" s="7" t="str">
        <f aca="false">HYPERLINK("https://mncourtfraud.com/file/27-CR-20-2581.pdf","27-CR-20-2581")</f>
        <v>27-CR-20-2581</v>
      </c>
      <c r="C511" s="1" t="n">
        <v>1</v>
      </c>
      <c r="D511" s="2" t="s">
        <v>12</v>
      </c>
      <c r="E511" s="8" t="n">
        <v>44593</v>
      </c>
      <c r="F511" s="2" t="s">
        <v>19</v>
      </c>
      <c r="G511" s="7" t="str">
        <f aca="false">HYPERLINK("https://mncourtfraud.com/file/MCRO_27-CR-20-2581_Findings and Order_2022-02-01_20251126180358.pdf","MCRO_27-CR-20-2581_Findings and Order_2022-02-01_20251126180358.pdf")</f>
        <v>MCRO_27-CR-20-2581_Findings and Order_2022-02-01_20251126180358.pdf</v>
      </c>
      <c r="H511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511" s="1" t="s">
        <v>3406</v>
      </c>
      <c r="K511" s="2" t="s">
        <v>3430</v>
      </c>
      <c r="L511" s="2" t="s">
        <v>3408</v>
      </c>
      <c r="M511" s="2" t="n">
        <v>28069</v>
      </c>
      <c r="O511" s="2" t="s">
        <v>3409</v>
      </c>
      <c r="P511" s="2" t="s">
        <v>3410</v>
      </c>
      <c r="S511" s="2" t="n">
        <v>448</v>
      </c>
      <c r="T511" s="2" t="n">
        <v>128</v>
      </c>
    </row>
    <row r="512" customFormat="false" ht="18.7" hidden="false" customHeight="true" outlineLevel="0" collapsed="false">
      <c r="A512" s="1" t="n">
        <v>511</v>
      </c>
      <c r="B512" s="7" t="str">
        <f aca="false">HYPERLINK("https://mncourtfraud.com/file/27-CR-20-2581.pdf","27-CR-20-2581")</f>
        <v>27-CR-20-2581</v>
      </c>
      <c r="C512" s="1" t="n">
        <v>1</v>
      </c>
      <c r="D512" s="2" t="s">
        <v>12</v>
      </c>
      <c r="E512" s="8" t="n">
        <v>44692</v>
      </c>
      <c r="F512" s="2" t="s">
        <v>15</v>
      </c>
      <c r="G512" s="7" t="str">
        <f aca="false">HYPERLINK("https://mncourtfraud.com/file/MCRO_27-CR-20-2581_Order-Evaluation for Competency to Proceed (Rule 20.01)_2022-05-11_20251126180606.pdf","MCRO_27-CR-20-2581_Order-Evaluation for Competency to Proceed (Rule 20.01)_2022-05-11_20251126180606.pdf")</f>
        <v>MCRO_27-CR-20-2581_Order-Evaluation for Competency to Proceed (Rule 20.01)_2022-05-11_20251126180606.pdf</v>
      </c>
      <c r="H512" s="7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512" s="1" t="s">
        <v>3406</v>
      </c>
      <c r="K512" s="2" t="s">
        <v>3432</v>
      </c>
      <c r="L512" s="2" t="s">
        <v>3408</v>
      </c>
      <c r="M512" s="2" t="n">
        <v>21121</v>
      </c>
      <c r="O512" s="2" t="s">
        <v>3409</v>
      </c>
      <c r="P512" s="2" t="s">
        <v>3410</v>
      </c>
      <c r="S512" s="2" t="n">
        <v>695</v>
      </c>
      <c r="T512" s="2" t="n">
        <v>233</v>
      </c>
    </row>
    <row r="513" customFormat="false" ht="18.7" hidden="false" customHeight="true" outlineLevel="0" collapsed="false">
      <c r="A513" s="1" t="n">
        <v>512</v>
      </c>
      <c r="B513" s="7" t="str">
        <f aca="false">HYPERLINK("https://mncourtfraud.com/file/27-CR-20-2581.pdf","27-CR-20-2581")</f>
        <v>27-CR-20-2581</v>
      </c>
      <c r="C513" s="1" t="n">
        <v>1</v>
      </c>
      <c r="D513" s="2" t="s">
        <v>12</v>
      </c>
      <c r="E513" s="8" t="n">
        <v>44692</v>
      </c>
      <c r="F513" s="2" t="s">
        <v>15</v>
      </c>
      <c r="G513" s="7" t="str">
        <f aca="false">HYPERLINK("https://mncourtfraud.com/file/MCRO_27-CR-20-2581_Order-Evaluation for Competency to Proceed (Rule 20.01)_2022-05-11_20251126180606.pdf","MCRO_27-CR-20-2581_Order-Evaluation for Competency to Proceed (Rule 20.01)_2022-05-11_20251126180606.pdf")</f>
        <v>MCRO_27-CR-20-2581_Order-Evaluation for Competency to Proceed (Rule 20.01)_2022-05-11_20251126180606.pdf</v>
      </c>
      <c r="H513" s="7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513" s="1" t="s">
        <v>3406</v>
      </c>
      <c r="K513" s="2" t="s">
        <v>3433</v>
      </c>
      <c r="L513" s="2" t="s">
        <v>3408</v>
      </c>
      <c r="M513" s="2" t="n">
        <v>53838</v>
      </c>
      <c r="O513" s="2" t="s">
        <v>3409</v>
      </c>
      <c r="P513" s="2" t="s">
        <v>3410</v>
      </c>
      <c r="S513" s="2" t="n">
        <v>695</v>
      </c>
      <c r="T513" s="2" t="n">
        <v>233</v>
      </c>
    </row>
    <row r="514" customFormat="false" ht="18.7" hidden="false" customHeight="true" outlineLevel="0" collapsed="false">
      <c r="A514" s="1" t="n">
        <v>513</v>
      </c>
      <c r="B514" s="7" t="str">
        <f aca="false">HYPERLINK("https://mncourtfraud.com/file/27-CR-20-2581.pdf","27-CR-20-2581")</f>
        <v>27-CR-20-2581</v>
      </c>
      <c r="C514" s="1" t="n">
        <v>1</v>
      </c>
      <c r="D514" s="2" t="s">
        <v>12</v>
      </c>
      <c r="E514" s="8" t="n">
        <v>44692</v>
      </c>
      <c r="F514" s="2" t="s">
        <v>15</v>
      </c>
      <c r="G514" s="7" t="str">
        <f aca="false">HYPERLINK("https://mncourtfraud.com/file/MCRO_27-CR-20-2581_Order-Evaluation for Competency to Proceed (Rule 20.01)_2022-05-11_20251126180606.pdf","MCRO_27-CR-20-2581_Order-Evaluation for Competency to Proceed (Rule 20.01)_2022-05-11_20251126180606.pdf")</f>
        <v>MCRO_27-CR-20-2581_Order-Evaluation for Competency to Proceed (Rule 20.01)_2022-05-11_20251126180606.pdf</v>
      </c>
      <c r="H514" s="7" t="str">
        <f aca="false">HYPERLINK("https://mncourtfraud.com/file/322fe0e9595a4df4693edf307e5f8a42a470721d59f006a7b0e86def92125a58.ttf","322fe0e9595a4df4693edf307e5f8a42a470721d59f006a7b0e86def92125a58")</f>
        <v>322fe0e9595a4df4693edf307e5f8a42a470721d59f006a7b0e86def92125a58</v>
      </c>
      <c r="I514" s="1" t="s">
        <v>3413</v>
      </c>
      <c r="J514" s="2" t="s">
        <v>3434</v>
      </c>
      <c r="K514" s="2" t="s">
        <v>3434</v>
      </c>
      <c r="L514" s="2" t="s">
        <v>3415</v>
      </c>
      <c r="M514" s="2" t="n">
        <v>46736</v>
      </c>
      <c r="N514" s="2" t="s">
        <v>3435</v>
      </c>
    </row>
    <row r="515" customFormat="false" ht="18.7" hidden="false" customHeight="true" outlineLevel="0" collapsed="false">
      <c r="A515" s="1" t="n">
        <v>514</v>
      </c>
      <c r="B515" s="7" t="str">
        <f aca="false">HYPERLINK("https://mncourtfraud.com/file/27-CR-20-2581.pdf","27-CR-20-2581")</f>
        <v>27-CR-20-2581</v>
      </c>
      <c r="C515" s="1" t="n">
        <v>1</v>
      </c>
      <c r="D515" s="2" t="s">
        <v>12</v>
      </c>
      <c r="E515" s="8" t="n">
        <v>44692</v>
      </c>
      <c r="F515" s="2" t="s">
        <v>15</v>
      </c>
      <c r="G515" s="7" t="str">
        <f aca="false">HYPERLINK("https://mncourtfraud.com/file/MCRO_27-CR-20-2581_Order-Evaluation for Competency to Proceed (Rule 20.01)_2022-05-11_20251126180606.pdf","MCRO_27-CR-20-2581_Order-Evaluation for Competency to Proceed (Rule 20.01)_2022-05-11_20251126180606.pdf")</f>
        <v>MCRO_27-CR-20-2581_Order-Evaluation for Competency to Proceed (Rule 20.01)_2022-05-11_20251126180606.pdf</v>
      </c>
      <c r="H515" s="7" t="str">
        <f aca="false">HYPERLINK("https://mncourtfraud.com/file/32ebada21768d6238e03c647b5e5acdf6ce656f0735d59c3fb698ce40418a709.ttf","32ebada21768d6238e03c647b5e5acdf6ce656f0735d59c3fb698ce40418a709")</f>
        <v>32ebada21768d6238e03c647b5e5acdf6ce656f0735d59c3fb698ce40418a709</v>
      </c>
      <c r="I515" s="1" t="s">
        <v>3413</v>
      </c>
      <c r="J515" s="2" t="s">
        <v>3436</v>
      </c>
      <c r="K515" s="2" t="s">
        <v>3436</v>
      </c>
      <c r="L515" s="2" t="s">
        <v>3415</v>
      </c>
      <c r="M515" s="2" t="n">
        <v>65744</v>
      </c>
      <c r="N515" s="2" t="s">
        <v>3437</v>
      </c>
    </row>
    <row r="516" customFormat="false" ht="18.7" hidden="false" customHeight="true" outlineLevel="0" collapsed="false">
      <c r="A516" s="1" t="n">
        <v>515</v>
      </c>
      <c r="B516" s="7" t="str">
        <f aca="false">HYPERLINK("https://mncourtfraud.com/file/27-CR-20-2581.pdf","27-CR-20-2581")</f>
        <v>27-CR-20-2581</v>
      </c>
      <c r="C516" s="1" t="n">
        <v>1</v>
      </c>
      <c r="D516" s="2" t="s">
        <v>12</v>
      </c>
      <c r="E516" s="8" t="n">
        <v>44692</v>
      </c>
      <c r="F516" s="2" t="s">
        <v>15</v>
      </c>
      <c r="G516" s="7" t="str">
        <f aca="false">HYPERLINK("https://mncourtfraud.com/file/MCRO_27-CR-20-2581_Order-Evaluation for Competency to Proceed (Rule 20.01)_2022-05-11_20251126180606.pdf","MCRO_27-CR-20-2581_Order-Evaluation for Competency to Proceed (Rule 20.01)_2022-05-11_20251126180606.pdf")</f>
        <v>MCRO_27-CR-20-2581_Order-Evaluation for Competency to Proceed (Rule 20.01)_2022-05-11_20251126180606.pdf</v>
      </c>
      <c r="H516" s="7" t="str">
        <f aca="false">HYPERLINK("https://mncourtfraud.com/file/694dcb82a5515430b7fddfbf16881b942820c8c41fee3eea3505a20c7d4e41e6.ttf","694dcb82a5515430b7fddfbf16881b942820c8c41fee3eea3505a20c7d4e41e6")</f>
        <v>694dcb82a5515430b7fddfbf16881b942820c8c41fee3eea3505a20c7d4e41e6</v>
      </c>
      <c r="I516" s="1" t="s">
        <v>3413</v>
      </c>
      <c r="J516" s="2" t="s">
        <v>3438</v>
      </c>
      <c r="K516" s="2" t="s">
        <v>3438</v>
      </c>
      <c r="L516" s="2" t="s">
        <v>3415</v>
      </c>
      <c r="M516" s="2" t="n">
        <v>72828</v>
      </c>
      <c r="N516" s="2" t="s">
        <v>3439</v>
      </c>
    </row>
    <row r="517" customFormat="false" ht="18.7" hidden="false" customHeight="true" outlineLevel="0" collapsed="false">
      <c r="A517" s="1" t="n">
        <v>516</v>
      </c>
      <c r="B517" s="7" t="str">
        <f aca="false">HYPERLINK("https://mncourtfraud.com/file/27-CR-20-2581.pdf","27-CR-20-2581")</f>
        <v>27-CR-20-2581</v>
      </c>
      <c r="C517" s="1" t="n">
        <v>1</v>
      </c>
      <c r="D517" s="2" t="s">
        <v>12</v>
      </c>
      <c r="E517" s="8" t="n">
        <v>44692</v>
      </c>
      <c r="F517" s="2" t="s">
        <v>15</v>
      </c>
      <c r="G517" s="7" t="str">
        <f aca="false">HYPERLINK("https://mncourtfraud.com/file/MCRO_27-CR-20-2581_Order-Evaluation for Competency to Proceed (Rule 20.01)_2022-05-11_20251126180606.pdf","MCRO_27-CR-20-2581_Order-Evaluation for Competency to Proceed (Rule 20.01)_2022-05-11_20251126180606.pdf")</f>
        <v>MCRO_27-CR-20-2581_Order-Evaluation for Competency to Proceed (Rule 20.01)_2022-05-11_20251126180606.pdf</v>
      </c>
      <c r="H517" s="7" t="str">
        <f aca="false">HYPERLINK("https://mncourtfraud.com/file/87764021d6d62f7c396208d3f1fa8113e5ad5f90bd03c35e7200536389af4e6a.ttf","87764021d6d62f7c396208d3f1fa8113e5ad5f90bd03c35e7200536389af4e6a")</f>
        <v>87764021d6d62f7c396208d3f1fa8113e5ad5f90bd03c35e7200536389af4e6a</v>
      </c>
      <c r="I517" s="1" t="s">
        <v>3413</v>
      </c>
      <c r="J517" s="2" t="s">
        <v>3440</v>
      </c>
      <c r="K517" s="2" t="s">
        <v>3440</v>
      </c>
      <c r="L517" s="2" t="s">
        <v>3415</v>
      </c>
      <c r="M517" s="2" t="n">
        <v>6280</v>
      </c>
      <c r="N517" s="2" t="s">
        <v>3441</v>
      </c>
    </row>
    <row r="518" customFormat="false" ht="18.7" hidden="false" customHeight="true" outlineLevel="0" collapsed="false">
      <c r="A518" s="1" t="n">
        <v>517</v>
      </c>
      <c r="B518" s="7" t="str">
        <f aca="false">HYPERLINK("https://mncourtfraud.com/file/27-CR-20-2581.pdf","27-CR-20-2581")</f>
        <v>27-CR-20-2581</v>
      </c>
      <c r="C518" s="1" t="n">
        <v>1</v>
      </c>
      <c r="D518" s="2" t="s">
        <v>12</v>
      </c>
      <c r="E518" s="8" t="n">
        <v>44692</v>
      </c>
      <c r="F518" s="2" t="s">
        <v>15</v>
      </c>
      <c r="G518" s="7" t="str">
        <f aca="false">HYPERLINK("https://mncourtfraud.com/file/MCRO_27-CR-20-2581_Order-Evaluation for Competency to Proceed (Rule 20.01)_2022-05-11_20251126180606.pdf","MCRO_27-CR-20-2581_Order-Evaluation for Competency to Proceed (Rule 20.01)_2022-05-11_20251126180606.pdf")</f>
        <v>MCRO_27-CR-20-2581_Order-Evaluation for Competency to Proceed (Rule 20.01)_2022-05-11_20251126180606.pdf</v>
      </c>
      <c r="H518" s="7" t="str">
        <f aca="false">HYPERLINK("https://mncourtfraud.com/file/a1ad71f465be26cf6bb430c59ae6133d3c381ada339ba3c6b2eadf32a9b4096b.ttf","a1ad71f465be26cf6bb430c59ae6133d3c381ada339ba3c6b2eadf32a9b4096b")</f>
        <v>a1ad71f465be26cf6bb430c59ae6133d3c381ada339ba3c6b2eadf32a9b4096b</v>
      </c>
      <c r="I518" s="1" t="s">
        <v>3413</v>
      </c>
      <c r="J518" s="2" t="s">
        <v>3442</v>
      </c>
      <c r="K518" s="2" t="s">
        <v>3442</v>
      </c>
      <c r="L518" s="2" t="s">
        <v>3415</v>
      </c>
      <c r="M518" s="2" t="n">
        <v>5988</v>
      </c>
      <c r="N518" s="2" t="s">
        <v>3443</v>
      </c>
    </row>
    <row r="519" customFormat="false" ht="18.7" hidden="false" customHeight="true" outlineLevel="0" collapsed="false">
      <c r="A519" s="1" t="n">
        <v>518</v>
      </c>
      <c r="B519" s="7" t="str">
        <f aca="false">HYPERLINK("https://mncourtfraud.com/file/27-CR-20-2581.pdf","27-CR-20-2581")</f>
        <v>27-CR-20-2581</v>
      </c>
      <c r="C519" s="1" t="n">
        <v>1</v>
      </c>
      <c r="D519" s="2" t="s">
        <v>12</v>
      </c>
      <c r="E519" s="8" t="n">
        <v>44692</v>
      </c>
      <c r="F519" s="2" t="s">
        <v>15</v>
      </c>
      <c r="G519" s="7" t="str">
        <f aca="false">HYPERLINK("https://mncourtfraud.com/file/MCRO_27-CR-20-2581_Order-Evaluation for Competency to Proceed (Rule 20.01)_2022-05-11_20251126180606.pdf","MCRO_27-CR-20-2581_Order-Evaluation for Competency to Proceed (Rule 20.01)_2022-05-11_20251126180606.pdf")</f>
        <v>MCRO_27-CR-20-2581_Order-Evaluation for Competency to Proceed (Rule 20.01)_2022-05-11_20251126180606.pdf</v>
      </c>
      <c r="H519" s="7" t="str">
        <f aca="false">HYPERLINK("https://mncourtfraud.com/file/e1befe23dc5d05be4c8e965e6fc9e74e95400600e0da0c86dd389645355f3ad1.ttf","e1befe23dc5d05be4c8e965e6fc9e74e95400600e0da0c86dd389645355f3ad1")</f>
        <v>e1befe23dc5d05be4c8e965e6fc9e74e95400600e0da0c86dd389645355f3ad1</v>
      </c>
      <c r="I519" s="1" t="s">
        <v>3413</v>
      </c>
      <c r="J519" s="2" t="s">
        <v>3444</v>
      </c>
      <c r="K519" s="2" t="s">
        <v>3444</v>
      </c>
      <c r="L519" s="2" t="s">
        <v>3415</v>
      </c>
      <c r="M519" s="2" t="n">
        <v>94308</v>
      </c>
      <c r="N519" s="2" t="s">
        <v>3445</v>
      </c>
    </row>
    <row r="520" customFormat="false" ht="18.7" hidden="false" customHeight="true" outlineLevel="0" collapsed="false">
      <c r="A520" s="1" t="n">
        <v>519</v>
      </c>
      <c r="B520" s="7" t="str">
        <f aca="false">HYPERLINK("https://mncourtfraud.com/file/27-CR-20-2581.pdf","27-CR-20-2581")</f>
        <v>27-CR-20-2581</v>
      </c>
      <c r="C520" s="1" t="n">
        <v>1</v>
      </c>
      <c r="D520" s="2" t="s">
        <v>12</v>
      </c>
      <c r="E520" s="8" t="n">
        <v>44895</v>
      </c>
      <c r="F520" s="2" t="s">
        <v>15</v>
      </c>
      <c r="G520" s="7" t="str">
        <f aca="false">HYPERLINK("https://mncourtfraud.com/file/MCRO_27-CR-20-2581_Order-Evaluation for Competency to Proceed (Rule 20.01)_2022-11-30_20251126180618.pdf","MCRO_27-CR-20-2581_Order-Evaluation for Competency to Proceed (Rule 20.01)_2022-11-30_20251126180618.pdf")</f>
        <v>MCRO_27-CR-20-2581_Order-Evaluation for Competency to Proceed (Rule 20.01)_2022-11-30_20251126180618.pdf</v>
      </c>
      <c r="H520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520" s="1" t="s">
        <v>3413</v>
      </c>
      <c r="J520" s="2" t="s">
        <v>3423</v>
      </c>
      <c r="K520" s="2" t="s">
        <v>3423</v>
      </c>
      <c r="L520" s="2" t="s">
        <v>3415</v>
      </c>
      <c r="M520" s="2" t="n">
        <v>11088</v>
      </c>
    </row>
    <row r="521" customFormat="false" ht="18.7" hidden="false" customHeight="true" outlineLevel="0" collapsed="false">
      <c r="A521" s="1" t="n">
        <v>520</v>
      </c>
      <c r="B521" s="7" t="str">
        <f aca="false">HYPERLINK("https://mncourtfraud.com/file/27-CR-20-2581.pdf","27-CR-20-2581")</f>
        <v>27-CR-20-2581</v>
      </c>
      <c r="C521" s="1" t="n">
        <v>1</v>
      </c>
      <c r="D521" s="2" t="s">
        <v>12</v>
      </c>
      <c r="E521" s="8" t="n">
        <v>44895</v>
      </c>
      <c r="F521" s="2" t="s">
        <v>15</v>
      </c>
      <c r="G521" s="7" t="str">
        <f aca="false">HYPERLINK("https://mncourtfraud.com/file/MCRO_27-CR-20-2581_Order-Evaluation for Competency to Proceed (Rule 20.01)_2022-11-30_20251126180618.pdf","MCRO_27-CR-20-2581_Order-Evaluation for Competency to Proceed (Rule 20.01)_2022-11-30_20251126180618.pdf")</f>
        <v>MCRO_27-CR-20-2581_Order-Evaluation for Competency to Proceed (Rule 20.01)_2022-11-30_20251126180618.pdf</v>
      </c>
      <c r="H521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521" s="1" t="s">
        <v>3413</v>
      </c>
      <c r="J521" s="2" t="s">
        <v>3446</v>
      </c>
      <c r="K521" s="2" t="s">
        <v>3446</v>
      </c>
      <c r="L521" s="2" t="s">
        <v>3415</v>
      </c>
      <c r="M521" s="2" t="n">
        <v>55072</v>
      </c>
      <c r="N521" s="2" t="s">
        <v>3447</v>
      </c>
    </row>
    <row r="522" customFormat="false" ht="18.7" hidden="false" customHeight="true" outlineLevel="0" collapsed="false">
      <c r="A522" s="1" t="n">
        <v>521</v>
      </c>
      <c r="B522" s="7" t="str">
        <f aca="false">HYPERLINK("https://mncourtfraud.com/file/27-CR-20-2581.pdf","27-CR-20-2581")</f>
        <v>27-CR-20-2581</v>
      </c>
      <c r="C522" s="1" t="n">
        <v>1</v>
      </c>
      <c r="D522" s="2" t="s">
        <v>12</v>
      </c>
      <c r="E522" s="8" t="n">
        <v>44895</v>
      </c>
      <c r="F522" s="2" t="s">
        <v>15</v>
      </c>
      <c r="G522" s="7" t="str">
        <f aca="false">HYPERLINK("https://mncourtfraud.com/file/MCRO_27-CR-20-2581_Order-Evaluation for Competency to Proceed (Rule 20.01)_2022-11-30_20251126180618.pdf","MCRO_27-CR-20-2581_Order-Evaluation for Competency to Proceed (Rule 20.01)_2022-11-30_20251126180618.pdf")</f>
        <v>MCRO_27-CR-20-2581_Order-Evaluation for Competency to Proceed (Rule 20.01)_2022-11-30_20251126180618.pdf</v>
      </c>
      <c r="H522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522" s="1" t="s">
        <v>3413</v>
      </c>
      <c r="J522" s="2" t="s">
        <v>3424</v>
      </c>
      <c r="K522" s="2" t="s">
        <v>3424</v>
      </c>
      <c r="L522" s="2" t="s">
        <v>3415</v>
      </c>
      <c r="M522" s="2" t="n">
        <v>14252</v>
      </c>
    </row>
    <row r="523" customFormat="false" ht="18.7" hidden="false" customHeight="true" outlineLevel="0" collapsed="false">
      <c r="A523" s="1" t="n">
        <v>522</v>
      </c>
      <c r="B523" s="7" t="str">
        <f aca="false">HYPERLINK("https://mncourtfraud.com/file/27-CR-20-2581.pdf","27-CR-20-2581")</f>
        <v>27-CR-20-2581</v>
      </c>
      <c r="C523" s="1" t="n">
        <v>1</v>
      </c>
      <c r="D523" s="2" t="s">
        <v>12</v>
      </c>
      <c r="E523" s="8" t="n">
        <v>44895</v>
      </c>
      <c r="F523" s="2" t="s">
        <v>15</v>
      </c>
      <c r="G523" s="7" t="str">
        <f aca="false">HYPERLINK("https://mncourtfraud.com/file/MCRO_27-CR-20-2581_Order-Evaluation for Competency to Proceed (Rule 20.01)_2022-11-30_20251126180618.pdf","MCRO_27-CR-20-2581_Order-Evaluation for Competency to Proceed (Rule 20.01)_2022-11-30_20251126180618.pdf")</f>
        <v>MCRO_27-CR-20-2581_Order-Evaluation for Competency to Proceed (Rule 20.01)_2022-11-30_20251126180618.pdf</v>
      </c>
      <c r="H523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523" s="1" t="s">
        <v>3406</v>
      </c>
      <c r="K523" s="2" t="s">
        <v>3420</v>
      </c>
      <c r="L523" s="2" t="s">
        <v>3408</v>
      </c>
      <c r="M523" s="2" t="n">
        <v>7306</v>
      </c>
      <c r="O523" s="2" t="s">
        <v>3409</v>
      </c>
      <c r="P523" s="2" t="s">
        <v>3410</v>
      </c>
      <c r="S523" s="2" t="n">
        <v>319</v>
      </c>
      <c r="T523" s="2" t="n">
        <v>105</v>
      </c>
    </row>
    <row r="524" customFormat="false" ht="18.7" hidden="false" customHeight="true" outlineLevel="0" collapsed="false">
      <c r="A524" s="1" t="n">
        <v>523</v>
      </c>
      <c r="B524" s="7" t="str">
        <f aca="false">HYPERLINK("https://mncourtfraud.com/file/27-CR-20-2581.pdf","27-CR-20-2581")</f>
        <v>27-CR-20-2581</v>
      </c>
      <c r="C524" s="1" t="n">
        <v>1</v>
      </c>
      <c r="D524" s="2" t="s">
        <v>12</v>
      </c>
      <c r="E524" s="8" t="n">
        <v>44895</v>
      </c>
      <c r="F524" s="2" t="s">
        <v>15</v>
      </c>
      <c r="G524" s="7" t="str">
        <f aca="false">HYPERLINK("https://mncourtfraud.com/file/MCRO_27-CR-20-2581_Order-Evaluation for Competency to Proceed (Rule 20.01)_2022-11-30_20251126180618.pdf","MCRO_27-CR-20-2581_Order-Evaluation for Competency to Proceed (Rule 20.01)_2022-11-30_20251126180618.pdf")</f>
        <v>MCRO_27-CR-20-2581_Order-Evaluation for Competency to Proceed (Rule 20.01)_2022-11-30_20251126180618.pdf</v>
      </c>
      <c r="H524" s="7" t="str">
        <f aca="false">HYPERLINK("https://mncourtfraud.com/file/677e52a3b8403ce87e338b0a2e31e6f8e5ddf03fb0ca7043a341135cf0255eaa.ttf","677e52a3b8403ce87e338b0a2e31e6f8e5ddf03fb0ca7043a341135cf0255eaa")</f>
        <v>677e52a3b8403ce87e338b0a2e31e6f8e5ddf03fb0ca7043a341135cf0255eaa</v>
      </c>
      <c r="I524" s="1" t="s">
        <v>3413</v>
      </c>
      <c r="J524" s="2" t="s">
        <v>3422</v>
      </c>
      <c r="K524" s="2" t="s">
        <v>3422</v>
      </c>
      <c r="L524" s="2" t="s">
        <v>3415</v>
      </c>
      <c r="M524" s="2" t="n">
        <v>149960</v>
      </c>
    </row>
    <row r="525" customFormat="false" ht="18.7" hidden="false" customHeight="true" outlineLevel="0" collapsed="false">
      <c r="A525" s="1" t="n">
        <v>524</v>
      </c>
      <c r="B525" s="7" t="str">
        <f aca="false">HYPERLINK("https://mncourtfraud.com/file/27-CR-20-2581.pdf","27-CR-20-2581")</f>
        <v>27-CR-20-2581</v>
      </c>
      <c r="C525" s="1" t="n">
        <v>1</v>
      </c>
      <c r="D525" s="2" t="s">
        <v>12</v>
      </c>
      <c r="E525" s="8" t="n">
        <v>44895</v>
      </c>
      <c r="F525" s="2" t="s">
        <v>15</v>
      </c>
      <c r="G525" s="7" t="str">
        <f aca="false">HYPERLINK("https://mncourtfraud.com/file/MCRO_27-CR-20-2581_Order-Evaluation for Competency to Proceed (Rule 20.01)_2022-11-30_20251126180618.pdf","MCRO_27-CR-20-2581_Order-Evaluation for Competency to Proceed (Rule 20.01)_2022-11-30_20251126180618.pdf")</f>
        <v>MCRO_27-CR-20-2581_Order-Evaluation for Competency to Proceed (Rule 20.01)_2022-11-30_20251126180618.pdf</v>
      </c>
      <c r="H525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525" s="1" t="s">
        <v>3413</v>
      </c>
      <c r="J525" s="2" t="s">
        <v>3448</v>
      </c>
      <c r="K525" s="2" t="s">
        <v>3448</v>
      </c>
      <c r="L525" s="2" t="s">
        <v>3415</v>
      </c>
      <c r="M525" s="2" t="n">
        <v>916684</v>
      </c>
    </row>
    <row r="526" customFormat="false" ht="18.7" hidden="false" customHeight="true" outlineLevel="0" collapsed="false">
      <c r="A526" s="1" t="n">
        <v>525</v>
      </c>
      <c r="B526" s="7" t="str">
        <f aca="false">HYPERLINK("https://mncourtfraud.com/file/27-CR-20-2581.pdf","27-CR-20-2581")</f>
        <v>27-CR-20-2581</v>
      </c>
      <c r="C526" s="1" t="n">
        <v>1</v>
      </c>
      <c r="D526" s="2" t="s">
        <v>12</v>
      </c>
      <c r="E526" s="8" t="n">
        <v>44895</v>
      </c>
      <c r="F526" s="2" t="s">
        <v>15</v>
      </c>
      <c r="G526" s="7" t="str">
        <f aca="false">HYPERLINK("https://mncourtfraud.com/file/MCRO_27-CR-20-2581_Order-Evaluation for Competency to Proceed (Rule 20.01)_2022-11-30_20251126180618.pdf","MCRO_27-CR-20-2581_Order-Evaluation for Competency to Proceed (Rule 20.01)_2022-11-30_20251126180618.pdf")</f>
        <v>MCRO_27-CR-20-2581_Order-Evaluation for Competency to Proceed (Rule 20.01)_2022-11-30_20251126180618.pdf</v>
      </c>
      <c r="H526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526" s="1" t="s">
        <v>3406</v>
      </c>
      <c r="K526" s="2" t="s">
        <v>3425</v>
      </c>
      <c r="L526" s="2" t="s">
        <v>3408</v>
      </c>
      <c r="M526" s="2" t="n">
        <v>21225</v>
      </c>
      <c r="O526" s="2" t="s">
        <v>3409</v>
      </c>
      <c r="P526" s="2" t="s">
        <v>3410</v>
      </c>
      <c r="S526" s="2" t="n">
        <v>319</v>
      </c>
      <c r="T526" s="2" t="n">
        <v>105</v>
      </c>
    </row>
    <row r="527" customFormat="false" ht="18.7" hidden="false" customHeight="true" outlineLevel="0" collapsed="false">
      <c r="A527" s="1" t="n">
        <v>526</v>
      </c>
      <c r="B527" s="7" t="str">
        <f aca="false">HYPERLINK("https://mncourtfraud.com/file/27-CR-20-2581.pdf","27-CR-20-2581")</f>
        <v>27-CR-20-2581</v>
      </c>
      <c r="C527" s="1" t="n">
        <v>1</v>
      </c>
      <c r="D527" s="2" t="s">
        <v>12</v>
      </c>
      <c r="E527" s="8" t="n">
        <v>44895</v>
      </c>
      <c r="F527" s="2" t="s">
        <v>15</v>
      </c>
      <c r="G527" s="7" t="str">
        <f aca="false">HYPERLINK("https://mncourtfraud.com/file/MCRO_27-CR-20-2581_Order-Evaluation for Competency to Proceed (Rule 20.01)_2022-11-30_20251126180618.pdf","MCRO_27-CR-20-2581_Order-Evaluation for Competency to Proceed (Rule 20.01)_2022-11-30_20251126180618.pdf")</f>
        <v>MCRO_27-CR-20-2581_Order-Evaluation for Competency to Proceed (Rule 20.01)_2022-11-30_20251126180618.pdf</v>
      </c>
      <c r="H527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527" s="1" t="s">
        <v>3413</v>
      </c>
      <c r="J527" s="2" t="s">
        <v>3449</v>
      </c>
      <c r="K527" s="2" t="s">
        <v>3449</v>
      </c>
      <c r="L527" s="2" t="s">
        <v>3415</v>
      </c>
      <c r="M527" s="2" t="n">
        <v>124664</v>
      </c>
    </row>
    <row r="528" customFormat="false" ht="18.7" hidden="false" customHeight="true" outlineLevel="0" collapsed="false">
      <c r="A528" s="1" t="n">
        <v>527</v>
      </c>
      <c r="B528" s="7" t="str">
        <f aca="false">HYPERLINK("https://mncourtfraud.com/file/27-CR-20-2581.pdf","27-CR-20-2581")</f>
        <v>27-CR-20-2581</v>
      </c>
      <c r="C528" s="1" t="n">
        <v>1</v>
      </c>
      <c r="D528" s="2" t="s">
        <v>12</v>
      </c>
      <c r="E528" s="8" t="n">
        <v>44895</v>
      </c>
      <c r="F528" s="2" t="s">
        <v>15</v>
      </c>
      <c r="G528" s="7" t="str">
        <f aca="false">HYPERLINK("https://mncourtfraud.com/file/MCRO_27-CR-20-2581_Order-Evaluation for Competency to Proceed (Rule 20.01)_2022-11-30_20251126180618.pdf","MCRO_27-CR-20-2581_Order-Evaluation for Competency to Proceed (Rule 20.01)_2022-11-30_20251126180618.pdf")</f>
        <v>MCRO_27-CR-20-2581_Order-Evaluation for Competency to Proceed (Rule 20.01)_2022-11-30_20251126180618.pdf</v>
      </c>
      <c r="H528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528" s="1" t="s">
        <v>3413</v>
      </c>
      <c r="J528" s="2" t="s">
        <v>3449</v>
      </c>
      <c r="K528" s="2" t="s">
        <v>3449</v>
      </c>
      <c r="L528" s="2" t="s">
        <v>3415</v>
      </c>
      <c r="M528" s="2" t="n">
        <v>124664</v>
      </c>
    </row>
    <row r="529" customFormat="false" ht="18.7" hidden="false" customHeight="true" outlineLevel="0" collapsed="false">
      <c r="A529" s="1" t="n">
        <v>528</v>
      </c>
      <c r="B529" s="7" t="str">
        <f aca="false">HYPERLINK("https://mncourtfraud.com/file/27-CR-20-2581.pdf","27-CR-20-2581")</f>
        <v>27-CR-20-2581</v>
      </c>
      <c r="C529" s="1" t="n">
        <v>1</v>
      </c>
      <c r="D529" s="2" t="s">
        <v>12</v>
      </c>
      <c r="E529" s="8" t="n">
        <v>45048</v>
      </c>
      <c r="F529" s="2" t="s">
        <v>80</v>
      </c>
      <c r="G529" s="7" t="str">
        <f aca="false">HYPERLINK("https://mncourtfraud.com/file/MCRO_27-CR-20-2581_Finding of Incompetency and Order_2023-05-02_20251126180343.pdf","MCRO_27-CR-20-2581_Finding of Incompetency and Order_2023-05-02_20251126180343.pdf")</f>
        <v>MCRO_27-CR-20-2581_Finding of Incompetency and Order_2023-05-02_20251126180343.pdf</v>
      </c>
      <c r="H529" s="7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529" s="1" t="s">
        <v>3406</v>
      </c>
      <c r="L529" s="2" t="s">
        <v>3412</v>
      </c>
      <c r="M529" s="2" t="n">
        <v>3506</v>
      </c>
      <c r="S529" s="2" t="n">
        <v>1410</v>
      </c>
      <c r="T529" s="2" t="n">
        <v>150</v>
      </c>
    </row>
    <row r="530" customFormat="false" ht="18.7" hidden="false" customHeight="true" outlineLevel="0" collapsed="false">
      <c r="A530" s="1" t="n">
        <v>529</v>
      </c>
      <c r="B530" s="7" t="str">
        <f aca="false">HYPERLINK("https://mncourtfraud.com/file/27-CR-20-2581.pdf","27-CR-20-2581")</f>
        <v>27-CR-20-2581</v>
      </c>
      <c r="C530" s="1" t="n">
        <v>1</v>
      </c>
      <c r="D530" s="2" t="s">
        <v>12</v>
      </c>
      <c r="E530" s="8" t="n">
        <v>45048</v>
      </c>
      <c r="F530" s="2" t="s">
        <v>80</v>
      </c>
      <c r="G530" s="7" t="str">
        <f aca="false">HYPERLINK("https://mncourtfraud.com/file/MCRO_27-CR-20-2581_Finding of Incompetency and Order_2023-05-02_20251126180343.pdf","MCRO_27-CR-20-2581_Finding of Incompetency and Order_2023-05-02_20251126180343.pdf")</f>
        <v>MCRO_27-CR-20-2581_Finding of Incompetency and Order_2023-05-02_20251126180343.pdf</v>
      </c>
      <c r="H530" s="7" t="str">
        <f aca="false">HYPERLINK("https://mncourtfraud.com/file/18befca089509ee2fbaddf9c5b79bf5988523b22d2369743ed9a591b9fc3bdb6.ttf","18befca089509ee2fbaddf9c5b79bf5988523b22d2369743ed9a591b9fc3bdb6")</f>
        <v>18befca089509ee2fbaddf9c5b79bf5988523b22d2369743ed9a591b9fc3bdb6</v>
      </c>
      <c r="I530" s="1" t="s">
        <v>3413</v>
      </c>
      <c r="J530" s="2" t="s">
        <v>3421</v>
      </c>
      <c r="K530" s="2" t="s">
        <v>3450</v>
      </c>
      <c r="L530" s="2" t="s">
        <v>3415</v>
      </c>
      <c r="M530" s="2" t="n">
        <v>115928</v>
      </c>
    </row>
    <row r="531" customFormat="false" ht="18.7" hidden="false" customHeight="true" outlineLevel="0" collapsed="false">
      <c r="A531" s="1" t="n">
        <v>530</v>
      </c>
      <c r="B531" s="7" t="str">
        <f aca="false">HYPERLINK("https://mncourtfraud.com/file/27-CR-20-2581.pdf","27-CR-20-2581")</f>
        <v>27-CR-20-2581</v>
      </c>
      <c r="C531" s="1" t="n">
        <v>1</v>
      </c>
      <c r="D531" s="2" t="s">
        <v>12</v>
      </c>
      <c r="E531" s="8" t="n">
        <v>45048</v>
      </c>
      <c r="F531" s="2" t="s">
        <v>80</v>
      </c>
      <c r="G531" s="7" t="str">
        <f aca="false">HYPERLINK("https://mncourtfraud.com/file/MCRO_27-CR-20-2581_Finding of Incompetency and Order_2023-05-02_20251126180343.pdf","MCRO_27-CR-20-2581_Finding of Incompetency and Order_2023-05-02_20251126180343.pdf")</f>
        <v>MCRO_27-CR-20-2581_Finding of Incompetency and Order_2023-05-02_20251126180343.pdf</v>
      </c>
      <c r="H531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531" s="1" t="s">
        <v>3413</v>
      </c>
      <c r="J531" s="2" t="s">
        <v>3446</v>
      </c>
      <c r="K531" s="2" t="s">
        <v>3446</v>
      </c>
      <c r="L531" s="2" t="s">
        <v>3415</v>
      </c>
      <c r="M531" s="2" t="n">
        <v>55072</v>
      </c>
      <c r="N531" s="2" t="s">
        <v>3447</v>
      </c>
    </row>
    <row r="532" customFormat="false" ht="18.7" hidden="false" customHeight="true" outlineLevel="0" collapsed="false">
      <c r="A532" s="1" t="n">
        <v>531</v>
      </c>
      <c r="B532" s="7" t="str">
        <f aca="false">HYPERLINK("https://mncourtfraud.com/file/27-CR-20-2581.pdf","27-CR-20-2581")</f>
        <v>27-CR-20-2581</v>
      </c>
      <c r="C532" s="1" t="n">
        <v>1</v>
      </c>
      <c r="D532" s="2" t="s">
        <v>12</v>
      </c>
      <c r="E532" s="8" t="n">
        <v>45048</v>
      </c>
      <c r="F532" s="2" t="s">
        <v>80</v>
      </c>
      <c r="G532" s="7" t="str">
        <f aca="false">HYPERLINK("https://mncourtfraud.com/file/MCRO_27-CR-20-2581_Finding of Incompetency and Order_2023-05-02_20251126180343.pdf","MCRO_27-CR-20-2581_Finding of Incompetency and Order_2023-05-02_20251126180343.pdf")</f>
        <v>MCRO_27-CR-20-2581_Finding of Incompetency and Order_2023-05-02_20251126180343.pdf</v>
      </c>
      <c r="H532" s="7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532" s="1" t="s">
        <v>3406</v>
      </c>
      <c r="K532" s="2" t="s">
        <v>3451</v>
      </c>
      <c r="L532" s="2" t="s">
        <v>3408</v>
      </c>
      <c r="M532" s="2" t="n">
        <v>5295</v>
      </c>
      <c r="O532" s="2" t="s">
        <v>3452</v>
      </c>
      <c r="P532" s="2" t="s">
        <v>3410</v>
      </c>
      <c r="S532" s="2" t="n">
        <v>833</v>
      </c>
      <c r="T532" s="2" t="n">
        <v>186</v>
      </c>
    </row>
    <row r="533" customFormat="false" ht="18.7" hidden="false" customHeight="true" outlineLevel="0" collapsed="false">
      <c r="A533" s="1" t="n">
        <v>532</v>
      </c>
      <c r="B533" s="7" t="str">
        <f aca="false">HYPERLINK("https://mncourtfraud.com/file/27-CR-20-2581.pdf","27-CR-20-2581")</f>
        <v>27-CR-20-2581</v>
      </c>
      <c r="C533" s="1" t="n">
        <v>1</v>
      </c>
      <c r="D533" s="2" t="s">
        <v>12</v>
      </c>
      <c r="E533" s="8" t="n">
        <v>45048</v>
      </c>
      <c r="F533" s="2" t="s">
        <v>80</v>
      </c>
      <c r="G533" s="7" t="str">
        <f aca="false">HYPERLINK("https://mncourtfraud.com/file/MCRO_27-CR-20-2581_Finding of Incompetency and Order_2023-05-02_20251126180343.pdf","MCRO_27-CR-20-2581_Finding of Incompetency and Order_2023-05-02_20251126180343.pdf")</f>
        <v>MCRO_27-CR-20-2581_Finding of Incompetency and Order_2023-05-02_20251126180343.pdf</v>
      </c>
      <c r="H533" s="7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533" s="1" t="s">
        <v>3406</v>
      </c>
      <c r="K533" s="2" t="s">
        <v>3453</v>
      </c>
      <c r="L533" s="2" t="s">
        <v>3408</v>
      </c>
      <c r="M533" s="2" t="n">
        <v>3442</v>
      </c>
      <c r="O533" s="2" t="s">
        <v>3454</v>
      </c>
      <c r="P533" s="2" t="s">
        <v>3410</v>
      </c>
      <c r="S533" s="2" t="n">
        <v>857</v>
      </c>
      <c r="T533" s="2" t="n">
        <v>184</v>
      </c>
    </row>
    <row r="534" customFormat="false" ht="18.7" hidden="false" customHeight="true" outlineLevel="0" collapsed="false">
      <c r="A534" s="1" t="n">
        <v>533</v>
      </c>
      <c r="B534" s="7" t="str">
        <f aca="false">HYPERLINK("https://mncourtfraud.com/file/27-CR-20-2581.pdf","27-CR-20-2581")</f>
        <v>27-CR-20-2581</v>
      </c>
      <c r="C534" s="1" t="n">
        <v>1</v>
      </c>
      <c r="D534" s="2" t="s">
        <v>12</v>
      </c>
      <c r="E534" s="8" t="n">
        <v>45048</v>
      </c>
      <c r="F534" s="2" t="s">
        <v>80</v>
      </c>
      <c r="G534" s="7" t="str">
        <f aca="false">HYPERLINK("https://mncourtfraud.com/file/MCRO_27-CR-20-2581_Finding of Incompetency and Order_2023-05-02_20251126180343.pdf","MCRO_27-CR-20-2581_Finding of Incompetency and Order_2023-05-02_20251126180343.pdf")</f>
        <v>MCRO_27-CR-20-2581_Finding of Incompetency and Order_2023-05-02_20251126180343.pdf</v>
      </c>
      <c r="H534" s="7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534" s="1" t="s">
        <v>3406</v>
      </c>
      <c r="L534" s="2" t="s">
        <v>3412</v>
      </c>
      <c r="M534" s="2" t="n">
        <v>3824</v>
      </c>
      <c r="S534" s="2" t="n">
        <v>1850</v>
      </c>
      <c r="T534" s="2" t="n">
        <v>160</v>
      </c>
    </row>
    <row r="535" customFormat="false" ht="18.7" hidden="false" customHeight="true" outlineLevel="0" collapsed="false">
      <c r="A535" s="1" t="n">
        <v>534</v>
      </c>
      <c r="B535" s="7" t="str">
        <f aca="false">HYPERLINK("https://mncourtfraud.com/file/27-CR-20-2581.pdf","27-CR-20-2581")</f>
        <v>27-CR-20-2581</v>
      </c>
      <c r="C535" s="1" t="n">
        <v>1</v>
      </c>
      <c r="D535" s="2" t="s">
        <v>12</v>
      </c>
      <c r="E535" s="8" t="n">
        <v>45048</v>
      </c>
      <c r="F535" s="2" t="s">
        <v>80</v>
      </c>
      <c r="G535" s="7" t="str">
        <f aca="false">HYPERLINK("https://mncourtfraud.com/file/MCRO_27-CR-20-2581_Finding of Incompetency and Order_2023-05-02_20251126180343.pdf","MCRO_27-CR-20-2581_Finding of Incompetency and Order_2023-05-02_20251126180343.pdf")</f>
        <v>MCRO_27-CR-20-2581_Finding of Incompetency and Order_2023-05-02_20251126180343.pdf</v>
      </c>
      <c r="H535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535" s="1" t="s">
        <v>3413</v>
      </c>
      <c r="J535" s="2" t="s">
        <v>3448</v>
      </c>
      <c r="K535" s="2" t="s">
        <v>3448</v>
      </c>
      <c r="L535" s="2" t="s">
        <v>3415</v>
      </c>
      <c r="M535" s="2" t="n">
        <v>916684</v>
      </c>
    </row>
    <row r="536" customFormat="false" ht="18.7" hidden="false" customHeight="true" outlineLevel="0" collapsed="false">
      <c r="A536" s="1" t="n">
        <v>535</v>
      </c>
      <c r="B536" s="7" t="str">
        <f aca="false">HYPERLINK("https://mncourtfraud.com/file/27-CR-20-2581.pdf","27-CR-20-2581")</f>
        <v>27-CR-20-2581</v>
      </c>
      <c r="C536" s="1" t="n">
        <v>1</v>
      </c>
      <c r="D536" s="2" t="s">
        <v>12</v>
      </c>
      <c r="E536" s="8" t="n">
        <v>45093</v>
      </c>
      <c r="F536" s="2" t="s">
        <v>82</v>
      </c>
      <c r="G536" s="7" t="str">
        <f aca="false">HYPERLINK("https://mncourtfraud.com/file/MCRO_27-CR-20-2581_Notice of Case Reassignment_2023-06-16_20251126180444.pdf","MCRO_27-CR-20-2581_Notice of Case Reassignment_2023-06-16_20251126180444.pdf")</f>
        <v>MCRO_27-CR-20-2581_Notice of Case Reassignment_2023-06-16_20251126180444.pdf</v>
      </c>
      <c r="H536" s="7" t="str">
        <f aca="false">HYPERLINK("https://mncourtfraud.com/file/1fd1136a5ae69c0e5068fedf111533c283fb06da71a1aebe96b41cad9a15bb33.ttf","1fd1136a5ae69c0e5068fedf111533c283fb06da71a1aebe96b41cad9a15bb33")</f>
        <v>1fd1136a5ae69c0e5068fedf111533c283fb06da71a1aebe96b41cad9a15bb33</v>
      </c>
      <c r="I536" s="1" t="s">
        <v>3413</v>
      </c>
      <c r="J536" s="2" t="s">
        <v>3455</v>
      </c>
      <c r="K536" s="2" t="s">
        <v>3455</v>
      </c>
      <c r="L536" s="2" t="s">
        <v>3415</v>
      </c>
      <c r="M536" s="2" t="n">
        <v>96348</v>
      </c>
      <c r="N536" s="2" t="s">
        <v>3456</v>
      </c>
    </row>
    <row r="537" customFormat="false" ht="18.7" hidden="false" customHeight="true" outlineLevel="0" collapsed="false">
      <c r="A537" s="1" t="n">
        <v>536</v>
      </c>
      <c r="B537" s="7" t="str">
        <f aca="false">HYPERLINK("https://mncourtfraud.com/file/27-CR-20-2581.pdf","27-CR-20-2581")</f>
        <v>27-CR-20-2581</v>
      </c>
      <c r="C537" s="1" t="n">
        <v>1</v>
      </c>
      <c r="D537" s="2" t="s">
        <v>12</v>
      </c>
      <c r="E537" s="8" t="n">
        <v>45093</v>
      </c>
      <c r="F537" s="2" t="s">
        <v>82</v>
      </c>
      <c r="G537" s="7" t="str">
        <f aca="false">HYPERLINK("https://mncourtfraud.com/file/MCRO_27-CR-20-2581_Notice of Case Reassignment_2023-06-16_20251126180444.pdf","MCRO_27-CR-20-2581_Notice of Case Reassignment_2023-06-16_20251126180444.pdf")</f>
        <v>MCRO_27-CR-20-2581_Notice of Case Reassignment_2023-06-16_20251126180444.pdf</v>
      </c>
      <c r="H537" s="7" t="str">
        <f aca="false">HYPERLINK("https://mncourtfraud.com/file/4b0b043cb476134a2e47a5f4c233d3d0f7a52a3b063b8831356383f89fcd1118.ttf","4b0b043cb476134a2e47a5f4c233d3d0f7a52a3b063b8831356383f89fcd1118")</f>
        <v>4b0b043cb476134a2e47a5f4c233d3d0f7a52a3b063b8831356383f89fcd1118</v>
      </c>
      <c r="I537" s="1" t="s">
        <v>3413</v>
      </c>
      <c r="J537" s="2" t="s">
        <v>3457</v>
      </c>
      <c r="K537" s="2" t="s">
        <v>3457</v>
      </c>
      <c r="L537" s="2" t="s">
        <v>3415</v>
      </c>
      <c r="M537" s="2" t="n">
        <v>79764</v>
      </c>
      <c r="N537" s="2" t="s">
        <v>3458</v>
      </c>
    </row>
    <row r="538" customFormat="false" ht="18.7" hidden="false" customHeight="true" outlineLevel="0" collapsed="false">
      <c r="A538" s="1" t="n">
        <v>537</v>
      </c>
      <c r="B538" s="7" t="str">
        <f aca="false">HYPERLINK("https://mncourtfraud.com/file/27-CR-20-2581.pdf","27-CR-20-2581")</f>
        <v>27-CR-20-2581</v>
      </c>
      <c r="C538" s="1" t="n">
        <v>1</v>
      </c>
      <c r="D538" s="2" t="s">
        <v>12</v>
      </c>
      <c r="E538" s="8" t="n">
        <v>45160</v>
      </c>
      <c r="F538" s="2" t="s">
        <v>15</v>
      </c>
      <c r="G538" s="7" t="str">
        <f aca="false">HYPERLINK("https://mncourtfraud.com/file/MCRO_27-CR-20-2581_Order-Evaluation for Competency to Proceed (Rule 20.01)_2023-08-22_20251126180632.pdf","MCRO_27-CR-20-2581_Order-Evaluation for Competency to Proceed (Rule 20.01)_2023-08-22_20251126180632.pdf")</f>
        <v>MCRO_27-CR-20-2581_Order-Evaluation for Competency to Proceed (Rule 20.01)_2023-08-22_20251126180632.pdf</v>
      </c>
      <c r="H538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538" s="1" t="s">
        <v>3413</v>
      </c>
      <c r="J538" s="2" t="s">
        <v>3449</v>
      </c>
      <c r="K538" s="2" t="s">
        <v>3449</v>
      </c>
      <c r="L538" s="2" t="s">
        <v>3415</v>
      </c>
      <c r="M538" s="2" t="n">
        <v>125504</v>
      </c>
    </row>
    <row r="539" customFormat="false" ht="18.7" hidden="false" customHeight="true" outlineLevel="0" collapsed="false">
      <c r="A539" s="1" t="n">
        <v>538</v>
      </c>
      <c r="B539" s="7" t="str">
        <f aca="false">HYPERLINK("https://mncourtfraud.com/file/27-CR-20-2581.pdf","27-CR-20-2581")</f>
        <v>27-CR-20-2581</v>
      </c>
      <c r="C539" s="1" t="n">
        <v>1</v>
      </c>
      <c r="D539" s="2" t="s">
        <v>12</v>
      </c>
      <c r="E539" s="8" t="n">
        <v>45160</v>
      </c>
      <c r="F539" s="2" t="s">
        <v>15</v>
      </c>
      <c r="G539" s="7" t="str">
        <f aca="false">HYPERLINK("https://mncourtfraud.com/file/MCRO_27-CR-20-2581_Order-Evaluation for Competency to Proceed (Rule 20.01)_2023-08-22_20251126180632.pdf","MCRO_27-CR-20-2581_Order-Evaluation for Competency to Proceed (Rule 20.01)_2023-08-22_20251126180632.pdf")</f>
        <v>MCRO_27-CR-20-2581_Order-Evaluation for Competency to Proceed (Rule 20.01)_2023-08-22_20251126180632.pdf</v>
      </c>
      <c r="H539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539" s="1" t="s">
        <v>3413</v>
      </c>
      <c r="J539" s="2" t="s">
        <v>3449</v>
      </c>
      <c r="K539" s="2" t="s">
        <v>3449</v>
      </c>
      <c r="L539" s="2" t="s">
        <v>3415</v>
      </c>
      <c r="M539" s="2" t="n">
        <v>125504</v>
      </c>
    </row>
    <row r="540" customFormat="false" ht="18.7" hidden="false" customHeight="true" outlineLevel="0" collapsed="false">
      <c r="A540" s="1" t="n">
        <v>539</v>
      </c>
      <c r="B540" s="7" t="str">
        <f aca="false">HYPERLINK("https://mncourtfraud.com/file/27-CR-20-2581.pdf","27-CR-20-2581")</f>
        <v>27-CR-20-2581</v>
      </c>
      <c r="C540" s="1" t="n">
        <v>1</v>
      </c>
      <c r="D540" s="2" t="s">
        <v>12</v>
      </c>
      <c r="E540" s="8" t="n">
        <v>45160</v>
      </c>
      <c r="F540" s="2" t="s">
        <v>15</v>
      </c>
      <c r="G540" s="7" t="str">
        <f aca="false">HYPERLINK("https://mncourtfraud.com/file/MCRO_27-CR-20-2581_Order-Evaluation for Competency to Proceed (Rule 20.01)_2023-08-22_20251126180632.pdf","MCRO_27-CR-20-2581_Order-Evaluation for Competency to Proceed (Rule 20.01)_2023-08-22_20251126180632.pdf")</f>
        <v>MCRO_27-CR-20-2581_Order-Evaluation for Competency to Proceed (Rule 20.01)_2023-08-22_20251126180632.pdf</v>
      </c>
      <c r="H540" s="7" t="str">
        <f aca="false">HYPERLINK("https://mncourtfraud.com/file/0174a154b1dd2c8824c0108a525fa6ced84bf8b7d2fc9696a847700a4f83bb3b.ttf","0174a154b1dd2c8824c0108a525fa6ced84bf8b7d2fc9696a847700a4f83bb3b")</f>
        <v>0174a154b1dd2c8824c0108a525fa6ced84bf8b7d2fc9696a847700a4f83bb3b</v>
      </c>
      <c r="I540" s="1" t="s">
        <v>3413</v>
      </c>
      <c r="J540" s="2" t="s">
        <v>3422</v>
      </c>
      <c r="K540" s="2" t="s">
        <v>3422</v>
      </c>
      <c r="L540" s="2" t="s">
        <v>3415</v>
      </c>
      <c r="M540" s="2" t="n">
        <v>101216</v>
      </c>
    </row>
    <row r="541" customFormat="false" ht="18.7" hidden="false" customHeight="true" outlineLevel="0" collapsed="false">
      <c r="A541" s="1" t="n">
        <v>540</v>
      </c>
      <c r="B541" s="7" t="str">
        <f aca="false">HYPERLINK("https://mncourtfraud.com/file/27-CR-20-2581.pdf","27-CR-20-2581")</f>
        <v>27-CR-20-2581</v>
      </c>
      <c r="C541" s="1" t="n">
        <v>1</v>
      </c>
      <c r="D541" s="2" t="s">
        <v>12</v>
      </c>
      <c r="E541" s="8" t="n">
        <v>45160</v>
      </c>
      <c r="F541" s="2" t="s">
        <v>15</v>
      </c>
      <c r="G541" s="7" t="str">
        <f aca="false">HYPERLINK("https://mncourtfraud.com/file/MCRO_27-CR-20-2581_Order-Evaluation for Competency to Proceed (Rule 20.01)_2023-08-22_20251126180632.pdf","MCRO_27-CR-20-2581_Order-Evaluation for Competency to Proceed (Rule 20.01)_2023-08-22_20251126180632.pdf")</f>
        <v>MCRO_27-CR-20-2581_Order-Evaluation for Competency to Proceed (Rule 20.01)_2023-08-22_20251126180632.pdf</v>
      </c>
      <c r="H541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541" s="1" t="s">
        <v>3413</v>
      </c>
      <c r="J541" s="2" t="s">
        <v>3423</v>
      </c>
      <c r="K541" s="2" t="s">
        <v>3423</v>
      </c>
      <c r="L541" s="2" t="s">
        <v>3415</v>
      </c>
      <c r="M541" s="2" t="n">
        <v>11088</v>
      </c>
    </row>
    <row r="542" customFormat="false" ht="18.7" hidden="false" customHeight="true" outlineLevel="0" collapsed="false">
      <c r="A542" s="1" t="n">
        <v>541</v>
      </c>
      <c r="B542" s="7" t="str">
        <f aca="false">HYPERLINK("https://mncourtfraud.com/file/27-CR-20-2581.pdf","27-CR-20-2581")</f>
        <v>27-CR-20-2581</v>
      </c>
      <c r="C542" s="1" t="n">
        <v>1</v>
      </c>
      <c r="D542" s="2" t="s">
        <v>12</v>
      </c>
      <c r="E542" s="8" t="n">
        <v>45160</v>
      </c>
      <c r="F542" s="2" t="s">
        <v>15</v>
      </c>
      <c r="G542" s="7" t="str">
        <f aca="false">HYPERLINK("https://mncourtfraud.com/file/MCRO_27-CR-20-2581_Order-Evaluation for Competency to Proceed (Rule 20.01)_2023-08-22_20251126180632.pdf","MCRO_27-CR-20-2581_Order-Evaluation for Competency to Proceed (Rule 20.01)_2023-08-22_20251126180632.pdf")</f>
        <v>MCRO_27-CR-20-2581_Order-Evaluation for Competency to Proceed (Rule 20.01)_2023-08-22_20251126180632.pdf</v>
      </c>
      <c r="H542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542" s="1" t="s">
        <v>3413</v>
      </c>
      <c r="J542" s="2" t="s">
        <v>3446</v>
      </c>
      <c r="K542" s="2" t="s">
        <v>3446</v>
      </c>
      <c r="L542" s="2" t="s">
        <v>3415</v>
      </c>
      <c r="M542" s="2" t="n">
        <v>55072</v>
      </c>
      <c r="N542" s="2" t="s">
        <v>3447</v>
      </c>
    </row>
    <row r="543" customFormat="false" ht="18.7" hidden="false" customHeight="true" outlineLevel="0" collapsed="false">
      <c r="A543" s="1" t="n">
        <v>542</v>
      </c>
      <c r="B543" s="7" t="str">
        <f aca="false">HYPERLINK("https://mncourtfraud.com/file/27-CR-20-2581.pdf","27-CR-20-2581")</f>
        <v>27-CR-20-2581</v>
      </c>
      <c r="C543" s="1" t="n">
        <v>1</v>
      </c>
      <c r="D543" s="2" t="s">
        <v>12</v>
      </c>
      <c r="E543" s="8" t="n">
        <v>45160</v>
      </c>
      <c r="F543" s="2" t="s">
        <v>15</v>
      </c>
      <c r="G543" s="7" t="str">
        <f aca="false">HYPERLINK("https://mncourtfraud.com/file/MCRO_27-CR-20-2581_Order-Evaluation for Competency to Proceed (Rule 20.01)_2023-08-22_20251126180632.pdf","MCRO_27-CR-20-2581_Order-Evaluation for Competency to Proceed (Rule 20.01)_2023-08-22_20251126180632.pdf")</f>
        <v>MCRO_27-CR-20-2581_Order-Evaluation for Competency to Proceed (Rule 20.01)_2023-08-22_20251126180632.pdf</v>
      </c>
      <c r="H543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543" s="1" t="s">
        <v>3413</v>
      </c>
      <c r="J543" s="2" t="s">
        <v>3424</v>
      </c>
      <c r="K543" s="2" t="s">
        <v>3424</v>
      </c>
      <c r="L543" s="2" t="s">
        <v>3415</v>
      </c>
      <c r="M543" s="2" t="n">
        <v>14252</v>
      </c>
    </row>
    <row r="544" customFormat="false" ht="18.7" hidden="false" customHeight="true" outlineLevel="0" collapsed="false">
      <c r="A544" s="1" t="n">
        <v>543</v>
      </c>
      <c r="B544" s="7" t="str">
        <f aca="false">HYPERLINK("https://mncourtfraud.com/file/27-CR-20-2581.pdf","27-CR-20-2581")</f>
        <v>27-CR-20-2581</v>
      </c>
      <c r="C544" s="1" t="n">
        <v>1</v>
      </c>
      <c r="D544" s="2" t="s">
        <v>12</v>
      </c>
      <c r="E544" s="8" t="n">
        <v>45160</v>
      </c>
      <c r="F544" s="2" t="s">
        <v>15</v>
      </c>
      <c r="G544" s="7" t="str">
        <f aca="false">HYPERLINK("https://mncourtfraud.com/file/MCRO_27-CR-20-2581_Order-Evaluation for Competency to Proceed (Rule 20.01)_2023-08-22_20251126180632.pdf","MCRO_27-CR-20-2581_Order-Evaluation for Competency to Proceed (Rule 20.01)_2023-08-22_20251126180632.pdf")</f>
        <v>MCRO_27-CR-20-2581_Order-Evaluation for Competency to Proceed (Rule 20.01)_2023-08-22_20251126180632.pdf</v>
      </c>
      <c r="H544" s="7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544" s="1" t="s">
        <v>3406</v>
      </c>
      <c r="L544" s="2" t="s">
        <v>3412</v>
      </c>
      <c r="M544" s="2" t="n">
        <v>5012</v>
      </c>
      <c r="S544" s="2" t="n">
        <v>2740</v>
      </c>
      <c r="T544" s="2" t="n">
        <v>180</v>
      </c>
    </row>
    <row r="545" customFormat="false" ht="18.7" hidden="false" customHeight="true" outlineLevel="0" collapsed="false">
      <c r="A545" s="1" t="n">
        <v>544</v>
      </c>
      <c r="B545" s="7" t="str">
        <f aca="false">HYPERLINK("https://mncourtfraud.com/file/27-CR-20-2581.pdf","27-CR-20-2581")</f>
        <v>27-CR-20-2581</v>
      </c>
      <c r="C545" s="1" t="n">
        <v>1</v>
      </c>
      <c r="D545" s="2" t="s">
        <v>12</v>
      </c>
      <c r="E545" s="8" t="n">
        <v>45160</v>
      </c>
      <c r="F545" s="2" t="s">
        <v>15</v>
      </c>
      <c r="G545" s="7" t="str">
        <f aca="false">HYPERLINK("https://mncourtfraud.com/file/MCRO_27-CR-20-2581_Order-Evaluation for Competency to Proceed (Rule 20.01)_2023-08-22_20251126180632.pdf","MCRO_27-CR-20-2581_Order-Evaluation for Competency to Proceed (Rule 20.01)_2023-08-22_20251126180632.pdf")</f>
        <v>MCRO_27-CR-20-2581_Order-Evaluation for Competency to Proceed (Rule 20.01)_2023-08-22_20251126180632.pdf</v>
      </c>
      <c r="H545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545" s="1" t="s">
        <v>3413</v>
      </c>
      <c r="J545" s="2" t="s">
        <v>3448</v>
      </c>
      <c r="K545" s="2" t="s">
        <v>3448</v>
      </c>
      <c r="L545" s="2" t="s">
        <v>3415</v>
      </c>
      <c r="M545" s="2" t="n">
        <v>916684</v>
      </c>
    </row>
    <row r="546" customFormat="false" ht="18.7" hidden="false" customHeight="true" outlineLevel="0" collapsed="false">
      <c r="A546" s="1" t="n">
        <v>545</v>
      </c>
      <c r="B546" s="7" t="str">
        <f aca="false">HYPERLINK("https://mncourtfraud.com/file/27-CR-20-2581.pdf","27-CR-20-2581")</f>
        <v>27-CR-20-2581</v>
      </c>
      <c r="C546" s="1" t="n">
        <v>1</v>
      </c>
      <c r="D546" s="2" t="s">
        <v>12</v>
      </c>
      <c r="E546" s="8" t="n">
        <v>45160</v>
      </c>
      <c r="F546" s="2" t="s">
        <v>15</v>
      </c>
      <c r="G546" s="7" t="str">
        <f aca="false">HYPERLINK("https://mncourtfraud.com/file/MCRO_27-CR-20-2581_Order-Evaluation for Competency to Proceed (Rule 20.01)_2023-08-22_20251126180632.pdf","MCRO_27-CR-20-2581_Order-Evaluation for Competency to Proceed (Rule 20.01)_2023-08-22_20251126180632.pdf")</f>
        <v>MCRO_27-CR-20-2581_Order-Evaluation for Competency to Proceed (Rule 20.01)_2023-08-22_20251126180632.pdf</v>
      </c>
      <c r="H546" s="7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546" s="1" t="s">
        <v>3406</v>
      </c>
      <c r="K546" s="2" t="s">
        <v>3459</v>
      </c>
      <c r="L546" s="2" t="s">
        <v>3408</v>
      </c>
      <c r="M546" s="2" t="n">
        <v>5220</v>
      </c>
      <c r="O546" s="2" t="s">
        <v>3460</v>
      </c>
      <c r="P546" s="2" t="s">
        <v>3410</v>
      </c>
      <c r="S546" s="2" t="n">
        <v>881</v>
      </c>
      <c r="T546" s="2" t="n">
        <v>216</v>
      </c>
    </row>
    <row r="547" customFormat="false" ht="18.7" hidden="false" customHeight="true" outlineLevel="0" collapsed="false">
      <c r="A547" s="1" t="n">
        <v>546</v>
      </c>
      <c r="B547" s="7" t="str">
        <f aca="false">HYPERLINK("https://mncourtfraud.com/file/27-CR-20-5618.pdf","27-CR-20-5618")</f>
        <v>27-CR-20-5618</v>
      </c>
      <c r="C547" s="1" t="n">
        <v>1</v>
      </c>
      <c r="D547" s="2" t="s">
        <v>12</v>
      </c>
      <c r="E547" s="8" t="n">
        <v>43902</v>
      </c>
      <c r="F547" s="2" t="s">
        <v>15</v>
      </c>
      <c r="G547" s="7" t="str">
        <f aca="false">HYPERLINK("https://mncourtfraud.com/file/MCRO_27-CR-20-5618_Order-Evaluation for Competency to Proceed (Rule 20.01)_2020-03-12_20251126181032.pdf","MCRO_27-CR-20-5618_Order-Evaluation for Competency to Proceed (Rule 20.01)_2020-03-12_20251126181032.pdf")</f>
        <v>MCRO_27-CR-20-5618_Order-Evaluation for Competency to Proceed (Rule 20.01)_2020-03-12_20251126181032.pdf</v>
      </c>
      <c r="H547" s="7" t="str">
        <f aca="false">HYPERLINK("https://mncourtfraud.com/file/bc5a0944da721c6fbe4e69fb3d762db179ace3098ccfe24ec60b1cb5b337282b.jpg","bc5a0944da721c6fbe4e69fb3d762db179ace3098ccfe24ec60b1cb5b337282b")</f>
        <v>bc5a0944da721c6fbe4e69fb3d762db179ace3098ccfe24ec60b1cb5b337282b</v>
      </c>
      <c r="I547" s="1" t="s">
        <v>3417</v>
      </c>
      <c r="L547" s="2" t="s">
        <v>3418</v>
      </c>
      <c r="M547" s="2" t="n">
        <v>640055</v>
      </c>
      <c r="S547" s="2" t="n">
        <v>2550</v>
      </c>
      <c r="T547" s="2" t="n">
        <v>3300</v>
      </c>
    </row>
    <row r="548" customFormat="false" ht="18.7" hidden="false" customHeight="true" outlineLevel="0" collapsed="false">
      <c r="A548" s="1" t="n">
        <v>547</v>
      </c>
      <c r="B548" s="7" t="str">
        <f aca="false">HYPERLINK("https://mncourtfraud.com/file/27-CR-20-5618.pdf","27-CR-20-5618")</f>
        <v>27-CR-20-5618</v>
      </c>
      <c r="C548" s="1" t="n">
        <v>1</v>
      </c>
      <c r="D548" s="2" t="s">
        <v>12</v>
      </c>
      <c r="E548" s="8" t="n">
        <v>43902</v>
      </c>
      <c r="F548" s="2" t="s">
        <v>15</v>
      </c>
      <c r="G548" s="7" t="str">
        <f aca="false">HYPERLINK("https://mncourtfraud.com/file/MCRO_27-CR-20-5618_Order-Evaluation for Competency to Proceed (Rule 20.01)_2020-03-12_20251126181032.pdf","MCRO_27-CR-20-5618_Order-Evaluation for Competency to Proceed (Rule 20.01)_2020-03-12_20251126181032.pdf")</f>
        <v>MCRO_27-CR-20-5618_Order-Evaluation for Competency to Proceed (Rule 20.01)_2020-03-12_20251126181032.pdf</v>
      </c>
      <c r="H548" s="7" t="str">
        <f aca="false">HYPERLINK("https://mncourtfraud.com/file/c05c9af35bc0542486e35c6cbfb94851ffb679902b16a1f0c53fbfd6ddd8151c.ttf","c05c9af35bc0542486e35c6cbfb94851ffb679902b16a1f0c53fbfd6ddd8151c")</f>
        <v>c05c9af35bc0542486e35c6cbfb94851ffb679902b16a1f0c53fbfd6ddd8151c</v>
      </c>
      <c r="I548" s="1" t="s">
        <v>3413</v>
      </c>
      <c r="L548" s="2" t="s">
        <v>3415</v>
      </c>
      <c r="M548" s="2" t="n">
        <v>12924</v>
      </c>
    </row>
    <row r="549" customFormat="false" ht="18.7" hidden="false" customHeight="true" outlineLevel="0" collapsed="false">
      <c r="A549" s="1" t="n">
        <v>548</v>
      </c>
      <c r="B549" s="7" t="str">
        <f aca="false">HYPERLINK("https://mncourtfraud.com/file/27-CR-20-5618.pdf","27-CR-20-5618")</f>
        <v>27-CR-20-5618</v>
      </c>
      <c r="C549" s="1" t="n">
        <v>1</v>
      </c>
      <c r="D549" s="2" t="s">
        <v>12</v>
      </c>
      <c r="E549" s="8" t="n">
        <v>43902</v>
      </c>
      <c r="F549" s="2" t="s">
        <v>15</v>
      </c>
      <c r="G549" s="7" t="str">
        <f aca="false">HYPERLINK("https://mncourtfraud.com/file/MCRO_27-CR-20-5618_Order-Evaluation for Competency to Proceed (Rule 20.01)_2020-03-12_20251126181032.pdf","MCRO_27-CR-20-5618_Order-Evaluation for Competency to Proceed (Rule 20.01)_2020-03-12_20251126181032.pdf")</f>
        <v>MCRO_27-CR-20-5618_Order-Evaluation for Competency to Proceed (Rule 20.01)_2020-03-12_20251126181032.pdf</v>
      </c>
      <c r="H549" s="7" t="str">
        <f aca="false">HYPERLINK("https://mncourtfraud.com/file/d5a8e28388678480fba21c6acf727e4d887a0812a7bea4583d967c9265ace73f.jpg","d5a8e28388678480fba21c6acf727e4d887a0812a7bea4583d967c9265ace73f")</f>
        <v>d5a8e28388678480fba21c6acf727e4d887a0812a7bea4583d967c9265ace73f</v>
      </c>
      <c r="I549" s="1" t="s">
        <v>3417</v>
      </c>
      <c r="L549" s="2" t="s">
        <v>3418</v>
      </c>
      <c r="M549" s="2" t="n">
        <v>568408</v>
      </c>
      <c r="S549" s="2" t="n">
        <v>2550</v>
      </c>
      <c r="T549" s="2" t="n">
        <v>3300</v>
      </c>
    </row>
    <row r="550" customFormat="false" ht="18.7" hidden="false" customHeight="true" outlineLevel="0" collapsed="false">
      <c r="A550" s="1" t="n">
        <v>549</v>
      </c>
      <c r="B550" s="7" t="str">
        <f aca="false">HYPERLINK("https://mncourtfraud.com/file/27-CR-20-5618.pdf","27-CR-20-5618")</f>
        <v>27-CR-20-5618</v>
      </c>
      <c r="C550" s="1" t="n">
        <v>1</v>
      </c>
      <c r="D550" s="2" t="s">
        <v>12</v>
      </c>
      <c r="E550" s="8" t="n">
        <v>43970</v>
      </c>
      <c r="F550" s="2" t="s">
        <v>17</v>
      </c>
      <c r="G550" s="7" t="str">
        <f aca="false">HYPERLINK("https://mncourtfraud.com/file/MCRO_27-CR-20-5618_Returned Mail_2020-05-19_20251126181057.pdf","MCRO_27-CR-20-5618_Returned Mail_2020-05-19_20251126181057.pdf")</f>
        <v>MCRO_27-CR-20-5618_Returned Mail_2020-05-19_20251126181057.pdf</v>
      </c>
      <c r="H550" s="7" t="str">
        <f aca="false">HYPERLINK("https://mncourtfraud.com/file/0a6d95d1becdf9eb6c58da13b100362792caefda72d549096c0bda16a04654ea.ttf","0a6d95d1becdf9eb6c58da13b100362792caefda72d549096c0bda16a04654ea")</f>
        <v>0a6d95d1becdf9eb6c58da13b100362792caefda72d549096c0bda16a04654ea</v>
      </c>
      <c r="I550" s="1" t="s">
        <v>3413</v>
      </c>
      <c r="L550" s="2" t="s">
        <v>3415</v>
      </c>
      <c r="M550" s="2" t="n">
        <v>8220</v>
      </c>
    </row>
    <row r="551" customFormat="false" ht="18.7" hidden="false" customHeight="true" outlineLevel="0" collapsed="false">
      <c r="A551" s="1" t="n">
        <v>550</v>
      </c>
      <c r="B551" s="7" t="str">
        <f aca="false">HYPERLINK("https://mncourtfraud.com/file/27-CR-20-5618.pdf","27-CR-20-5618")</f>
        <v>27-CR-20-5618</v>
      </c>
      <c r="C551" s="1" t="n">
        <v>1</v>
      </c>
      <c r="D551" s="2" t="s">
        <v>12</v>
      </c>
      <c r="E551" s="8" t="n">
        <v>43970</v>
      </c>
      <c r="F551" s="2" t="s">
        <v>17</v>
      </c>
      <c r="G551" s="7" t="str">
        <f aca="false">HYPERLINK("https://mncourtfraud.com/file/MCRO_27-CR-20-5618_Returned Mail_2020-05-19_20251126181057.pdf","MCRO_27-CR-20-5618_Returned Mail_2020-05-19_20251126181057.pdf")</f>
        <v>MCRO_27-CR-20-5618_Returned Mail_2020-05-19_20251126181057.pdf</v>
      </c>
      <c r="H551" s="7" t="str">
        <f aca="false">HYPERLINK("https://mncourtfraud.com/file/30bceaaafce4807fd93a4b01e1c63e9a3e3333311b6902c72e7c6066ebd12d80.jpg","30bceaaafce4807fd93a4b01e1c63e9a3e3333311b6902c72e7c6066ebd12d80")</f>
        <v>30bceaaafce4807fd93a4b01e1c63e9a3e3333311b6902c72e7c6066ebd12d80</v>
      </c>
      <c r="I551" s="1" t="s">
        <v>3417</v>
      </c>
      <c r="L551" s="2" t="s">
        <v>3419</v>
      </c>
      <c r="M551" s="2" t="n">
        <v>198731</v>
      </c>
      <c r="S551" s="2" t="n">
        <v>2552</v>
      </c>
      <c r="T551" s="2" t="n">
        <v>3300</v>
      </c>
    </row>
    <row r="552" customFormat="false" ht="18.7" hidden="false" customHeight="true" outlineLevel="0" collapsed="false">
      <c r="A552" s="1" t="n">
        <v>551</v>
      </c>
      <c r="B552" s="7" t="str">
        <f aca="false">HYPERLINK("https://mncourtfraud.com/file/27-CR-20-5618.pdf","27-CR-20-5618")</f>
        <v>27-CR-20-5618</v>
      </c>
      <c r="C552" s="1" t="n">
        <v>1</v>
      </c>
      <c r="D552" s="2" t="s">
        <v>12</v>
      </c>
      <c r="E552" s="8" t="n">
        <v>44103</v>
      </c>
      <c r="F552" s="2" t="s">
        <v>19</v>
      </c>
      <c r="G552" s="7" t="str">
        <f aca="false">HYPERLINK("https://mncourtfraud.com/file/MCRO_27-CR-20-5618_Findings and Order_2020-09-29_20251126180807.pdf","MCRO_27-CR-20-5618_Findings and Order_2020-09-29_20251126180807.pdf")</f>
        <v>MCRO_27-CR-20-5618_Findings and Order_2020-09-29_20251126180807.pdf</v>
      </c>
      <c r="H552" s="7" t="str">
        <f aca="false">HYPERLINK("https://mncourtfraud.com/file/07e316fd6acde14e6752ac35fdb3665e9ff5ef9e00e600946974d23aa824e93e.png","07e316fd6acde14e6752ac35fdb3665e9ff5ef9e00e600946974d23aa824e93e")</f>
        <v>07e316fd6acde14e6752ac35fdb3665e9ff5ef9e00e600946974d23aa824e93e</v>
      </c>
      <c r="I552" s="1" t="s">
        <v>3406</v>
      </c>
      <c r="L552" s="2" t="s">
        <v>3412</v>
      </c>
      <c r="M552" s="2" t="n">
        <v>111400</v>
      </c>
      <c r="S552" s="2" t="n">
        <v>2560</v>
      </c>
      <c r="T552" s="2" t="n">
        <v>3300</v>
      </c>
    </row>
    <row r="553" customFormat="false" ht="18.7" hidden="false" customHeight="true" outlineLevel="0" collapsed="false">
      <c r="A553" s="1" t="n">
        <v>552</v>
      </c>
      <c r="B553" s="7" t="str">
        <f aca="false">HYPERLINK("https://mncourtfraud.com/file/27-CR-20-5618.pdf","27-CR-20-5618")</f>
        <v>27-CR-20-5618</v>
      </c>
      <c r="C553" s="1" t="n">
        <v>1</v>
      </c>
      <c r="D553" s="2" t="s">
        <v>12</v>
      </c>
      <c r="E553" s="8" t="n">
        <v>44103</v>
      </c>
      <c r="F553" s="2" t="s">
        <v>19</v>
      </c>
      <c r="G553" s="7" t="str">
        <f aca="false">HYPERLINK("https://mncourtfraud.com/file/MCRO_27-CR-20-5618_Findings and Order_2020-09-29_20251126180807.pdf","MCRO_27-CR-20-5618_Findings and Order_2020-09-29_20251126180807.pdf")</f>
        <v>MCRO_27-CR-20-5618_Findings and Order_2020-09-29_20251126180807.pdf</v>
      </c>
      <c r="H553" s="7" t="str">
        <f aca="false">HYPERLINK("https://mncourtfraud.com/file/11d6853f752025b4a249aab4251b562f847a3e41fb629b4cbcb4ec8dff13315a.png","11d6853f752025b4a249aab4251b562f847a3e41fb629b4cbcb4ec8dff13315a")</f>
        <v>11d6853f752025b4a249aab4251b562f847a3e41fb629b4cbcb4ec8dff13315a</v>
      </c>
      <c r="I553" s="1" t="s">
        <v>3406</v>
      </c>
      <c r="L553" s="2" t="s">
        <v>3412</v>
      </c>
      <c r="M553" s="2" t="n">
        <v>112047</v>
      </c>
      <c r="S553" s="2" t="n">
        <v>2560</v>
      </c>
      <c r="T553" s="2" t="n">
        <v>3300</v>
      </c>
    </row>
    <row r="554" customFormat="false" ht="18.7" hidden="false" customHeight="true" outlineLevel="0" collapsed="false">
      <c r="A554" s="1" t="n">
        <v>553</v>
      </c>
      <c r="B554" s="7" t="str">
        <f aca="false">HYPERLINK("https://mncourtfraud.com/file/27-CR-20-5618.pdf","27-CR-20-5618")</f>
        <v>27-CR-20-5618</v>
      </c>
      <c r="C554" s="1" t="n">
        <v>1</v>
      </c>
      <c r="D554" s="2" t="s">
        <v>12</v>
      </c>
      <c r="E554" s="8" t="n">
        <v>44103</v>
      </c>
      <c r="F554" s="2" t="s">
        <v>19</v>
      </c>
      <c r="G554" s="7" t="str">
        <f aca="false">HYPERLINK("https://mncourtfraud.com/file/MCRO_27-CR-20-5618_Findings and Order_2020-09-29_20251126180807.pdf","MCRO_27-CR-20-5618_Findings and Order_2020-09-29_20251126180807.pdf")</f>
        <v>MCRO_27-CR-20-5618_Findings and Order_2020-09-29_20251126180807.pdf</v>
      </c>
      <c r="H554" s="7" t="str">
        <f aca="false">HYPERLINK("https://mncourtfraud.com/file/127cb2cdb982ab960ee2d2f125b54b1d346457e50895c842b62b1be6393cf7ea.png","127cb2cdb982ab960ee2d2f125b54b1d346457e50895c842b62b1be6393cf7ea")</f>
        <v>127cb2cdb982ab960ee2d2f125b54b1d346457e50895c842b62b1be6393cf7ea</v>
      </c>
      <c r="I554" s="1" t="s">
        <v>3406</v>
      </c>
      <c r="L554" s="2" t="s">
        <v>3412</v>
      </c>
      <c r="M554" s="2" t="n">
        <v>128592</v>
      </c>
      <c r="S554" s="2" t="n">
        <v>2560</v>
      </c>
      <c r="T554" s="2" t="n">
        <v>3300</v>
      </c>
    </row>
    <row r="555" customFormat="false" ht="18.7" hidden="false" customHeight="true" outlineLevel="0" collapsed="false">
      <c r="A555" s="1" t="n">
        <v>554</v>
      </c>
      <c r="B555" s="7" t="str">
        <f aca="false">HYPERLINK("https://mncourtfraud.com/file/27-CR-20-5618.pdf","27-CR-20-5618")</f>
        <v>27-CR-20-5618</v>
      </c>
      <c r="C555" s="1" t="n">
        <v>1</v>
      </c>
      <c r="D555" s="2" t="s">
        <v>12</v>
      </c>
      <c r="E555" s="8" t="n">
        <v>44103</v>
      </c>
      <c r="F555" s="2" t="s">
        <v>19</v>
      </c>
      <c r="G555" s="7" t="str">
        <f aca="false">HYPERLINK("https://mncourtfraud.com/file/MCRO_27-CR-20-5618_Findings and Order_2020-09-29_20251126180807.pdf","MCRO_27-CR-20-5618_Findings and Order_2020-09-29_20251126180807.pdf")</f>
        <v>MCRO_27-CR-20-5618_Findings and Order_2020-09-29_20251126180807.pdf</v>
      </c>
      <c r="H555" s="7" t="str">
        <f aca="false">HYPERLINK("https://mncourtfraud.com/file/5ee07b0391e4f938d4624dade86775142f093b69d44110679cb386a9fcdb51dc.png","5ee07b0391e4f938d4624dade86775142f093b69d44110679cb386a9fcdb51dc")</f>
        <v>5ee07b0391e4f938d4624dade86775142f093b69d44110679cb386a9fcdb51dc</v>
      </c>
      <c r="I555" s="1" t="s">
        <v>3406</v>
      </c>
      <c r="L555" s="2" t="s">
        <v>3412</v>
      </c>
      <c r="M555" s="2" t="n">
        <v>141864</v>
      </c>
      <c r="S555" s="2" t="n">
        <v>2560</v>
      </c>
      <c r="T555" s="2" t="n">
        <v>3300</v>
      </c>
    </row>
    <row r="556" customFormat="false" ht="18.7" hidden="false" customHeight="true" outlineLevel="0" collapsed="false">
      <c r="A556" s="1" t="n">
        <v>555</v>
      </c>
      <c r="B556" s="7" t="str">
        <f aca="false">HYPERLINK("https://mncourtfraud.com/file/27-CR-20-5618.pdf","27-CR-20-5618")</f>
        <v>27-CR-20-5618</v>
      </c>
      <c r="C556" s="1" t="n">
        <v>1</v>
      </c>
      <c r="D556" s="2" t="s">
        <v>12</v>
      </c>
      <c r="E556" s="8" t="n">
        <v>44103</v>
      </c>
      <c r="F556" s="2" t="s">
        <v>19</v>
      </c>
      <c r="G556" s="7" t="str">
        <f aca="false">HYPERLINK("https://mncourtfraud.com/file/MCRO_27-CR-20-5618_Findings and Order_2020-09-29_20251126180807.pdf","MCRO_27-CR-20-5618_Findings and Order_2020-09-29_20251126180807.pdf")</f>
        <v>MCRO_27-CR-20-5618_Findings and Order_2020-09-29_20251126180807.pdf</v>
      </c>
      <c r="H556" s="7" t="str">
        <f aca="false">HYPERLINK("https://mncourtfraud.com/file/9298e052f4612cb0f1a6b3a16e09a68c67c5100b302cdb5815615d0bef9cb57b.png","9298e052f4612cb0f1a6b3a16e09a68c67c5100b302cdb5815615d0bef9cb57b")</f>
        <v>9298e052f4612cb0f1a6b3a16e09a68c67c5100b302cdb5815615d0bef9cb57b</v>
      </c>
      <c r="I556" s="1" t="s">
        <v>3406</v>
      </c>
      <c r="L556" s="2" t="s">
        <v>3412</v>
      </c>
      <c r="M556" s="2" t="n">
        <v>132457</v>
      </c>
      <c r="S556" s="2" t="n">
        <v>2560</v>
      </c>
      <c r="T556" s="2" t="n">
        <v>3300</v>
      </c>
    </row>
    <row r="557" customFormat="false" ht="18.7" hidden="false" customHeight="true" outlineLevel="0" collapsed="false">
      <c r="A557" s="1" t="n">
        <v>556</v>
      </c>
      <c r="B557" s="7" t="str">
        <f aca="false">HYPERLINK("https://mncourtfraud.com/file/27-CR-20-5618.pdf","27-CR-20-5618")</f>
        <v>27-CR-20-5618</v>
      </c>
      <c r="C557" s="1" t="n">
        <v>1</v>
      </c>
      <c r="D557" s="2" t="s">
        <v>12</v>
      </c>
      <c r="E557" s="8" t="n">
        <v>44103</v>
      </c>
      <c r="F557" s="2" t="s">
        <v>19</v>
      </c>
      <c r="G557" s="7" t="str">
        <f aca="false">HYPERLINK("https://mncourtfraud.com/file/MCRO_27-CR-20-5618_Findings and Order_2020-09-29_20251126180807.pdf","MCRO_27-CR-20-5618_Findings and Order_2020-09-29_20251126180807.pdf")</f>
        <v>MCRO_27-CR-20-5618_Findings and Order_2020-09-29_20251126180807.pdf</v>
      </c>
      <c r="H557" s="7" t="str">
        <f aca="false">HYPERLINK("https://mncourtfraud.com/file/ed475875d3636fc55785bfc0d90873f236925934528f91fa7187443759c8d7a9.ttf","ed475875d3636fc55785bfc0d90873f236925934528f91fa7187443759c8d7a9")</f>
        <v>ed475875d3636fc55785bfc0d90873f236925934528f91fa7187443759c8d7a9</v>
      </c>
      <c r="I557" s="1" t="s">
        <v>3413</v>
      </c>
      <c r="L557" s="2" t="s">
        <v>3415</v>
      </c>
      <c r="M557" s="2" t="n">
        <v>12924</v>
      </c>
    </row>
    <row r="558" customFormat="false" ht="18.7" hidden="false" customHeight="true" outlineLevel="0" collapsed="false">
      <c r="A558" s="1" t="n">
        <v>557</v>
      </c>
      <c r="B558" s="7" t="str">
        <f aca="false">HYPERLINK("https://mncourtfraud.com/file/27-CR-20-5618.pdf","27-CR-20-5618")</f>
        <v>27-CR-20-5618</v>
      </c>
      <c r="C558" s="1" t="n">
        <v>1</v>
      </c>
      <c r="D558" s="2" t="s">
        <v>12</v>
      </c>
      <c r="E558" s="8" t="n">
        <v>44225</v>
      </c>
      <c r="F558" s="2" t="s">
        <v>15</v>
      </c>
      <c r="G558" s="7" t="str">
        <f aca="false">HYPERLINK("https://mncourtfraud.com/file/MCRO_27-CR-20-5618_Order-Evaluation for Competency to Proceed (Rule 20.01)_2021-01-29_20251126181045.pdf","MCRO_27-CR-20-5618_Order-Evaluation for Competency to Proceed (Rule 20.01)_2021-01-29_20251126181045.pdf")</f>
        <v>MCRO_27-CR-20-5618_Order-Evaluation for Competency to Proceed (Rule 20.01)_2021-01-29_20251126181045.pdf</v>
      </c>
      <c r="H558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558" s="1" t="s">
        <v>3406</v>
      </c>
      <c r="K558" s="2" t="s">
        <v>3420</v>
      </c>
      <c r="L558" s="2" t="s">
        <v>3408</v>
      </c>
      <c r="M558" s="2" t="n">
        <v>7306</v>
      </c>
      <c r="O558" s="2" t="s">
        <v>3409</v>
      </c>
      <c r="P558" s="2" t="s">
        <v>3410</v>
      </c>
      <c r="S558" s="2" t="n">
        <v>319</v>
      </c>
      <c r="T558" s="2" t="n">
        <v>105</v>
      </c>
    </row>
    <row r="559" customFormat="false" ht="18.7" hidden="false" customHeight="true" outlineLevel="0" collapsed="false">
      <c r="A559" s="1" t="n">
        <v>558</v>
      </c>
      <c r="B559" s="7" t="str">
        <f aca="false">HYPERLINK("https://mncourtfraud.com/file/27-CR-20-5618.pdf","27-CR-20-5618")</f>
        <v>27-CR-20-5618</v>
      </c>
      <c r="C559" s="1" t="n">
        <v>1</v>
      </c>
      <c r="D559" s="2" t="s">
        <v>12</v>
      </c>
      <c r="E559" s="8" t="n">
        <v>44225</v>
      </c>
      <c r="F559" s="2" t="s">
        <v>15</v>
      </c>
      <c r="G559" s="7" t="str">
        <f aca="false">HYPERLINK("https://mncourtfraud.com/file/MCRO_27-CR-20-5618_Order-Evaluation for Competency to Proceed (Rule 20.01)_2021-01-29_20251126181045.pdf","MCRO_27-CR-20-5618_Order-Evaluation for Competency to Proceed (Rule 20.01)_2021-01-29_20251126181045.pdf")</f>
        <v>MCRO_27-CR-20-5618_Order-Evaluation for Competency to Proceed (Rule 20.01)_2021-01-29_20251126181045.pdf</v>
      </c>
      <c r="H559" s="7" t="str">
        <f aca="false">HYPERLINK("https://mncourtfraud.com/file/546304e2050278ff497f628e7aee653da606219dd05bf0397179732462a20afc.ttf","546304e2050278ff497f628e7aee653da606219dd05bf0397179732462a20afc")</f>
        <v>546304e2050278ff497f628e7aee653da606219dd05bf0397179732462a20afc</v>
      </c>
      <c r="I559" s="1" t="s">
        <v>3413</v>
      </c>
      <c r="J559" s="2" t="s">
        <v>3421</v>
      </c>
      <c r="K559" s="2" t="s">
        <v>3421</v>
      </c>
      <c r="L559" s="2" t="s">
        <v>3415</v>
      </c>
      <c r="M559" s="2" t="n">
        <v>399420</v>
      </c>
    </row>
    <row r="560" customFormat="false" ht="18.7" hidden="false" customHeight="true" outlineLevel="0" collapsed="false">
      <c r="A560" s="1" t="n">
        <v>559</v>
      </c>
      <c r="B560" s="7" t="str">
        <f aca="false">HYPERLINK("https://mncourtfraud.com/file/27-CR-20-5618.pdf","27-CR-20-5618")</f>
        <v>27-CR-20-5618</v>
      </c>
      <c r="C560" s="1" t="n">
        <v>1</v>
      </c>
      <c r="D560" s="2" t="s">
        <v>12</v>
      </c>
      <c r="E560" s="8" t="n">
        <v>44225</v>
      </c>
      <c r="F560" s="2" t="s">
        <v>15</v>
      </c>
      <c r="G560" s="7" t="str">
        <f aca="false">HYPERLINK("https://mncourtfraud.com/file/MCRO_27-CR-20-5618_Order-Evaluation for Competency to Proceed (Rule 20.01)_2021-01-29_20251126181045.pdf","MCRO_27-CR-20-5618_Order-Evaluation for Competency to Proceed (Rule 20.01)_2021-01-29_20251126181045.pdf")</f>
        <v>MCRO_27-CR-20-5618_Order-Evaluation for Competency to Proceed (Rule 20.01)_2021-01-29_20251126181045.pdf</v>
      </c>
      <c r="H560" s="7" t="str">
        <f aca="false">HYPERLINK("https://mncourtfraud.com/file/5fe279e2bb67346d4b9382b6d426f3b2037a8a7faa39183d4cc98bf1b3eac581.ttf","5fe279e2bb67346d4b9382b6d426f3b2037a8a7faa39183d4cc98bf1b3eac581")</f>
        <v>5fe279e2bb67346d4b9382b6d426f3b2037a8a7faa39183d4cc98bf1b3eac581</v>
      </c>
      <c r="I560" s="1" t="s">
        <v>3413</v>
      </c>
      <c r="J560" s="2" t="s">
        <v>3422</v>
      </c>
      <c r="K560" s="2" t="s">
        <v>3422</v>
      </c>
      <c r="L560" s="2" t="s">
        <v>3415</v>
      </c>
      <c r="M560" s="2" t="n">
        <v>584320</v>
      </c>
    </row>
    <row r="561" customFormat="false" ht="18.7" hidden="false" customHeight="true" outlineLevel="0" collapsed="false">
      <c r="A561" s="1" t="n">
        <v>560</v>
      </c>
      <c r="B561" s="7" t="str">
        <f aca="false">HYPERLINK("https://mncourtfraud.com/file/27-CR-20-5618.pdf","27-CR-20-5618")</f>
        <v>27-CR-20-5618</v>
      </c>
      <c r="C561" s="1" t="n">
        <v>1</v>
      </c>
      <c r="D561" s="2" t="s">
        <v>12</v>
      </c>
      <c r="E561" s="8" t="n">
        <v>44225</v>
      </c>
      <c r="F561" s="2" t="s">
        <v>15</v>
      </c>
      <c r="G561" s="7" t="str">
        <f aca="false">HYPERLINK("https://mncourtfraud.com/file/MCRO_27-CR-20-5618_Order-Evaluation for Competency to Proceed (Rule 20.01)_2021-01-29_20251126181045.pdf","MCRO_27-CR-20-5618_Order-Evaluation for Competency to Proceed (Rule 20.01)_2021-01-29_20251126181045.pdf")</f>
        <v>MCRO_27-CR-20-5618_Order-Evaluation for Competency to Proceed (Rule 20.01)_2021-01-29_20251126181045.pdf</v>
      </c>
      <c r="H561" s="7" t="str">
        <f aca="false">HYPERLINK("https://mncourtfraud.com/file/b1c2362109b3c1555dd5946549cada931b8066060cb7036e6b0b500de41c44e8.ttf","b1c2362109b3c1555dd5946549cada931b8066060cb7036e6b0b500de41c44e8")</f>
        <v>b1c2362109b3c1555dd5946549cada931b8066060cb7036e6b0b500de41c44e8</v>
      </c>
      <c r="I561" s="1" t="s">
        <v>3413</v>
      </c>
      <c r="J561" s="2" t="s">
        <v>3423</v>
      </c>
      <c r="K561" s="2" t="s">
        <v>3423</v>
      </c>
      <c r="L561" s="2" t="s">
        <v>3415</v>
      </c>
      <c r="M561" s="2" t="n">
        <v>25228</v>
      </c>
    </row>
    <row r="562" customFormat="false" ht="18.7" hidden="false" customHeight="true" outlineLevel="0" collapsed="false">
      <c r="A562" s="1" t="n">
        <v>561</v>
      </c>
      <c r="B562" s="7" t="str">
        <f aca="false">HYPERLINK("https://mncourtfraud.com/file/27-CR-20-5618.pdf","27-CR-20-5618")</f>
        <v>27-CR-20-5618</v>
      </c>
      <c r="C562" s="1" t="n">
        <v>1</v>
      </c>
      <c r="D562" s="2" t="s">
        <v>12</v>
      </c>
      <c r="E562" s="8" t="n">
        <v>44225</v>
      </c>
      <c r="F562" s="2" t="s">
        <v>15</v>
      </c>
      <c r="G562" s="7" t="str">
        <f aca="false">HYPERLINK("https://mncourtfraud.com/file/MCRO_27-CR-20-5618_Order-Evaluation for Competency to Proceed (Rule 20.01)_2021-01-29_20251126181045.pdf","MCRO_27-CR-20-5618_Order-Evaluation for Competency to Proceed (Rule 20.01)_2021-01-29_20251126181045.pdf")</f>
        <v>MCRO_27-CR-20-5618_Order-Evaluation for Competency to Proceed (Rule 20.01)_2021-01-29_20251126181045.pdf</v>
      </c>
      <c r="H562" s="7" t="str">
        <f aca="false">HYPERLINK("https://mncourtfraud.com/file/d2c62141a1ec41646c92beed2b2984b9af228aca51b9dba5d40aa343c9c7fc50.ttf","d2c62141a1ec41646c92beed2b2984b9af228aca51b9dba5d40aa343c9c7fc50")</f>
        <v>d2c62141a1ec41646c92beed2b2984b9af228aca51b9dba5d40aa343c9c7fc50</v>
      </c>
      <c r="I562" s="1" t="s">
        <v>3413</v>
      </c>
      <c r="J562" s="2" t="s">
        <v>3424</v>
      </c>
      <c r="K562" s="2" t="s">
        <v>3424</v>
      </c>
      <c r="L562" s="2" t="s">
        <v>3415</v>
      </c>
      <c r="M562" s="2" t="n">
        <v>29188</v>
      </c>
    </row>
    <row r="563" customFormat="false" ht="18.7" hidden="false" customHeight="true" outlineLevel="0" collapsed="false">
      <c r="A563" s="1" t="n">
        <v>562</v>
      </c>
      <c r="B563" s="7" t="str">
        <f aca="false">HYPERLINK("https://mncourtfraud.com/file/27-CR-20-5618.pdf","27-CR-20-5618")</f>
        <v>27-CR-20-5618</v>
      </c>
      <c r="C563" s="1" t="n">
        <v>1</v>
      </c>
      <c r="D563" s="2" t="s">
        <v>12</v>
      </c>
      <c r="E563" s="8" t="n">
        <v>44225</v>
      </c>
      <c r="F563" s="2" t="s">
        <v>15</v>
      </c>
      <c r="G563" s="7" t="str">
        <f aca="false">HYPERLINK("https://mncourtfraud.com/file/MCRO_27-CR-20-5618_Order-Evaluation for Competency to Proceed (Rule 20.01)_2021-01-29_20251126181045.pdf","MCRO_27-CR-20-5618_Order-Evaluation for Competency to Proceed (Rule 20.01)_2021-01-29_20251126181045.pdf")</f>
        <v>MCRO_27-CR-20-5618_Order-Evaluation for Competency to Proceed (Rule 20.01)_2021-01-29_20251126181045.pdf</v>
      </c>
      <c r="H563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563" s="1" t="s">
        <v>3406</v>
      </c>
      <c r="K563" s="2" t="s">
        <v>3425</v>
      </c>
      <c r="L563" s="2" t="s">
        <v>3408</v>
      </c>
      <c r="M563" s="2" t="n">
        <v>21225</v>
      </c>
      <c r="O563" s="2" t="s">
        <v>3409</v>
      </c>
      <c r="P563" s="2" t="s">
        <v>3410</v>
      </c>
      <c r="S563" s="2" t="n">
        <v>319</v>
      </c>
      <c r="T563" s="2" t="n">
        <v>105</v>
      </c>
    </row>
    <row r="564" customFormat="false" ht="18.7" hidden="false" customHeight="true" outlineLevel="0" collapsed="false">
      <c r="A564" s="1" t="n">
        <v>563</v>
      </c>
      <c r="B564" s="7" t="str">
        <f aca="false">HYPERLINK("https://mncourtfraud.com/file/27-CR-20-5618.pdf","27-CR-20-5618")</f>
        <v>27-CR-20-5618</v>
      </c>
      <c r="C564" s="1" t="n">
        <v>1</v>
      </c>
      <c r="D564" s="2" t="s">
        <v>12</v>
      </c>
      <c r="E564" s="8" t="n">
        <v>44396</v>
      </c>
      <c r="F564" s="2" t="s">
        <v>15</v>
      </c>
      <c r="G564" s="7" t="str">
        <f aca="false">HYPERLINK("https://mncourtfraud.com/file/MCRO_27-CR-20-5618_Order-Evaluation for Competency to Proceed (Rule 20.01)_2021-07-19_20251126180920.pdf","MCRO_27-CR-20-5618_Order-Evaluation for Competency to Proceed (Rule 20.01)_2021-07-19_20251126180920.pdf")</f>
        <v>MCRO_27-CR-20-5618_Order-Evaluation for Competency to Proceed (Rule 20.01)_2021-07-19_20251126180920.pdf</v>
      </c>
      <c r="H564" s="7" t="str">
        <f aca="false">HYPERLINK("https://mncourtfraud.com/file/00c39ab156410e6c58c368cc3ec0e47a6d7711c005c276cda73a27ed8cd3da5d.png","00c39ab156410e6c58c368cc3ec0e47a6d7711c005c276cda73a27ed8cd3da5d")</f>
        <v>00c39ab156410e6c58c368cc3ec0e47a6d7711c005c276cda73a27ed8cd3da5d</v>
      </c>
      <c r="I564" s="1" t="s">
        <v>3406</v>
      </c>
      <c r="L564" s="2" t="s">
        <v>3412</v>
      </c>
      <c r="M564" s="2" t="n">
        <v>145266</v>
      </c>
      <c r="S564" s="2" t="n">
        <v>2550</v>
      </c>
      <c r="T564" s="2" t="n">
        <v>3300</v>
      </c>
    </row>
    <row r="565" customFormat="false" ht="18.7" hidden="false" customHeight="true" outlineLevel="0" collapsed="false">
      <c r="A565" s="1" t="n">
        <v>564</v>
      </c>
      <c r="B565" s="7" t="str">
        <f aca="false">HYPERLINK("https://mncourtfraud.com/file/27-CR-20-5618.pdf","27-CR-20-5618")</f>
        <v>27-CR-20-5618</v>
      </c>
      <c r="C565" s="1" t="n">
        <v>1</v>
      </c>
      <c r="D565" s="2" t="s">
        <v>12</v>
      </c>
      <c r="E565" s="8" t="n">
        <v>44396</v>
      </c>
      <c r="F565" s="2" t="s">
        <v>15</v>
      </c>
      <c r="G565" s="7" t="str">
        <f aca="false">HYPERLINK("https://mncourtfraud.com/file/MCRO_27-CR-20-5618_Order-Evaluation for Competency to Proceed (Rule 20.01)_2021-07-19_20251126180920.pdf","MCRO_27-CR-20-5618_Order-Evaluation for Competency to Proceed (Rule 20.01)_2021-07-19_20251126180920.pdf")</f>
        <v>MCRO_27-CR-20-5618_Order-Evaluation for Competency to Proceed (Rule 20.01)_2021-07-19_20251126180920.pdf</v>
      </c>
      <c r="H565" s="7" t="str">
        <f aca="false">HYPERLINK("https://mncourtfraud.com/file/75de148ac00b0262573c37f827f698e70779021510c15b3eea67e85d8cae0651.ttf","75de148ac00b0262573c37f827f698e70779021510c15b3eea67e85d8cae0651")</f>
        <v>75de148ac00b0262573c37f827f698e70779021510c15b3eea67e85d8cae0651</v>
      </c>
      <c r="I565" s="1" t="s">
        <v>3413</v>
      </c>
      <c r="L565" s="2" t="s">
        <v>3415</v>
      </c>
      <c r="M565" s="2" t="n">
        <v>333584</v>
      </c>
    </row>
    <row r="566" customFormat="false" ht="18.7" hidden="false" customHeight="true" outlineLevel="0" collapsed="false">
      <c r="A566" s="1" t="n">
        <v>565</v>
      </c>
      <c r="B566" s="7" t="str">
        <f aca="false">HYPERLINK("https://mncourtfraud.com/file/27-CR-20-5618.pdf","27-CR-20-5618")</f>
        <v>27-CR-20-5618</v>
      </c>
      <c r="C566" s="1" t="n">
        <v>1</v>
      </c>
      <c r="D566" s="2" t="s">
        <v>12</v>
      </c>
      <c r="E566" s="8" t="n">
        <v>44396</v>
      </c>
      <c r="F566" s="2" t="s">
        <v>15</v>
      </c>
      <c r="G566" s="7" t="str">
        <f aca="false">HYPERLINK("https://mncourtfraud.com/file/MCRO_27-CR-20-5618_Order-Evaluation for Competency to Proceed (Rule 20.01)_2021-07-19_20251126180920.pdf","MCRO_27-CR-20-5618_Order-Evaluation for Competency to Proceed (Rule 20.01)_2021-07-19_20251126180920.pdf")</f>
        <v>MCRO_27-CR-20-5618_Order-Evaluation for Competency to Proceed (Rule 20.01)_2021-07-19_20251126180920.pdf</v>
      </c>
      <c r="H566" s="7" t="str">
        <f aca="false">HYPERLINK("https://mncourtfraud.com/file/c74c1e380c9b3d85f1b051ceb7333e1b7d0d1e36bb6cb323f27958ba470db75f.png","c74c1e380c9b3d85f1b051ceb7333e1b7d0d1e36bb6cb323f27958ba470db75f")</f>
        <v>c74c1e380c9b3d85f1b051ceb7333e1b7d0d1e36bb6cb323f27958ba470db75f</v>
      </c>
      <c r="I566" s="1" t="s">
        <v>3406</v>
      </c>
      <c r="L566" s="2" t="s">
        <v>3412</v>
      </c>
      <c r="M566" s="2" t="n">
        <v>155173</v>
      </c>
      <c r="S566" s="2" t="n">
        <v>2550</v>
      </c>
      <c r="T566" s="2" t="n">
        <v>3300</v>
      </c>
    </row>
    <row r="567" customFormat="false" ht="18.7" hidden="false" customHeight="true" outlineLevel="0" collapsed="false">
      <c r="A567" s="1" t="n">
        <v>566</v>
      </c>
      <c r="B567" s="7" t="str">
        <f aca="false">HYPERLINK("https://mncourtfraud.com/file/27-CR-20-5618.pdf","27-CR-20-5618")</f>
        <v>27-CR-20-5618</v>
      </c>
      <c r="C567" s="1" t="n">
        <v>1</v>
      </c>
      <c r="D567" s="2" t="s">
        <v>12</v>
      </c>
      <c r="E567" s="8" t="n">
        <v>44439</v>
      </c>
      <c r="F567" s="2" t="s">
        <v>19</v>
      </c>
      <c r="G567" s="7" t="str">
        <f aca="false">HYPERLINK("https://mncourtfraud.com/file/MCRO_27-CR-20-5618_Findings and Order_2021-08-31_20251126180821.pdf","MCRO_27-CR-20-5618_Findings and Order_2021-08-31_20251126180821.pdf")</f>
        <v>MCRO_27-CR-20-5618_Findings and Order_2021-08-31_20251126180821.pdf</v>
      </c>
      <c r="H567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567" s="1" t="s">
        <v>3413</v>
      </c>
      <c r="J567" s="2" t="s">
        <v>3426</v>
      </c>
      <c r="K567" s="2" t="s">
        <v>3426</v>
      </c>
      <c r="L567" s="2" t="s">
        <v>3415</v>
      </c>
      <c r="M567" s="2" t="n">
        <v>74997</v>
      </c>
      <c r="N567" s="2" t="s">
        <v>3427</v>
      </c>
    </row>
    <row r="568" customFormat="false" ht="18.7" hidden="false" customHeight="true" outlineLevel="0" collapsed="false">
      <c r="A568" s="1" t="n">
        <v>567</v>
      </c>
      <c r="B568" s="7" t="str">
        <f aca="false">HYPERLINK("https://mncourtfraud.com/file/27-CR-20-5618.pdf","27-CR-20-5618")</f>
        <v>27-CR-20-5618</v>
      </c>
      <c r="C568" s="1" t="n">
        <v>1</v>
      </c>
      <c r="D568" s="2" t="s">
        <v>12</v>
      </c>
      <c r="E568" s="8" t="n">
        <v>44439</v>
      </c>
      <c r="F568" s="2" t="s">
        <v>19</v>
      </c>
      <c r="G568" s="7" t="str">
        <f aca="false">HYPERLINK("https://mncourtfraud.com/file/MCRO_27-CR-20-5618_Findings and Order_2021-08-31_20251126180821.pdf","MCRO_27-CR-20-5618_Findings and Order_2021-08-31_20251126180821.pdf")</f>
        <v>MCRO_27-CR-20-5618_Findings and Order_2021-08-31_20251126180821.pdf</v>
      </c>
      <c r="H568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568" s="1" t="s">
        <v>3413</v>
      </c>
      <c r="J568" s="2" t="s">
        <v>3414</v>
      </c>
      <c r="K568" s="2" t="s">
        <v>3414</v>
      </c>
      <c r="L568" s="2" t="s">
        <v>3415</v>
      </c>
      <c r="M568" s="2" t="n">
        <v>65384</v>
      </c>
    </row>
    <row r="569" customFormat="false" ht="18.7" hidden="false" customHeight="true" outlineLevel="0" collapsed="false">
      <c r="A569" s="1" t="n">
        <v>568</v>
      </c>
      <c r="B569" s="7" t="str">
        <f aca="false">HYPERLINK("https://mncourtfraud.com/file/27-CR-20-5618.pdf","27-CR-20-5618")</f>
        <v>27-CR-20-5618</v>
      </c>
      <c r="C569" s="1" t="n">
        <v>1</v>
      </c>
      <c r="D569" s="2" t="s">
        <v>12</v>
      </c>
      <c r="E569" s="8" t="n">
        <v>44439</v>
      </c>
      <c r="F569" s="2" t="s">
        <v>19</v>
      </c>
      <c r="G569" s="7" t="str">
        <f aca="false">HYPERLINK("https://mncourtfraud.com/file/MCRO_27-CR-20-5618_Findings and Order_2021-08-31_20251126180821.pdf","MCRO_27-CR-20-5618_Findings and Order_2021-08-31_20251126180821.pdf")</f>
        <v>MCRO_27-CR-20-5618_Findings and Order_2021-08-31_20251126180821.pdf</v>
      </c>
      <c r="H569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569" s="1" t="s">
        <v>3413</v>
      </c>
      <c r="J569" s="2" t="s">
        <v>3414</v>
      </c>
      <c r="K569" s="2" t="s">
        <v>3414</v>
      </c>
      <c r="L569" s="2" t="s">
        <v>3415</v>
      </c>
      <c r="M569" s="2" t="n">
        <v>65384</v>
      </c>
    </row>
    <row r="570" customFormat="false" ht="18.7" hidden="false" customHeight="true" outlineLevel="0" collapsed="false">
      <c r="A570" s="1" t="n">
        <v>569</v>
      </c>
      <c r="B570" s="7" t="str">
        <f aca="false">HYPERLINK("https://mncourtfraud.com/file/27-CR-20-5618.pdf","27-CR-20-5618")</f>
        <v>27-CR-20-5618</v>
      </c>
      <c r="C570" s="1" t="n">
        <v>1</v>
      </c>
      <c r="D570" s="2" t="s">
        <v>12</v>
      </c>
      <c r="E570" s="8" t="n">
        <v>44439</v>
      </c>
      <c r="F570" s="2" t="s">
        <v>19</v>
      </c>
      <c r="G570" s="7" t="str">
        <f aca="false">HYPERLINK("https://mncourtfraud.com/file/MCRO_27-CR-20-5618_Findings and Order_2021-08-31_20251126180821.pdf","MCRO_27-CR-20-5618_Findings and Order_2021-08-31_20251126180821.pdf")</f>
        <v>MCRO_27-CR-20-5618_Findings and Order_2021-08-31_20251126180821.pdf</v>
      </c>
      <c r="H570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570" s="1" t="s">
        <v>3428</v>
      </c>
      <c r="J570" s="2" t="s">
        <v>3429</v>
      </c>
      <c r="K570" s="2" t="s">
        <v>3429</v>
      </c>
      <c r="L570" s="2" t="s">
        <v>3415</v>
      </c>
      <c r="M570" s="2" t="n">
        <v>86093</v>
      </c>
    </row>
    <row r="571" customFormat="false" ht="18.7" hidden="false" customHeight="true" outlineLevel="0" collapsed="false">
      <c r="A571" s="1" t="n">
        <v>570</v>
      </c>
      <c r="B571" s="7" t="str">
        <f aca="false">HYPERLINK("https://mncourtfraud.com/file/27-CR-20-5618.pdf","27-CR-20-5618")</f>
        <v>27-CR-20-5618</v>
      </c>
      <c r="C571" s="1" t="n">
        <v>1</v>
      </c>
      <c r="D571" s="2" t="s">
        <v>12</v>
      </c>
      <c r="E571" s="8" t="n">
        <v>44439</v>
      </c>
      <c r="F571" s="2" t="s">
        <v>19</v>
      </c>
      <c r="G571" s="7" t="str">
        <f aca="false">HYPERLINK("https://mncourtfraud.com/file/MCRO_27-CR-20-5618_Findings and Order_2021-08-31_20251126180821.pdf","MCRO_27-CR-20-5618_Findings and Order_2021-08-31_20251126180821.pdf")</f>
        <v>MCRO_27-CR-20-5618_Findings and Order_2021-08-31_20251126180821.pdf</v>
      </c>
      <c r="H571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571" s="1" t="s">
        <v>3406</v>
      </c>
      <c r="K571" s="2" t="s">
        <v>3430</v>
      </c>
      <c r="L571" s="2" t="s">
        <v>3408</v>
      </c>
      <c r="M571" s="2" t="n">
        <v>28069</v>
      </c>
      <c r="O571" s="2" t="s">
        <v>3409</v>
      </c>
      <c r="P571" s="2" t="s">
        <v>3410</v>
      </c>
      <c r="S571" s="2" t="n">
        <v>448</v>
      </c>
      <c r="T571" s="2" t="n">
        <v>128</v>
      </c>
    </row>
    <row r="572" customFormat="false" ht="18.7" hidden="false" customHeight="true" outlineLevel="0" collapsed="false">
      <c r="A572" s="1" t="n">
        <v>571</v>
      </c>
      <c r="B572" s="7" t="str">
        <f aca="false">HYPERLINK("https://mncourtfraud.com/file/27-CR-20-5618.pdf","27-CR-20-5618")</f>
        <v>27-CR-20-5618</v>
      </c>
      <c r="C572" s="1" t="n">
        <v>1</v>
      </c>
      <c r="D572" s="2" t="s">
        <v>12</v>
      </c>
      <c r="E572" s="8" t="n">
        <v>44439</v>
      </c>
      <c r="F572" s="2" t="s">
        <v>19</v>
      </c>
      <c r="G572" s="7" t="str">
        <f aca="false">HYPERLINK("https://mncourtfraud.com/file/MCRO_27-CR-20-5618_Findings and Order_2021-08-31_20251126180821.pdf","MCRO_27-CR-20-5618_Findings and Order_2021-08-31_20251126180821.pdf")</f>
        <v>MCRO_27-CR-20-5618_Findings and Order_2021-08-31_20251126180821.pdf</v>
      </c>
      <c r="H572" s="7" t="str">
        <f aca="false">HYPERLINK("https://mncourtfraud.com/file/d85226137c53579f37f2c87321a4ff209a309a82330591d9457774d7d697befc.ttf","d85226137c53579f37f2c87321a4ff209a309a82330591d9457774d7d697befc")</f>
        <v>d85226137c53579f37f2c87321a4ff209a309a82330591d9457774d7d697befc</v>
      </c>
      <c r="I572" s="1" t="s">
        <v>3413</v>
      </c>
      <c r="J572" s="2" t="s">
        <v>3414</v>
      </c>
      <c r="K572" s="2" t="s">
        <v>3416</v>
      </c>
      <c r="L572" s="2" t="s">
        <v>3415</v>
      </c>
      <c r="M572" s="2" t="n">
        <v>49992</v>
      </c>
    </row>
    <row r="573" customFormat="false" ht="18.7" hidden="false" customHeight="true" outlineLevel="0" collapsed="false">
      <c r="A573" s="1" t="n">
        <v>572</v>
      </c>
      <c r="B573" s="7" t="str">
        <f aca="false">HYPERLINK("https://mncourtfraud.com/file/27-CR-20-5618.pdf","27-CR-20-5618")</f>
        <v>27-CR-20-5618</v>
      </c>
      <c r="C573" s="1" t="n">
        <v>1</v>
      </c>
      <c r="D573" s="2" t="s">
        <v>12</v>
      </c>
      <c r="E573" s="8" t="n">
        <v>44460</v>
      </c>
      <c r="F573" s="2" t="s">
        <v>24</v>
      </c>
      <c r="G573" s="7" t="str">
        <f aca="false">HYPERLINK("https://mncourtfraud.com/file/MCRO_27-CR-20-5618_Order for Conditional Release_2021-09-21_20251126180857.pdf","MCRO_27-CR-20-5618_Order for Conditional Release_2021-09-21_20251126180857.pdf")</f>
        <v>MCRO_27-CR-20-5618_Order for Conditional Release_2021-09-21_20251126180857.pdf</v>
      </c>
      <c r="H573" s="7" t="str">
        <f aca="false">HYPERLINK("https://mncourtfraud.com/file/02dfb6e08fd11b3563d1b9b621b56dbf2dc11acbd85e42bfd83f728fb300bef2.ttf","02dfb6e08fd11b3563d1b9b621b56dbf2dc11acbd85e42bfd83f728fb300bef2")</f>
        <v>02dfb6e08fd11b3563d1b9b621b56dbf2dc11acbd85e42bfd83f728fb300bef2</v>
      </c>
      <c r="I573" s="1" t="s">
        <v>3413</v>
      </c>
      <c r="L573" s="2" t="s">
        <v>3415</v>
      </c>
      <c r="M573" s="2" t="n">
        <v>333576</v>
      </c>
    </row>
    <row r="574" customFormat="false" ht="18.7" hidden="false" customHeight="true" outlineLevel="0" collapsed="false">
      <c r="A574" s="1" t="n">
        <v>573</v>
      </c>
      <c r="B574" s="7" t="str">
        <f aca="false">HYPERLINK("https://mncourtfraud.com/file/27-CR-20-5618.pdf","27-CR-20-5618")</f>
        <v>27-CR-20-5618</v>
      </c>
      <c r="C574" s="1" t="n">
        <v>1</v>
      </c>
      <c r="D574" s="2" t="s">
        <v>12</v>
      </c>
      <c r="E574" s="8" t="n">
        <v>44460</v>
      </c>
      <c r="F574" s="2" t="s">
        <v>24</v>
      </c>
      <c r="G574" s="7" t="str">
        <f aca="false">HYPERLINK("https://mncourtfraud.com/file/MCRO_27-CR-20-5618_Order for Conditional Release_2021-09-21_20251126180857.pdf","MCRO_27-CR-20-5618_Order for Conditional Release_2021-09-21_20251126180857.pdf")</f>
        <v>MCRO_27-CR-20-5618_Order for Conditional Release_2021-09-21_20251126180857.pdf</v>
      </c>
      <c r="H574" s="7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574" s="1" t="s">
        <v>3406</v>
      </c>
      <c r="L574" s="2" t="s">
        <v>3412</v>
      </c>
      <c r="M574" s="2" t="n">
        <v>152962</v>
      </c>
      <c r="S574" s="2" t="n">
        <v>2560</v>
      </c>
      <c r="T574" s="2" t="n">
        <v>3300</v>
      </c>
    </row>
    <row r="575" customFormat="false" ht="18.7" hidden="false" customHeight="true" outlineLevel="0" collapsed="false">
      <c r="A575" s="1" t="n">
        <v>574</v>
      </c>
      <c r="B575" s="7" t="str">
        <f aca="false">HYPERLINK("https://mncourtfraud.com/file/27-CR-20-5618.pdf","27-CR-20-5618")</f>
        <v>27-CR-20-5618</v>
      </c>
      <c r="C575" s="1" t="n">
        <v>1</v>
      </c>
      <c r="D575" s="2" t="s">
        <v>12</v>
      </c>
      <c r="E575" s="8" t="n">
        <v>44468</v>
      </c>
      <c r="F575" s="2" t="s">
        <v>24</v>
      </c>
      <c r="G575" s="7" t="str">
        <f aca="false">HYPERLINK("https://mncourtfraud.com/file/MCRO_27-CR-20-5618_Order for Conditional Release_2021-09-29_20251126180905.pdf","MCRO_27-CR-20-5618_Order for Conditional Release_2021-09-29_20251126180905.pdf")</f>
        <v>MCRO_27-CR-20-5618_Order for Conditional Release_2021-09-29_20251126180905.pdf</v>
      </c>
      <c r="H575" s="7" t="str">
        <f aca="false">HYPERLINK("https://mncourtfraud.com/file/29d541cb6920f2a0815a72232c8164e19ffda7ff89f025261d343aef97d55c23.png","29d541cb6920f2a0815a72232c8164e19ffda7ff89f025261d343aef97d55c23")</f>
        <v>29d541cb6920f2a0815a72232c8164e19ffda7ff89f025261d343aef97d55c23</v>
      </c>
      <c r="I575" s="1" t="s">
        <v>3406</v>
      </c>
      <c r="L575" s="2" t="s">
        <v>3412</v>
      </c>
      <c r="M575" s="2" t="n">
        <v>104</v>
      </c>
      <c r="S575" s="2" t="n">
        <v>5</v>
      </c>
      <c r="T575" s="2" t="n">
        <v>75</v>
      </c>
    </row>
    <row r="576" customFormat="false" ht="18.7" hidden="false" customHeight="true" outlineLevel="0" collapsed="false">
      <c r="A576" s="1" t="n">
        <v>575</v>
      </c>
      <c r="B576" s="7" t="str">
        <f aca="false">HYPERLINK("https://mncourtfraud.com/file/27-CR-20-5618.pdf","27-CR-20-5618")</f>
        <v>27-CR-20-5618</v>
      </c>
      <c r="C576" s="1" t="n">
        <v>1</v>
      </c>
      <c r="D576" s="2" t="s">
        <v>12</v>
      </c>
      <c r="E576" s="8" t="n">
        <v>44468</v>
      </c>
      <c r="F576" s="2" t="s">
        <v>24</v>
      </c>
      <c r="G576" s="7" t="str">
        <f aca="false">HYPERLINK("https://mncourtfraud.com/file/MCRO_27-CR-20-5618_Order for Conditional Release_2021-09-29_20251126180905.pdf","MCRO_27-CR-20-5618_Order for Conditional Release_2021-09-29_20251126180905.pdf")</f>
        <v>MCRO_27-CR-20-5618_Order for Conditional Release_2021-09-29_20251126180905.pdf</v>
      </c>
      <c r="H576" s="7" t="str">
        <f aca="false">HYPERLINK("https://mncourtfraud.com/file/3d978c70f8a4a91fd25d0f653c2931516767fdd837fcadff75a8c3cd2ba3a28e.png","3d978c70f8a4a91fd25d0f653c2931516767fdd837fcadff75a8c3cd2ba3a28e")</f>
        <v>3d978c70f8a4a91fd25d0f653c2931516767fdd837fcadff75a8c3cd2ba3a28e</v>
      </c>
      <c r="I576" s="1" t="s">
        <v>3406</v>
      </c>
      <c r="L576" s="2" t="s">
        <v>3412</v>
      </c>
      <c r="M576" s="2" t="n">
        <v>2435</v>
      </c>
      <c r="S576" s="2" t="n">
        <v>1069</v>
      </c>
      <c r="T576" s="2" t="n">
        <v>679</v>
      </c>
    </row>
    <row r="577" customFormat="false" ht="18.7" hidden="false" customHeight="true" outlineLevel="0" collapsed="false">
      <c r="A577" s="1" t="n">
        <v>576</v>
      </c>
      <c r="B577" s="7" t="str">
        <f aca="false">HYPERLINK("https://mncourtfraud.com/file/27-CR-20-5618.pdf","27-CR-20-5618")</f>
        <v>27-CR-20-5618</v>
      </c>
      <c r="C577" s="1" t="n">
        <v>1</v>
      </c>
      <c r="D577" s="2" t="s">
        <v>12</v>
      </c>
      <c r="E577" s="8" t="n">
        <v>44468</v>
      </c>
      <c r="F577" s="2" t="s">
        <v>24</v>
      </c>
      <c r="G577" s="7" t="str">
        <f aca="false">HYPERLINK("https://mncourtfraud.com/file/MCRO_27-CR-20-5618_Order for Conditional Release_2021-09-29_20251126180905.pdf","MCRO_27-CR-20-5618_Order for Conditional Release_2021-09-29_20251126180905.pdf")</f>
        <v>MCRO_27-CR-20-5618_Order for Conditional Release_2021-09-29_20251126180905.pdf</v>
      </c>
      <c r="H577" s="7" t="str">
        <f aca="false">HYPERLINK("https://mncourtfraud.com/file/3f202249d41f264cabf7a4fd2c634829df7886c25cb759658f06c1a8bca28360.cid","3f202249d41f264cabf7a4fd2c634829df7886c25cb759658f06c1a8bca28360")</f>
        <v>3f202249d41f264cabf7a4fd2c634829df7886c25cb759658f06c1a8bca28360</v>
      </c>
      <c r="I577" s="1" t="s">
        <v>3431</v>
      </c>
      <c r="L577" s="2" t="s">
        <v>3415</v>
      </c>
      <c r="M577" s="2" t="n">
        <v>1397</v>
      </c>
    </row>
    <row r="578" customFormat="false" ht="18.7" hidden="false" customHeight="true" outlineLevel="0" collapsed="false">
      <c r="A578" s="1" t="n">
        <v>577</v>
      </c>
      <c r="B578" s="7" t="str">
        <f aca="false">HYPERLINK("https://mncourtfraud.com/file/27-CR-20-5618.pdf","27-CR-20-5618")</f>
        <v>27-CR-20-5618</v>
      </c>
      <c r="C578" s="1" t="n">
        <v>1</v>
      </c>
      <c r="D578" s="2" t="s">
        <v>12</v>
      </c>
      <c r="E578" s="8" t="n">
        <v>44468</v>
      </c>
      <c r="F578" s="2" t="s">
        <v>24</v>
      </c>
      <c r="G578" s="7" t="str">
        <f aca="false">HYPERLINK("https://mncourtfraud.com/file/MCRO_27-CR-20-5618_Order for Conditional Release_2021-09-29_20251126180905.pdf","MCRO_27-CR-20-5618_Order for Conditional Release_2021-09-29_20251126180905.pdf")</f>
        <v>MCRO_27-CR-20-5618_Order for Conditional Release_2021-09-29_20251126180905.pdf</v>
      </c>
      <c r="H578" s="7" t="str">
        <f aca="false">HYPERLINK("https://mncourtfraud.com/file/425a64ecdc19aa0c86b927b2be8980d179c92ac4af2a49d3c3ad0aa278728c52.png","425a64ecdc19aa0c86b927b2be8980d179c92ac4af2a49d3c3ad0aa278728c52")</f>
        <v>425a64ecdc19aa0c86b927b2be8980d179c92ac4af2a49d3c3ad0aa278728c52</v>
      </c>
      <c r="I578" s="1" t="s">
        <v>3406</v>
      </c>
      <c r="L578" s="2" t="s">
        <v>3412</v>
      </c>
      <c r="M578" s="2" t="n">
        <v>520</v>
      </c>
      <c r="S578" s="2" t="n">
        <v>126</v>
      </c>
      <c r="T578" s="2" t="n">
        <v>150</v>
      </c>
    </row>
    <row r="579" customFormat="false" ht="18.7" hidden="false" customHeight="true" outlineLevel="0" collapsed="false">
      <c r="A579" s="1" t="n">
        <v>578</v>
      </c>
      <c r="B579" s="7" t="str">
        <f aca="false">HYPERLINK("https://mncourtfraud.com/file/27-CR-20-5618.pdf","27-CR-20-5618")</f>
        <v>27-CR-20-5618</v>
      </c>
      <c r="C579" s="1" t="n">
        <v>1</v>
      </c>
      <c r="D579" s="2" t="s">
        <v>12</v>
      </c>
      <c r="E579" s="8" t="n">
        <v>44468</v>
      </c>
      <c r="F579" s="2" t="s">
        <v>24</v>
      </c>
      <c r="G579" s="7" t="str">
        <f aca="false">HYPERLINK("https://mncourtfraud.com/file/MCRO_27-CR-20-5618_Order for Conditional Release_2021-09-29_20251126180905.pdf","MCRO_27-CR-20-5618_Order for Conditional Release_2021-09-29_20251126180905.pdf")</f>
        <v>MCRO_27-CR-20-5618_Order for Conditional Release_2021-09-29_20251126180905.pdf</v>
      </c>
      <c r="H579" s="7" t="str">
        <f aca="false">HYPERLINK("https://mncourtfraud.com/file/4458a2b033c8132fd890227750c1df180ec4563b9dc0a6394b3691240425c9b3.cid","4458a2b033c8132fd890227750c1df180ec4563b9dc0a6394b3691240425c9b3")</f>
        <v>4458a2b033c8132fd890227750c1df180ec4563b9dc0a6394b3691240425c9b3</v>
      </c>
      <c r="I579" s="1" t="s">
        <v>3431</v>
      </c>
      <c r="L579" s="2" t="s">
        <v>3415</v>
      </c>
      <c r="M579" s="2" t="n">
        <v>3580</v>
      </c>
    </row>
    <row r="580" customFormat="false" ht="18.7" hidden="false" customHeight="true" outlineLevel="0" collapsed="false">
      <c r="A580" s="1" t="n">
        <v>579</v>
      </c>
      <c r="B580" s="7" t="str">
        <f aca="false">HYPERLINK("https://mncourtfraud.com/file/27-CR-20-5618.pdf","27-CR-20-5618")</f>
        <v>27-CR-20-5618</v>
      </c>
      <c r="C580" s="1" t="n">
        <v>1</v>
      </c>
      <c r="D580" s="2" t="s">
        <v>12</v>
      </c>
      <c r="E580" s="8" t="n">
        <v>44468</v>
      </c>
      <c r="F580" s="2" t="s">
        <v>24</v>
      </c>
      <c r="G580" s="7" t="str">
        <f aca="false">HYPERLINK("https://mncourtfraud.com/file/MCRO_27-CR-20-5618_Order for Conditional Release_2021-09-29_20251126180905.pdf","MCRO_27-CR-20-5618_Order for Conditional Release_2021-09-29_20251126180905.pdf")</f>
        <v>MCRO_27-CR-20-5618_Order for Conditional Release_2021-09-29_20251126180905.pdf</v>
      </c>
      <c r="H580" s="7" t="str">
        <f aca="false">HYPERLINK("https://mncourtfraud.com/file/45a9f49ddf96d4a4dcf4561d2702204f448986045babf3fdd52fa18200557e31.png","45a9f49ddf96d4a4dcf4561d2702204f448986045babf3fdd52fa18200557e31")</f>
        <v>45a9f49ddf96d4a4dcf4561d2702204f448986045babf3fdd52fa18200557e31</v>
      </c>
      <c r="I580" s="1" t="s">
        <v>3406</v>
      </c>
      <c r="L580" s="2" t="s">
        <v>3412</v>
      </c>
      <c r="M580" s="2" t="n">
        <v>97</v>
      </c>
      <c r="S580" s="2" t="n">
        <v>3</v>
      </c>
      <c r="T580" s="2" t="n">
        <v>4</v>
      </c>
    </row>
    <row r="581" customFormat="false" ht="18.7" hidden="false" customHeight="true" outlineLevel="0" collapsed="false">
      <c r="A581" s="1" t="n">
        <v>580</v>
      </c>
      <c r="B581" s="7" t="str">
        <f aca="false">HYPERLINK("https://mncourtfraud.com/file/27-CR-20-5618.pdf","27-CR-20-5618")</f>
        <v>27-CR-20-5618</v>
      </c>
      <c r="C581" s="1" t="n">
        <v>1</v>
      </c>
      <c r="D581" s="2" t="s">
        <v>12</v>
      </c>
      <c r="E581" s="8" t="n">
        <v>44468</v>
      </c>
      <c r="F581" s="2" t="s">
        <v>24</v>
      </c>
      <c r="G581" s="7" t="str">
        <f aca="false">HYPERLINK("https://mncourtfraud.com/file/MCRO_27-CR-20-5618_Order for Conditional Release_2021-09-29_20251126180905.pdf","MCRO_27-CR-20-5618_Order for Conditional Release_2021-09-29_20251126180905.pdf")</f>
        <v>MCRO_27-CR-20-5618_Order for Conditional Release_2021-09-29_20251126180905.pdf</v>
      </c>
      <c r="H581" s="7" t="str">
        <f aca="false">HYPERLINK("https://mncourtfraud.com/file/50457dc3e0bb6204f128f3222c76884dffaf132a86395902e3967a44a5d511ed.cid","50457dc3e0bb6204f128f3222c76884dffaf132a86395902e3967a44a5d511ed")</f>
        <v>50457dc3e0bb6204f128f3222c76884dffaf132a86395902e3967a44a5d511ed</v>
      </c>
      <c r="I581" s="1" t="s">
        <v>3431</v>
      </c>
      <c r="L581" s="2" t="s">
        <v>3415</v>
      </c>
      <c r="M581" s="2" t="n">
        <v>2839</v>
      </c>
    </row>
    <row r="582" customFormat="false" ht="18.7" hidden="false" customHeight="true" outlineLevel="0" collapsed="false">
      <c r="A582" s="1" t="n">
        <v>581</v>
      </c>
      <c r="B582" s="7" t="str">
        <f aca="false">HYPERLINK("https://mncourtfraud.com/file/27-CR-20-5618.pdf","27-CR-20-5618")</f>
        <v>27-CR-20-5618</v>
      </c>
      <c r="C582" s="1" t="n">
        <v>1</v>
      </c>
      <c r="D582" s="2" t="s">
        <v>12</v>
      </c>
      <c r="E582" s="8" t="n">
        <v>44468</v>
      </c>
      <c r="F582" s="2" t="s">
        <v>24</v>
      </c>
      <c r="G582" s="7" t="str">
        <f aca="false">HYPERLINK("https://mncourtfraud.com/file/MCRO_27-CR-20-5618_Order for Conditional Release_2021-09-29_20251126180905.pdf","MCRO_27-CR-20-5618_Order for Conditional Release_2021-09-29_20251126180905.pdf")</f>
        <v>MCRO_27-CR-20-5618_Order for Conditional Release_2021-09-29_20251126180905.pdf</v>
      </c>
      <c r="H582" s="7" t="str">
        <f aca="false">HYPERLINK("https://mncourtfraud.com/file/52f2827f81e9a21813e5089396a7afa6accf4023998e877d3b9460283e0bb9a5.cid","52f2827f81e9a21813e5089396a7afa6accf4023998e877d3b9460283e0bb9a5")</f>
        <v>52f2827f81e9a21813e5089396a7afa6accf4023998e877d3b9460283e0bb9a5</v>
      </c>
      <c r="I582" s="1" t="s">
        <v>3431</v>
      </c>
      <c r="L582" s="2" t="s">
        <v>3415</v>
      </c>
      <c r="M582" s="2" t="n">
        <v>381</v>
      </c>
    </row>
    <row r="583" customFormat="false" ht="18.7" hidden="false" customHeight="true" outlineLevel="0" collapsed="false">
      <c r="A583" s="1" t="n">
        <v>582</v>
      </c>
      <c r="B583" s="7" t="str">
        <f aca="false">HYPERLINK("https://mncourtfraud.com/file/27-CR-20-5618.pdf","27-CR-20-5618")</f>
        <v>27-CR-20-5618</v>
      </c>
      <c r="C583" s="1" t="n">
        <v>1</v>
      </c>
      <c r="D583" s="2" t="s">
        <v>12</v>
      </c>
      <c r="E583" s="8" t="n">
        <v>44468</v>
      </c>
      <c r="F583" s="2" t="s">
        <v>24</v>
      </c>
      <c r="G583" s="7" t="str">
        <f aca="false">HYPERLINK("https://mncourtfraud.com/file/MCRO_27-CR-20-5618_Order for Conditional Release_2021-09-29_20251126180905.pdf","MCRO_27-CR-20-5618_Order for Conditional Release_2021-09-29_20251126180905.pdf")</f>
        <v>MCRO_27-CR-20-5618_Order for Conditional Release_2021-09-29_20251126180905.pdf</v>
      </c>
      <c r="H583" s="7" t="str">
        <f aca="false">HYPERLINK("https://mncourtfraud.com/file/5bf127b8427f0831bc8864aa549643604be6b63d8ca96ff1ba7182ccec9bc2ad.cid","5bf127b8427f0831bc8864aa549643604be6b63d8ca96ff1ba7182ccec9bc2ad")</f>
        <v>5bf127b8427f0831bc8864aa549643604be6b63d8ca96ff1ba7182ccec9bc2ad</v>
      </c>
      <c r="I583" s="1" t="s">
        <v>3431</v>
      </c>
      <c r="L583" s="2" t="s">
        <v>3415</v>
      </c>
      <c r="M583" s="2" t="n">
        <v>7990</v>
      </c>
    </row>
    <row r="584" customFormat="false" ht="18.7" hidden="false" customHeight="true" outlineLevel="0" collapsed="false">
      <c r="A584" s="1" t="n">
        <v>583</v>
      </c>
      <c r="B584" s="7" t="str">
        <f aca="false">HYPERLINK("https://mncourtfraud.com/file/27-CR-20-5618.pdf","27-CR-20-5618")</f>
        <v>27-CR-20-5618</v>
      </c>
      <c r="C584" s="1" t="n">
        <v>1</v>
      </c>
      <c r="D584" s="2" t="s">
        <v>12</v>
      </c>
      <c r="E584" s="8" t="n">
        <v>44468</v>
      </c>
      <c r="F584" s="2" t="s">
        <v>24</v>
      </c>
      <c r="G584" s="7" t="str">
        <f aca="false">HYPERLINK("https://mncourtfraud.com/file/MCRO_27-CR-20-5618_Order for Conditional Release_2021-09-29_20251126180905.pdf","MCRO_27-CR-20-5618_Order for Conditional Release_2021-09-29_20251126180905.pdf")</f>
        <v>MCRO_27-CR-20-5618_Order for Conditional Release_2021-09-29_20251126180905.pdf</v>
      </c>
      <c r="H584" s="7" t="str">
        <f aca="false">HYPERLINK("https://mncourtfraud.com/file/614121b29b009262816a5b70532c1a04ec73c5d83786c4500719e9e7d614a562.cid","614121b29b009262816a5b70532c1a04ec73c5d83786c4500719e9e7d614a562")</f>
        <v>614121b29b009262816a5b70532c1a04ec73c5d83786c4500719e9e7d614a562</v>
      </c>
      <c r="I584" s="1" t="s">
        <v>3431</v>
      </c>
      <c r="L584" s="2" t="s">
        <v>3415</v>
      </c>
      <c r="M584" s="2" t="n">
        <v>5970</v>
      </c>
    </row>
    <row r="585" customFormat="false" ht="18.7" hidden="false" customHeight="true" outlineLevel="0" collapsed="false">
      <c r="A585" s="1" t="n">
        <v>584</v>
      </c>
      <c r="B585" s="7" t="str">
        <f aca="false">HYPERLINK("https://mncourtfraud.com/file/27-CR-20-5618.pdf","27-CR-20-5618")</f>
        <v>27-CR-20-5618</v>
      </c>
      <c r="C585" s="1" t="n">
        <v>1</v>
      </c>
      <c r="D585" s="2" t="s">
        <v>12</v>
      </c>
      <c r="E585" s="8" t="n">
        <v>44468</v>
      </c>
      <c r="F585" s="2" t="s">
        <v>24</v>
      </c>
      <c r="G585" s="7" t="str">
        <f aca="false">HYPERLINK("https://mncourtfraud.com/file/MCRO_27-CR-20-5618_Order for Conditional Release_2021-09-29_20251126180905.pdf","MCRO_27-CR-20-5618_Order for Conditional Release_2021-09-29_20251126180905.pdf")</f>
        <v>MCRO_27-CR-20-5618_Order for Conditional Release_2021-09-29_20251126180905.pdf</v>
      </c>
      <c r="H585" s="7" t="str">
        <f aca="false">HYPERLINK("https://mncourtfraud.com/file/7e14169e8fd6eddddd43bc2fc14557202f527587078dd29e867ad63570714e07.png","7e14169e8fd6eddddd43bc2fc14557202f527587078dd29e867ad63570714e07")</f>
        <v>7e14169e8fd6eddddd43bc2fc14557202f527587078dd29e867ad63570714e07</v>
      </c>
      <c r="I585" s="1" t="s">
        <v>3406</v>
      </c>
      <c r="L585" s="2" t="s">
        <v>3412</v>
      </c>
      <c r="M585" s="2" t="n">
        <v>100</v>
      </c>
      <c r="S585" s="2" t="n">
        <v>5</v>
      </c>
      <c r="T585" s="2" t="n">
        <v>5</v>
      </c>
    </row>
    <row r="586" customFormat="false" ht="18.7" hidden="false" customHeight="true" outlineLevel="0" collapsed="false">
      <c r="A586" s="1" t="n">
        <v>585</v>
      </c>
      <c r="B586" s="7" t="str">
        <f aca="false">HYPERLINK("https://mncourtfraud.com/file/27-CR-20-5618.pdf","27-CR-20-5618")</f>
        <v>27-CR-20-5618</v>
      </c>
      <c r="C586" s="1" t="n">
        <v>1</v>
      </c>
      <c r="D586" s="2" t="s">
        <v>12</v>
      </c>
      <c r="E586" s="8" t="n">
        <v>44468</v>
      </c>
      <c r="F586" s="2" t="s">
        <v>24</v>
      </c>
      <c r="G586" s="7" t="str">
        <f aca="false">HYPERLINK("https://mncourtfraud.com/file/MCRO_27-CR-20-5618_Order for Conditional Release_2021-09-29_20251126180905.pdf","MCRO_27-CR-20-5618_Order for Conditional Release_2021-09-29_20251126180905.pdf")</f>
        <v>MCRO_27-CR-20-5618_Order for Conditional Release_2021-09-29_20251126180905.pdf</v>
      </c>
      <c r="H586" s="7" t="str">
        <f aca="false">HYPERLINK("https://mncourtfraud.com/file/8198df5372238cac138bb64883627cf42bfc08ac483ff14b35858ae098fa3e09.cid","8198df5372238cac138bb64883627cf42bfc08ac483ff14b35858ae098fa3e09")</f>
        <v>8198df5372238cac138bb64883627cf42bfc08ac483ff14b35858ae098fa3e09</v>
      </c>
      <c r="I586" s="1" t="s">
        <v>3431</v>
      </c>
      <c r="L586" s="2" t="s">
        <v>3415</v>
      </c>
      <c r="M586" s="2" t="n">
        <v>3966</v>
      </c>
    </row>
    <row r="587" customFormat="false" ht="18.7" hidden="false" customHeight="true" outlineLevel="0" collapsed="false">
      <c r="A587" s="1" t="n">
        <v>586</v>
      </c>
      <c r="B587" s="7" t="str">
        <f aca="false">HYPERLINK("https://mncourtfraud.com/file/27-CR-20-5618.pdf","27-CR-20-5618")</f>
        <v>27-CR-20-5618</v>
      </c>
      <c r="C587" s="1" t="n">
        <v>1</v>
      </c>
      <c r="D587" s="2" t="s">
        <v>12</v>
      </c>
      <c r="E587" s="8" t="n">
        <v>44468</v>
      </c>
      <c r="F587" s="2" t="s">
        <v>24</v>
      </c>
      <c r="G587" s="7" t="str">
        <f aca="false">HYPERLINK("https://mncourtfraud.com/file/MCRO_27-CR-20-5618_Order for Conditional Release_2021-09-29_20251126180905.pdf","MCRO_27-CR-20-5618_Order for Conditional Release_2021-09-29_20251126180905.pdf")</f>
        <v>MCRO_27-CR-20-5618_Order for Conditional Release_2021-09-29_20251126180905.pdf</v>
      </c>
      <c r="H587" s="7" t="str">
        <f aca="false">HYPERLINK("https://mncourtfraud.com/file/8793bfb8eeebb59de729b22461b75a010eda532097214bf8285117449fae5b3c.png","8793bfb8eeebb59de729b22461b75a010eda532097214bf8285117449fae5b3c")</f>
        <v>8793bfb8eeebb59de729b22461b75a010eda532097214bf8285117449fae5b3c</v>
      </c>
      <c r="I587" s="1" t="s">
        <v>3406</v>
      </c>
      <c r="L587" s="2" t="s">
        <v>3412</v>
      </c>
      <c r="M587" s="2" t="n">
        <v>104</v>
      </c>
      <c r="S587" s="2" t="n">
        <v>6</v>
      </c>
      <c r="T587" s="2" t="n">
        <v>4</v>
      </c>
    </row>
    <row r="588" customFormat="false" ht="18.7" hidden="false" customHeight="true" outlineLevel="0" collapsed="false">
      <c r="A588" s="1" t="n">
        <v>587</v>
      </c>
      <c r="B588" s="7" t="str">
        <f aca="false">HYPERLINK("https://mncourtfraud.com/file/27-CR-20-5618.pdf","27-CR-20-5618")</f>
        <v>27-CR-20-5618</v>
      </c>
      <c r="C588" s="1" t="n">
        <v>1</v>
      </c>
      <c r="D588" s="2" t="s">
        <v>12</v>
      </c>
      <c r="E588" s="8" t="n">
        <v>44468</v>
      </c>
      <c r="F588" s="2" t="s">
        <v>24</v>
      </c>
      <c r="G588" s="7" t="str">
        <f aca="false">HYPERLINK("https://mncourtfraud.com/file/MCRO_27-CR-20-5618_Order for Conditional Release_2021-09-29_20251126180905.pdf","MCRO_27-CR-20-5618_Order for Conditional Release_2021-09-29_20251126180905.pdf")</f>
        <v>MCRO_27-CR-20-5618_Order for Conditional Release_2021-09-29_20251126180905.pdf</v>
      </c>
      <c r="H588" s="7" t="str">
        <f aca="false">HYPERLINK("https://mncourtfraud.com/file/8c2e00c7a4e8974eff73eba397a59d5f5f25d249433535298973d70a9f79dec8.png","8c2e00c7a4e8974eff73eba397a59d5f5f25d249433535298973d70a9f79dec8")</f>
        <v>8c2e00c7a4e8974eff73eba397a59d5f5f25d249433535298973d70a9f79dec8</v>
      </c>
      <c r="I588" s="1" t="s">
        <v>3406</v>
      </c>
      <c r="L588" s="2" t="s">
        <v>3412</v>
      </c>
      <c r="M588" s="2" t="n">
        <v>810</v>
      </c>
      <c r="S588" s="2" t="n">
        <v>519</v>
      </c>
      <c r="T588" s="2" t="n">
        <v>231</v>
      </c>
    </row>
    <row r="589" customFormat="false" ht="18.7" hidden="false" customHeight="true" outlineLevel="0" collapsed="false">
      <c r="A589" s="1" t="n">
        <v>588</v>
      </c>
      <c r="B589" s="7" t="str">
        <f aca="false">HYPERLINK("https://mncourtfraud.com/file/27-CR-20-5618.pdf","27-CR-20-5618")</f>
        <v>27-CR-20-5618</v>
      </c>
      <c r="C589" s="1" t="n">
        <v>1</v>
      </c>
      <c r="D589" s="2" t="s">
        <v>12</v>
      </c>
      <c r="E589" s="8" t="n">
        <v>44468</v>
      </c>
      <c r="F589" s="2" t="s">
        <v>24</v>
      </c>
      <c r="G589" s="7" t="str">
        <f aca="false">HYPERLINK("https://mncourtfraud.com/file/MCRO_27-CR-20-5618_Order for Conditional Release_2021-09-29_20251126180905.pdf","MCRO_27-CR-20-5618_Order for Conditional Release_2021-09-29_20251126180905.pdf")</f>
        <v>MCRO_27-CR-20-5618_Order for Conditional Release_2021-09-29_20251126180905.pdf</v>
      </c>
      <c r="H589" s="7" t="str">
        <f aca="false">HYPERLINK("https://mncourtfraud.com/file/a431b1b5f48186b4c98851d84352c1573e22c0e9b97117edbc0ad8603da3c307.png","a431b1b5f48186b4c98851d84352c1573e22c0e9b97117edbc0ad8603da3c307")</f>
        <v>a431b1b5f48186b4c98851d84352c1573e22c0e9b97117edbc0ad8603da3c307</v>
      </c>
      <c r="I589" s="1" t="s">
        <v>3406</v>
      </c>
      <c r="L589" s="2" t="s">
        <v>3412</v>
      </c>
      <c r="M589" s="2" t="n">
        <v>157</v>
      </c>
      <c r="S589" s="2" t="n">
        <v>7</v>
      </c>
      <c r="T589" s="2" t="n">
        <v>284</v>
      </c>
    </row>
    <row r="590" customFormat="false" ht="18.7" hidden="false" customHeight="true" outlineLevel="0" collapsed="false">
      <c r="A590" s="1" t="n">
        <v>589</v>
      </c>
      <c r="B590" s="7" t="str">
        <f aca="false">HYPERLINK("https://mncourtfraud.com/file/27-CR-20-5618.pdf","27-CR-20-5618")</f>
        <v>27-CR-20-5618</v>
      </c>
      <c r="C590" s="1" t="n">
        <v>1</v>
      </c>
      <c r="D590" s="2" t="s">
        <v>12</v>
      </c>
      <c r="E590" s="8" t="n">
        <v>44468</v>
      </c>
      <c r="F590" s="2" t="s">
        <v>24</v>
      </c>
      <c r="G590" s="7" t="str">
        <f aca="false">HYPERLINK("https://mncourtfraud.com/file/MCRO_27-CR-20-5618_Order for Conditional Release_2021-09-29_20251126180905.pdf","MCRO_27-CR-20-5618_Order for Conditional Release_2021-09-29_20251126180905.pdf")</f>
        <v>MCRO_27-CR-20-5618_Order for Conditional Release_2021-09-29_20251126180905.pdf</v>
      </c>
      <c r="H590" s="7" t="str">
        <f aca="false">HYPERLINK("https://mncourtfraud.com/file/ac369f378e3fbed88e7c1c71d7e27d3af59d79c8d2f8338a6182f69d0e17a2ef.cid","ac369f378e3fbed88e7c1c71d7e27d3af59d79c8d2f8338a6182f69d0e17a2ef")</f>
        <v>ac369f378e3fbed88e7c1c71d7e27d3af59d79c8d2f8338a6182f69d0e17a2ef</v>
      </c>
      <c r="I590" s="1" t="s">
        <v>3431</v>
      </c>
      <c r="L590" s="2" t="s">
        <v>3415</v>
      </c>
      <c r="M590" s="2" t="n">
        <v>14113</v>
      </c>
    </row>
    <row r="591" customFormat="false" ht="18.7" hidden="false" customHeight="true" outlineLevel="0" collapsed="false">
      <c r="A591" s="1" t="n">
        <v>590</v>
      </c>
      <c r="B591" s="7" t="str">
        <f aca="false">HYPERLINK("https://mncourtfraud.com/file/27-CR-20-5618.pdf","27-CR-20-5618")</f>
        <v>27-CR-20-5618</v>
      </c>
      <c r="C591" s="1" t="n">
        <v>1</v>
      </c>
      <c r="D591" s="2" t="s">
        <v>12</v>
      </c>
      <c r="E591" s="8" t="n">
        <v>44468</v>
      </c>
      <c r="F591" s="2" t="s">
        <v>24</v>
      </c>
      <c r="G591" s="7" t="str">
        <f aca="false">HYPERLINK("https://mncourtfraud.com/file/MCRO_27-CR-20-5618_Order for Conditional Release_2021-09-29_20251126180905.pdf","MCRO_27-CR-20-5618_Order for Conditional Release_2021-09-29_20251126180905.pdf")</f>
        <v>MCRO_27-CR-20-5618_Order for Conditional Release_2021-09-29_20251126180905.pdf</v>
      </c>
      <c r="H591" s="7" t="str">
        <f aca="false">HYPERLINK("https://mncourtfraud.com/file/b1c38e97038ce898a189d377f1fa9f4b673ae497ef07cd779e6d54764f350895.cid","b1c38e97038ce898a189d377f1fa9f4b673ae497ef07cd779e6d54764f350895")</f>
        <v>b1c38e97038ce898a189d377f1fa9f4b673ae497ef07cd779e6d54764f350895</v>
      </c>
      <c r="I591" s="1" t="s">
        <v>3431</v>
      </c>
      <c r="L591" s="2" t="s">
        <v>3415</v>
      </c>
      <c r="M591" s="2" t="n">
        <v>3783</v>
      </c>
    </row>
    <row r="592" customFormat="false" ht="18.7" hidden="false" customHeight="true" outlineLevel="0" collapsed="false">
      <c r="A592" s="1" t="n">
        <v>591</v>
      </c>
      <c r="B592" s="7" t="str">
        <f aca="false">HYPERLINK("https://mncourtfraud.com/file/27-CR-20-5618.pdf","27-CR-20-5618")</f>
        <v>27-CR-20-5618</v>
      </c>
      <c r="C592" s="1" t="n">
        <v>1</v>
      </c>
      <c r="D592" s="2" t="s">
        <v>12</v>
      </c>
      <c r="E592" s="8" t="n">
        <v>44468</v>
      </c>
      <c r="F592" s="2" t="s">
        <v>24</v>
      </c>
      <c r="G592" s="7" t="str">
        <f aca="false">HYPERLINK("https://mncourtfraud.com/file/MCRO_27-CR-20-5618_Order for Conditional Release_2021-09-29_20251126180905.pdf","MCRO_27-CR-20-5618_Order for Conditional Release_2021-09-29_20251126180905.pdf")</f>
        <v>MCRO_27-CR-20-5618_Order for Conditional Release_2021-09-29_20251126180905.pdf</v>
      </c>
      <c r="H592" s="7" t="str">
        <f aca="false">HYPERLINK("https://mncourtfraud.com/file/ba989ca65f54d43887ebbc930462a840e60360223cb0c16c223e7e9ed46afecb.cid","ba989ca65f54d43887ebbc930462a840e60360223cb0c16c223e7e9ed46afecb")</f>
        <v>ba989ca65f54d43887ebbc930462a840e60360223cb0c16c223e7e9ed46afecb</v>
      </c>
      <c r="I592" s="1" t="s">
        <v>3431</v>
      </c>
      <c r="L592" s="2" t="s">
        <v>3415</v>
      </c>
      <c r="M592" s="2" t="n">
        <v>444</v>
      </c>
    </row>
    <row r="593" customFormat="false" ht="18.7" hidden="false" customHeight="true" outlineLevel="0" collapsed="false">
      <c r="A593" s="1" t="n">
        <v>592</v>
      </c>
      <c r="B593" s="7" t="str">
        <f aca="false">HYPERLINK("https://mncourtfraud.com/file/27-CR-20-5618.pdf","27-CR-20-5618")</f>
        <v>27-CR-20-5618</v>
      </c>
      <c r="C593" s="1" t="n">
        <v>1</v>
      </c>
      <c r="D593" s="2" t="s">
        <v>12</v>
      </c>
      <c r="E593" s="8" t="n">
        <v>44468</v>
      </c>
      <c r="F593" s="2" t="s">
        <v>24</v>
      </c>
      <c r="G593" s="7" t="str">
        <f aca="false">HYPERLINK("https://mncourtfraud.com/file/MCRO_27-CR-20-5618_Order for Conditional Release_2021-09-29_20251126180905.pdf","MCRO_27-CR-20-5618_Order for Conditional Release_2021-09-29_20251126180905.pdf")</f>
        <v>MCRO_27-CR-20-5618_Order for Conditional Release_2021-09-29_20251126180905.pdf</v>
      </c>
      <c r="H593" s="7" t="str">
        <f aca="false">HYPERLINK("https://mncourtfraud.com/file/db9c8118091788c7a0a30157e363f5dd281f7a35fb525fad58599ee6371079a5.cid","db9c8118091788c7a0a30157e363f5dd281f7a35fb525fad58599ee6371079a5")</f>
        <v>db9c8118091788c7a0a30157e363f5dd281f7a35fb525fad58599ee6371079a5</v>
      </c>
      <c r="I593" s="1" t="s">
        <v>3431</v>
      </c>
      <c r="L593" s="2" t="s">
        <v>3415</v>
      </c>
      <c r="M593" s="2" t="n">
        <v>848</v>
      </c>
    </row>
    <row r="594" customFormat="false" ht="18.7" hidden="false" customHeight="true" outlineLevel="0" collapsed="false">
      <c r="A594" s="1" t="n">
        <v>593</v>
      </c>
      <c r="B594" s="7" t="str">
        <f aca="false">HYPERLINK("https://mncourtfraud.com/file/27-CR-20-5618.pdf","27-CR-20-5618")</f>
        <v>27-CR-20-5618</v>
      </c>
      <c r="C594" s="1" t="n">
        <v>1</v>
      </c>
      <c r="D594" s="2" t="s">
        <v>12</v>
      </c>
      <c r="E594" s="8" t="n">
        <v>44468</v>
      </c>
      <c r="F594" s="2" t="s">
        <v>24</v>
      </c>
      <c r="G594" s="7" t="str">
        <f aca="false">HYPERLINK("https://mncourtfraud.com/file/MCRO_27-CR-20-5618_Order for Conditional Release_2021-09-29_20251126180905.pdf","MCRO_27-CR-20-5618_Order for Conditional Release_2021-09-29_20251126180905.pdf")</f>
        <v>MCRO_27-CR-20-5618_Order for Conditional Release_2021-09-29_20251126180905.pdf</v>
      </c>
      <c r="H594" s="7" t="str">
        <f aca="false">HYPERLINK("https://mncourtfraud.com/file/e04b4db843c4bf02679b586bdc06323c2777cf59091b22718210a1dd2a0badc7.png","e04b4db843c4bf02679b586bdc06323c2777cf59091b22718210a1dd2a0badc7")</f>
        <v>e04b4db843c4bf02679b586bdc06323c2777cf59091b22718210a1dd2a0badc7</v>
      </c>
      <c r="I594" s="1" t="s">
        <v>3406</v>
      </c>
      <c r="L594" s="2" t="s">
        <v>3412</v>
      </c>
      <c r="M594" s="2" t="n">
        <v>199</v>
      </c>
      <c r="S594" s="2" t="n">
        <v>7</v>
      </c>
      <c r="T594" s="2" t="n">
        <v>347</v>
      </c>
    </row>
    <row r="595" customFormat="false" ht="18.7" hidden="false" customHeight="true" outlineLevel="0" collapsed="false">
      <c r="A595" s="1" t="n">
        <v>594</v>
      </c>
      <c r="B595" s="7" t="str">
        <f aca="false">HYPERLINK("https://mncourtfraud.com/file/27-CR-20-5618.pdf","27-CR-20-5618")</f>
        <v>27-CR-20-5618</v>
      </c>
      <c r="C595" s="1" t="n">
        <v>1</v>
      </c>
      <c r="D595" s="2" t="s">
        <v>12</v>
      </c>
      <c r="E595" s="8" t="n">
        <v>44468</v>
      </c>
      <c r="F595" s="2" t="s">
        <v>24</v>
      </c>
      <c r="G595" s="7" t="str">
        <f aca="false">HYPERLINK("https://mncourtfraud.com/file/MCRO_27-CR-20-5618_Order for Conditional Release_2021-09-29_20251126180905.pdf","MCRO_27-CR-20-5618_Order for Conditional Release_2021-09-29_20251126180905.pdf")</f>
        <v>MCRO_27-CR-20-5618_Order for Conditional Release_2021-09-29_20251126180905.pdf</v>
      </c>
      <c r="H595" s="7" t="str">
        <f aca="false">HYPERLINK("https://mncourtfraud.com/file/edbae421bba147262ba26ef60780ca6dfd5bedce23be39a1f883da7c23dae35f.cid","edbae421bba147262ba26ef60780ca6dfd5bedce23be39a1f883da7c23dae35f")</f>
        <v>edbae421bba147262ba26ef60780ca6dfd5bedce23be39a1f883da7c23dae35f</v>
      </c>
      <c r="I595" s="1" t="s">
        <v>3431</v>
      </c>
      <c r="L595" s="2" t="s">
        <v>3415</v>
      </c>
      <c r="M595" s="2" t="n">
        <v>21348</v>
      </c>
    </row>
    <row r="596" customFormat="false" ht="18.7" hidden="false" customHeight="true" outlineLevel="0" collapsed="false">
      <c r="A596" s="1" t="n">
        <v>595</v>
      </c>
      <c r="B596" s="7" t="str">
        <f aca="false">HYPERLINK("https://mncourtfraud.com/file/27-CR-20-5618.pdf","27-CR-20-5618")</f>
        <v>27-CR-20-5618</v>
      </c>
      <c r="C596" s="1" t="n">
        <v>1</v>
      </c>
      <c r="D596" s="2" t="s">
        <v>12</v>
      </c>
      <c r="E596" s="8" t="n">
        <v>44468</v>
      </c>
      <c r="F596" s="2" t="s">
        <v>24</v>
      </c>
      <c r="G596" s="7" t="str">
        <f aca="false">HYPERLINK("https://mncourtfraud.com/file/MCRO_27-CR-20-5618_Order for Conditional Release_2021-09-29_20251126180905.pdf","MCRO_27-CR-20-5618_Order for Conditional Release_2021-09-29_20251126180905.pdf")</f>
        <v>MCRO_27-CR-20-5618_Order for Conditional Release_2021-09-29_20251126180905.pdf</v>
      </c>
      <c r="H596" s="7" t="str">
        <f aca="false">HYPERLINK("https://mncourtfraud.com/file/efd944d517e9b552a77a910c5203f04540cf1249b7304a04f4907f542ec53c17.cid","efd944d517e9b552a77a910c5203f04540cf1249b7304a04f4907f542ec53c17")</f>
        <v>efd944d517e9b552a77a910c5203f04540cf1249b7304a04f4907f542ec53c17</v>
      </c>
      <c r="I596" s="1" t="s">
        <v>3431</v>
      </c>
      <c r="L596" s="2" t="s">
        <v>3415</v>
      </c>
      <c r="M596" s="2" t="n">
        <v>5521</v>
      </c>
    </row>
    <row r="597" customFormat="false" ht="18.7" hidden="false" customHeight="true" outlineLevel="0" collapsed="false">
      <c r="A597" s="1" t="n">
        <v>596</v>
      </c>
      <c r="B597" s="7" t="str">
        <f aca="false">HYPERLINK("https://mncourtfraud.com/file/27-CR-20-5618.pdf","27-CR-20-5618")</f>
        <v>27-CR-20-5618</v>
      </c>
      <c r="C597" s="1" t="n">
        <v>1</v>
      </c>
      <c r="D597" s="2" t="s">
        <v>12</v>
      </c>
      <c r="E597" s="8" t="n">
        <v>44468</v>
      </c>
      <c r="F597" s="2" t="s">
        <v>24</v>
      </c>
      <c r="G597" s="7" t="str">
        <f aca="false">HYPERLINK("https://mncourtfraud.com/file/MCRO_27-CR-20-5618_Order for Conditional Release_2021-09-29_20251126180905.pdf","MCRO_27-CR-20-5618_Order for Conditional Release_2021-09-29_20251126180905.pdf")</f>
        <v>MCRO_27-CR-20-5618_Order for Conditional Release_2021-09-29_20251126180905.pdf</v>
      </c>
      <c r="H597" s="7" t="str">
        <f aca="false">HYPERLINK("https://mncourtfraud.com/file/fe1965a60cba51fe144ad80b55474d56106539ec2835ed039f2e68d2691deed0.cid","fe1965a60cba51fe144ad80b55474d56106539ec2835ed039f2e68d2691deed0")</f>
        <v>fe1965a60cba51fe144ad80b55474d56106539ec2835ed039f2e68d2691deed0</v>
      </c>
      <c r="I597" s="1" t="s">
        <v>3431</v>
      </c>
      <c r="L597" s="2" t="s">
        <v>3415</v>
      </c>
      <c r="M597" s="2" t="n">
        <v>4323</v>
      </c>
    </row>
    <row r="598" customFormat="false" ht="18.7" hidden="false" customHeight="true" outlineLevel="0" collapsed="false">
      <c r="A598" s="1" t="n">
        <v>597</v>
      </c>
      <c r="B598" s="7" t="str">
        <f aca="false">HYPERLINK("https://mncourtfraud.com/file/27-CR-20-5618.pdf","27-CR-20-5618")</f>
        <v>27-CR-20-5618</v>
      </c>
      <c r="C598" s="1" t="n">
        <v>1</v>
      </c>
      <c r="D598" s="2" t="s">
        <v>12</v>
      </c>
      <c r="E598" s="8" t="n">
        <v>44468</v>
      </c>
      <c r="F598" s="2" t="s">
        <v>24</v>
      </c>
      <c r="G598" s="7" t="str">
        <f aca="false">HYPERLINK("https://mncourtfraud.com/file/MCRO_27-CR-20-5618_Order for Conditional Release_2021-09-29_20251126180905.pdf","MCRO_27-CR-20-5618_Order for Conditional Release_2021-09-29_20251126180905.pdf")</f>
        <v>MCRO_27-CR-20-5618_Order for Conditional Release_2021-09-29_20251126180905.pdf</v>
      </c>
      <c r="H598" s="7" t="str">
        <f aca="false">HYPERLINK("https://mncourtfraud.com/file/ff78f82f1ff3b9436a8d65df586b0bef19dd8fcf1b27941145ca7e723b37620b.cid","ff78f82f1ff3b9436a8d65df586b0bef19dd8fcf1b27941145ca7e723b37620b")</f>
        <v>ff78f82f1ff3b9436a8d65df586b0bef19dd8fcf1b27941145ca7e723b37620b</v>
      </c>
      <c r="I598" s="1" t="s">
        <v>3431</v>
      </c>
      <c r="L598" s="2" t="s">
        <v>3415</v>
      </c>
      <c r="M598" s="2" t="n">
        <v>339</v>
      </c>
    </row>
    <row r="599" customFormat="false" ht="18.7" hidden="false" customHeight="true" outlineLevel="0" collapsed="false">
      <c r="A599" s="1" t="n">
        <v>598</v>
      </c>
      <c r="B599" s="7" t="str">
        <f aca="false">HYPERLINK("https://mncourtfraud.com/file/27-CR-20-5618.pdf","27-CR-20-5618")</f>
        <v>27-CR-20-5618</v>
      </c>
      <c r="C599" s="1" t="n">
        <v>1</v>
      </c>
      <c r="D599" s="2" t="s">
        <v>12</v>
      </c>
      <c r="E599" s="8" t="n">
        <v>44543</v>
      </c>
      <c r="F599" s="2" t="s">
        <v>15</v>
      </c>
      <c r="G599" s="7" t="str">
        <f aca="false">HYPERLINK("https://mncourtfraud.com/file/MCRO_27-CR-20-5618_Order-Evaluation for Competency to Proceed (Rule 20.01)_2021-12-13_20251126180931.pdf","MCRO_27-CR-20-5618_Order-Evaluation for Competency to Proceed (Rule 20.01)_2021-12-13_20251126180931.pdf")</f>
        <v>MCRO_27-CR-20-5618_Order-Evaluation for Competency to Proceed (Rule 20.01)_2021-12-13_20251126180931.pdf</v>
      </c>
      <c r="H599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599" s="1" t="s">
        <v>3413</v>
      </c>
      <c r="J599" s="2" t="s">
        <v>3423</v>
      </c>
      <c r="K599" s="2" t="s">
        <v>3423</v>
      </c>
      <c r="L599" s="2" t="s">
        <v>3415</v>
      </c>
      <c r="M599" s="2" t="n">
        <v>11088</v>
      </c>
    </row>
    <row r="600" customFormat="false" ht="18.7" hidden="false" customHeight="true" outlineLevel="0" collapsed="false">
      <c r="A600" s="1" t="n">
        <v>599</v>
      </c>
      <c r="B600" s="7" t="str">
        <f aca="false">HYPERLINK("https://mncourtfraud.com/file/27-CR-20-5618.pdf","27-CR-20-5618")</f>
        <v>27-CR-20-5618</v>
      </c>
      <c r="C600" s="1" t="n">
        <v>1</v>
      </c>
      <c r="D600" s="2" t="s">
        <v>12</v>
      </c>
      <c r="E600" s="8" t="n">
        <v>44543</v>
      </c>
      <c r="F600" s="2" t="s">
        <v>15</v>
      </c>
      <c r="G600" s="7" t="str">
        <f aca="false">HYPERLINK("https://mncourtfraud.com/file/MCRO_27-CR-20-5618_Order-Evaluation for Competency to Proceed (Rule 20.01)_2021-12-13_20251126180931.pdf","MCRO_27-CR-20-5618_Order-Evaluation for Competency to Proceed (Rule 20.01)_2021-12-13_20251126180931.pdf")</f>
        <v>MCRO_27-CR-20-5618_Order-Evaluation for Competency to Proceed (Rule 20.01)_2021-12-13_20251126180931.pdf</v>
      </c>
      <c r="H600" s="7" t="str">
        <f aca="false">HYPERLINK("https://mncourtfraud.com/file/22be6394304ce5b678311fefb19c39c8cb0a49d25f23150f1efe21ad14b99c7b.ttf","22be6394304ce5b678311fefb19c39c8cb0a49d25f23150f1efe21ad14b99c7b")</f>
        <v>22be6394304ce5b678311fefb19c39c8cb0a49d25f23150f1efe21ad14b99c7b</v>
      </c>
      <c r="I600" s="1" t="s">
        <v>3413</v>
      </c>
      <c r="J600" s="2" t="s">
        <v>3421</v>
      </c>
      <c r="K600" s="2" t="s">
        <v>3421</v>
      </c>
      <c r="L600" s="2" t="s">
        <v>3415</v>
      </c>
      <c r="M600" s="2" t="n">
        <v>117192</v>
      </c>
    </row>
    <row r="601" customFormat="false" ht="18.7" hidden="false" customHeight="true" outlineLevel="0" collapsed="false">
      <c r="A601" s="1" t="n">
        <v>600</v>
      </c>
      <c r="B601" s="7" t="str">
        <f aca="false">HYPERLINK("https://mncourtfraud.com/file/27-CR-20-5618.pdf","27-CR-20-5618")</f>
        <v>27-CR-20-5618</v>
      </c>
      <c r="C601" s="1" t="n">
        <v>1</v>
      </c>
      <c r="D601" s="2" t="s">
        <v>12</v>
      </c>
      <c r="E601" s="8" t="n">
        <v>44543</v>
      </c>
      <c r="F601" s="2" t="s">
        <v>15</v>
      </c>
      <c r="G601" s="7" t="str">
        <f aca="false">HYPERLINK("https://mncourtfraud.com/file/MCRO_27-CR-20-5618_Order-Evaluation for Competency to Proceed (Rule 20.01)_2021-12-13_20251126180931.pdf","MCRO_27-CR-20-5618_Order-Evaluation for Competency to Proceed (Rule 20.01)_2021-12-13_20251126180931.pdf")</f>
        <v>MCRO_27-CR-20-5618_Order-Evaluation for Competency to Proceed (Rule 20.01)_2021-12-13_20251126180931.pdf</v>
      </c>
      <c r="H601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601" s="1" t="s">
        <v>3413</v>
      </c>
      <c r="J601" s="2" t="s">
        <v>3424</v>
      </c>
      <c r="K601" s="2" t="s">
        <v>3424</v>
      </c>
      <c r="L601" s="2" t="s">
        <v>3415</v>
      </c>
      <c r="M601" s="2" t="n">
        <v>14252</v>
      </c>
    </row>
    <row r="602" customFormat="false" ht="18.7" hidden="false" customHeight="true" outlineLevel="0" collapsed="false">
      <c r="A602" s="1" t="n">
        <v>601</v>
      </c>
      <c r="B602" s="7" t="str">
        <f aca="false">HYPERLINK("https://mncourtfraud.com/file/27-CR-20-5618.pdf","27-CR-20-5618")</f>
        <v>27-CR-20-5618</v>
      </c>
      <c r="C602" s="1" t="n">
        <v>1</v>
      </c>
      <c r="D602" s="2" t="s">
        <v>12</v>
      </c>
      <c r="E602" s="8" t="n">
        <v>44543</v>
      </c>
      <c r="F602" s="2" t="s">
        <v>15</v>
      </c>
      <c r="G602" s="7" t="str">
        <f aca="false">HYPERLINK("https://mncourtfraud.com/file/MCRO_27-CR-20-5618_Order-Evaluation for Competency to Proceed (Rule 20.01)_2021-12-13_20251126180931.pdf","MCRO_27-CR-20-5618_Order-Evaluation for Competency to Proceed (Rule 20.01)_2021-12-13_20251126180931.pdf")</f>
        <v>MCRO_27-CR-20-5618_Order-Evaluation for Competency to Proceed (Rule 20.01)_2021-12-13_20251126180931.pdf</v>
      </c>
      <c r="H602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602" s="1" t="s">
        <v>3406</v>
      </c>
      <c r="K602" s="2" t="s">
        <v>3420</v>
      </c>
      <c r="L602" s="2" t="s">
        <v>3408</v>
      </c>
      <c r="M602" s="2" t="n">
        <v>7306</v>
      </c>
      <c r="O602" s="2" t="s">
        <v>3409</v>
      </c>
      <c r="P602" s="2" t="s">
        <v>3410</v>
      </c>
      <c r="S602" s="2" t="n">
        <v>319</v>
      </c>
      <c r="T602" s="2" t="n">
        <v>105</v>
      </c>
    </row>
    <row r="603" customFormat="false" ht="18.7" hidden="false" customHeight="true" outlineLevel="0" collapsed="false">
      <c r="A603" s="1" t="n">
        <v>602</v>
      </c>
      <c r="B603" s="7" t="str">
        <f aca="false">HYPERLINK("https://mncourtfraud.com/file/27-CR-20-5618.pdf","27-CR-20-5618")</f>
        <v>27-CR-20-5618</v>
      </c>
      <c r="C603" s="1" t="n">
        <v>1</v>
      </c>
      <c r="D603" s="2" t="s">
        <v>12</v>
      </c>
      <c r="E603" s="8" t="n">
        <v>44543</v>
      </c>
      <c r="F603" s="2" t="s">
        <v>15</v>
      </c>
      <c r="G603" s="7" t="str">
        <f aca="false">HYPERLINK("https://mncourtfraud.com/file/MCRO_27-CR-20-5618_Order-Evaluation for Competency to Proceed (Rule 20.01)_2021-12-13_20251126180931.pdf","MCRO_27-CR-20-5618_Order-Evaluation for Competency to Proceed (Rule 20.01)_2021-12-13_20251126180931.pdf")</f>
        <v>MCRO_27-CR-20-5618_Order-Evaluation for Competency to Proceed (Rule 20.01)_2021-12-13_20251126180931.pdf</v>
      </c>
      <c r="H603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603" s="1" t="s">
        <v>3406</v>
      </c>
      <c r="K603" s="2" t="s">
        <v>3425</v>
      </c>
      <c r="L603" s="2" t="s">
        <v>3408</v>
      </c>
      <c r="M603" s="2" t="n">
        <v>21225</v>
      </c>
      <c r="O603" s="2" t="s">
        <v>3409</v>
      </c>
      <c r="P603" s="2" t="s">
        <v>3410</v>
      </c>
      <c r="S603" s="2" t="n">
        <v>319</v>
      </c>
      <c r="T603" s="2" t="n">
        <v>105</v>
      </c>
    </row>
    <row r="604" customFormat="false" ht="18.7" hidden="false" customHeight="true" outlineLevel="0" collapsed="false">
      <c r="A604" s="1" t="n">
        <v>603</v>
      </c>
      <c r="B604" s="7" t="str">
        <f aca="false">HYPERLINK("https://mncourtfraud.com/file/27-CR-20-5618.pdf","27-CR-20-5618")</f>
        <v>27-CR-20-5618</v>
      </c>
      <c r="C604" s="1" t="n">
        <v>1</v>
      </c>
      <c r="D604" s="2" t="s">
        <v>12</v>
      </c>
      <c r="E604" s="8" t="n">
        <v>44543</v>
      </c>
      <c r="F604" s="2" t="s">
        <v>15</v>
      </c>
      <c r="G604" s="7" t="str">
        <f aca="false">HYPERLINK("https://mncourtfraud.com/file/MCRO_27-CR-20-5618_Order-Evaluation for Competency to Proceed (Rule 20.01)_2021-12-13_20251126180931.pdf","MCRO_27-CR-20-5618_Order-Evaluation for Competency to Proceed (Rule 20.01)_2021-12-13_20251126180931.pdf")</f>
        <v>MCRO_27-CR-20-5618_Order-Evaluation for Competency to Proceed (Rule 20.01)_2021-12-13_20251126180931.pdf</v>
      </c>
      <c r="H604" s="7" t="str">
        <f aca="false">HYPERLINK("https://mncourtfraud.com/file/f942eca43ffd6bdbf3ee942fee873a73c8baea7707298295b91918b6d8b6d6ee.ttf","f942eca43ffd6bdbf3ee942fee873a73c8baea7707298295b91918b6d8b6d6ee")</f>
        <v>f942eca43ffd6bdbf3ee942fee873a73c8baea7707298295b91918b6d8b6d6ee</v>
      </c>
      <c r="I604" s="1" t="s">
        <v>3413</v>
      </c>
      <c r="J604" s="2" t="s">
        <v>3422</v>
      </c>
      <c r="K604" s="2" t="s">
        <v>3422</v>
      </c>
      <c r="L604" s="2" t="s">
        <v>3415</v>
      </c>
      <c r="M604" s="2" t="n">
        <v>125444</v>
      </c>
    </row>
    <row r="605" customFormat="false" ht="18.7" hidden="false" customHeight="true" outlineLevel="0" collapsed="false">
      <c r="A605" s="1" t="n">
        <v>604</v>
      </c>
      <c r="B605" s="7" t="str">
        <f aca="false">HYPERLINK("https://mncourtfraud.com/file/27-CR-20-5618.pdf","27-CR-20-5618")</f>
        <v>27-CR-20-5618</v>
      </c>
      <c r="C605" s="1" t="n">
        <v>1</v>
      </c>
      <c r="D605" s="2" t="s">
        <v>12</v>
      </c>
      <c r="E605" s="8" t="n">
        <v>44558</v>
      </c>
      <c r="F605" s="2" t="s">
        <v>15</v>
      </c>
      <c r="G605" s="7" t="str">
        <f aca="false">HYPERLINK("https://mncourtfraud.com/file/MCRO_27-CR-20-5618_Order-Evaluation for Competency to Proceed (Rule 20.01)_2021-12-28_20251126180947.pdf","MCRO_27-CR-20-5618_Order-Evaluation for Competency to Proceed (Rule 20.01)_2021-12-28_20251126180947.pdf")</f>
        <v>MCRO_27-CR-20-5618_Order-Evaluation for Competency to Proceed (Rule 20.01)_2021-12-28_20251126180947.pdf</v>
      </c>
      <c r="H605" s="7" t="str">
        <f aca="false">HYPERLINK("https://mncourtfraud.com/file/24131bd0cbb19a8b23deeab5cc8f695203aa7b73958166d161469ce98594adac.ttf","24131bd0cbb19a8b23deeab5cc8f695203aa7b73958166d161469ce98594adac")</f>
        <v>24131bd0cbb19a8b23deeab5cc8f695203aa7b73958166d161469ce98594adac</v>
      </c>
      <c r="I605" s="1" t="s">
        <v>3413</v>
      </c>
      <c r="L605" s="2" t="s">
        <v>3415</v>
      </c>
      <c r="M605" s="2" t="n">
        <v>333584</v>
      </c>
    </row>
    <row r="606" customFormat="false" ht="18.7" hidden="false" customHeight="true" outlineLevel="0" collapsed="false">
      <c r="A606" s="1" t="n">
        <v>605</v>
      </c>
      <c r="B606" s="7" t="str">
        <f aca="false">HYPERLINK("https://mncourtfraud.com/file/27-CR-20-5618.pdf","27-CR-20-5618")</f>
        <v>27-CR-20-5618</v>
      </c>
      <c r="C606" s="1" t="n">
        <v>1</v>
      </c>
      <c r="D606" s="2" t="s">
        <v>12</v>
      </c>
      <c r="E606" s="8" t="n">
        <v>44558</v>
      </c>
      <c r="F606" s="2" t="s">
        <v>15</v>
      </c>
      <c r="G606" s="7" t="str">
        <f aca="false">HYPERLINK("https://mncourtfraud.com/file/MCRO_27-CR-20-5618_Order-Evaluation for Competency to Proceed (Rule 20.01)_2021-12-28_20251126180947.pdf","MCRO_27-CR-20-5618_Order-Evaluation for Competency to Proceed (Rule 20.01)_2021-12-28_20251126180947.pdf")</f>
        <v>MCRO_27-CR-20-5618_Order-Evaluation for Competency to Proceed (Rule 20.01)_2021-12-28_20251126180947.pdf</v>
      </c>
      <c r="H606" s="7" t="str">
        <f aca="false">HYPERLINK("https://mncourtfraud.com/file/4153d26509ef6b6d34225e460356958ac8534e9b9e1d8a2168684ae2a32136e1.png","4153d26509ef6b6d34225e460356958ac8534e9b9e1d8a2168684ae2a32136e1")</f>
        <v>4153d26509ef6b6d34225e460356958ac8534e9b9e1d8a2168684ae2a32136e1</v>
      </c>
      <c r="I606" s="1" t="s">
        <v>3406</v>
      </c>
      <c r="L606" s="2" t="s">
        <v>3412</v>
      </c>
      <c r="M606" s="2" t="n">
        <v>17246</v>
      </c>
      <c r="S606" s="2" t="n">
        <v>2550</v>
      </c>
      <c r="T606" s="2" t="n">
        <v>3300</v>
      </c>
    </row>
    <row r="607" customFormat="false" ht="18.7" hidden="false" customHeight="true" outlineLevel="0" collapsed="false">
      <c r="A607" s="1" t="n">
        <v>606</v>
      </c>
      <c r="B607" s="7" t="str">
        <f aca="false">HYPERLINK("https://mncourtfraud.com/file/27-CR-20-5618.pdf","27-CR-20-5618")</f>
        <v>27-CR-20-5618</v>
      </c>
      <c r="C607" s="1" t="n">
        <v>1</v>
      </c>
      <c r="D607" s="2" t="s">
        <v>12</v>
      </c>
      <c r="E607" s="8" t="n">
        <v>44558</v>
      </c>
      <c r="F607" s="2" t="s">
        <v>15</v>
      </c>
      <c r="G607" s="7" t="str">
        <f aca="false">HYPERLINK("https://mncourtfraud.com/file/MCRO_27-CR-20-5618_Order-Evaluation for Competency to Proceed (Rule 20.01)_2021-12-28_20251126180947.pdf","MCRO_27-CR-20-5618_Order-Evaluation for Competency to Proceed (Rule 20.01)_2021-12-28_20251126180947.pdf")</f>
        <v>MCRO_27-CR-20-5618_Order-Evaluation for Competency to Proceed (Rule 20.01)_2021-12-28_20251126180947.pdf</v>
      </c>
      <c r="H607" s="7" t="str">
        <f aca="false">HYPERLINK("https://mncourtfraud.com/file/a4d90a2e7bb7eea3556db096092bcc7dd1a702a36ae04c726742a933013de832.png","a4d90a2e7bb7eea3556db096092bcc7dd1a702a36ae04c726742a933013de832")</f>
        <v>a4d90a2e7bb7eea3556db096092bcc7dd1a702a36ae04c726742a933013de832</v>
      </c>
      <c r="I607" s="1" t="s">
        <v>3406</v>
      </c>
      <c r="L607" s="2" t="s">
        <v>3412</v>
      </c>
      <c r="M607" s="2" t="n">
        <v>130867</v>
      </c>
      <c r="S607" s="2" t="n">
        <v>2550</v>
      </c>
      <c r="T607" s="2" t="n">
        <v>3300</v>
      </c>
    </row>
    <row r="608" customFormat="false" ht="18.7" hidden="false" customHeight="true" outlineLevel="0" collapsed="false">
      <c r="A608" s="1" t="n">
        <v>607</v>
      </c>
      <c r="B608" s="7" t="str">
        <f aca="false">HYPERLINK("https://mncourtfraud.com/file/27-CR-20-5618.pdf","27-CR-20-5618")</f>
        <v>27-CR-20-5618</v>
      </c>
      <c r="C608" s="1" t="n">
        <v>1</v>
      </c>
      <c r="D608" s="2" t="s">
        <v>12</v>
      </c>
      <c r="E608" s="8" t="n">
        <v>44558</v>
      </c>
      <c r="F608" s="2" t="s">
        <v>15</v>
      </c>
      <c r="G608" s="7" t="str">
        <f aca="false">HYPERLINK("https://mncourtfraud.com/file/MCRO_27-CR-20-5618_Order-Evaluation for Competency to Proceed (Rule 20.01)_2021-12-28_20251126180947.pdf","MCRO_27-CR-20-5618_Order-Evaluation for Competency to Proceed (Rule 20.01)_2021-12-28_20251126180947.pdf")</f>
        <v>MCRO_27-CR-20-5618_Order-Evaluation for Competency to Proceed (Rule 20.01)_2021-12-28_20251126180947.pdf</v>
      </c>
      <c r="H608" s="7" t="str">
        <f aca="false">HYPERLINK("https://mncourtfraud.com/file/afc097039f7864121b66198448cd864dc7a5611991b62f936bdd18ec1d0027c7.png","afc097039f7864121b66198448cd864dc7a5611991b62f936bdd18ec1d0027c7")</f>
        <v>afc097039f7864121b66198448cd864dc7a5611991b62f936bdd18ec1d0027c7</v>
      </c>
      <c r="I608" s="1" t="s">
        <v>3406</v>
      </c>
      <c r="L608" s="2" t="s">
        <v>3412</v>
      </c>
      <c r="M608" s="2" t="n">
        <v>98762</v>
      </c>
      <c r="S608" s="2" t="n">
        <v>2550</v>
      </c>
      <c r="T608" s="2" t="n">
        <v>3300</v>
      </c>
    </row>
    <row r="609" customFormat="false" ht="18.7" hidden="false" customHeight="true" outlineLevel="0" collapsed="false">
      <c r="A609" s="1" t="n">
        <v>608</v>
      </c>
      <c r="B609" s="7" t="str">
        <f aca="false">HYPERLINK("https://mncourtfraud.com/file/27-CR-20-5618.pdf","27-CR-20-5618")</f>
        <v>27-CR-20-5618</v>
      </c>
      <c r="C609" s="1" t="n">
        <v>1</v>
      </c>
      <c r="D609" s="2" t="s">
        <v>12</v>
      </c>
      <c r="E609" s="8" t="n">
        <v>44558</v>
      </c>
      <c r="F609" s="2" t="s">
        <v>15</v>
      </c>
      <c r="G609" s="7" t="str">
        <f aca="false">HYPERLINK("https://mncourtfraud.com/file/MCRO_27-CR-20-5618_Order-Evaluation for Competency to Proceed (Rule 20.01)_2021-12-28_20251126180947.pdf","MCRO_27-CR-20-5618_Order-Evaluation for Competency to Proceed (Rule 20.01)_2021-12-28_20251126180947.pdf")</f>
        <v>MCRO_27-CR-20-5618_Order-Evaluation for Competency to Proceed (Rule 20.01)_2021-12-28_20251126180947.pdf</v>
      </c>
      <c r="H609" s="7" t="str">
        <f aca="false">HYPERLINK("https://mncourtfraud.com/file/eff1bb0219aa69e49463c3b40e608881782bb63132c9962e8addefdcb418ac8d.png","eff1bb0219aa69e49463c3b40e608881782bb63132c9962e8addefdcb418ac8d")</f>
        <v>eff1bb0219aa69e49463c3b40e608881782bb63132c9962e8addefdcb418ac8d</v>
      </c>
      <c r="I609" s="1" t="s">
        <v>3406</v>
      </c>
      <c r="L609" s="2" t="s">
        <v>3412</v>
      </c>
      <c r="M609" s="2" t="n">
        <v>158802</v>
      </c>
      <c r="S609" s="2" t="n">
        <v>2550</v>
      </c>
      <c r="T609" s="2" t="n">
        <v>3300</v>
      </c>
    </row>
    <row r="610" customFormat="false" ht="18.7" hidden="false" customHeight="true" outlineLevel="0" collapsed="false">
      <c r="A610" s="1" t="n">
        <v>609</v>
      </c>
      <c r="B610" s="7" t="str">
        <f aca="false">HYPERLINK("https://mncourtfraud.com/file/27-CR-20-5618.pdf","27-CR-20-5618")</f>
        <v>27-CR-20-5618</v>
      </c>
      <c r="C610" s="1" t="n">
        <v>1</v>
      </c>
      <c r="D610" s="2" t="s">
        <v>12</v>
      </c>
      <c r="E610" s="8" t="n">
        <v>44593</v>
      </c>
      <c r="F610" s="2" t="s">
        <v>19</v>
      </c>
      <c r="G610" s="7" t="str">
        <f aca="false">HYPERLINK("https://mncourtfraud.com/file/MCRO_27-CR-20-5618_Findings and Order_2022-02-01_20251126180755.pdf","MCRO_27-CR-20-5618_Findings and Order_2022-02-01_20251126180755.pdf")</f>
        <v>MCRO_27-CR-20-5618_Findings and Order_2022-02-01_20251126180755.pdf</v>
      </c>
      <c r="H610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610" s="1" t="s">
        <v>3413</v>
      </c>
      <c r="J610" s="2" t="s">
        <v>3426</v>
      </c>
      <c r="K610" s="2" t="s">
        <v>3426</v>
      </c>
      <c r="L610" s="2" t="s">
        <v>3415</v>
      </c>
      <c r="M610" s="2" t="n">
        <v>74997</v>
      </c>
      <c r="N610" s="2" t="s">
        <v>3427</v>
      </c>
    </row>
    <row r="611" customFormat="false" ht="18.7" hidden="false" customHeight="true" outlineLevel="0" collapsed="false">
      <c r="A611" s="1" t="n">
        <v>610</v>
      </c>
      <c r="B611" s="7" t="str">
        <f aca="false">HYPERLINK("https://mncourtfraud.com/file/27-CR-20-5618.pdf","27-CR-20-5618")</f>
        <v>27-CR-20-5618</v>
      </c>
      <c r="C611" s="1" t="n">
        <v>1</v>
      </c>
      <c r="D611" s="2" t="s">
        <v>12</v>
      </c>
      <c r="E611" s="8" t="n">
        <v>44593</v>
      </c>
      <c r="F611" s="2" t="s">
        <v>19</v>
      </c>
      <c r="G611" s="7" t="str">
        <f aca="false">HYPERLINK("https://mncourtfraud.com/file/MCRO_27-CR-20-5618_Findings and Order_2022-02-01_20251126180755.pdf","MCRO_27-CR-20-5618_Findings and Order_2022-02-01_20251126180755.pdf")</f>
        <v>MCRO_27-CR-20-5618_Findings and Order_2022-02-01_20251126180755.pdf</v>
      </c>
      <c r="H611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611" s="1" t="s">
        <v>3428</v>
      </c>
      <c r="J611" s="2" t="s">
        <v>3429</v>
      </c>
      <c r="K611" s="2" t="s">
        <v>3429</v>
      </c>
      <c r="L611" s="2" t="s">
        <v>3415</v>
      </c>
      <c r="M611" s="2" t="n">
        <v>86093</v>
      </c>
    </row>
    <row r="612" customFormat="false" ht="18.7" hidden="false" customHeight="true" outlineLevel="0" collapsed="false">
      <c r="A612" s="1" t="n">
        <v>611</v>
      </c>
      <c r="B612" s="7" t="str">
        <f aca="false">HYPERLINK("https://mncourtfraud.com/file/27-CR-20-5618.pdf","27-CR-20-5618")</f>
        <v>27-CR-20-5618</v>
      </c>
      <c r="C612" s="1" t="n">
        <v>1</v>
      </c>
      <c r="D612" s="2" t="s">
        <v>12</v>
      </c>
      <c r="E612" s="8" t="n">
        <v>44593</v>
      </c>
      <c r="F612" s="2" t="s">
        <v>19</v>
      </c>
      <c r="G612" s="7" t="str">
        <f aca="false">HYPERLINK("https://mncourtfraud.com/file/MCRO_27-CR-20-5618_Findings and Order_2022-02-01_20251126180755.pdf","MCRO_27-CR-20-5618_Findings and Order_2022-02-01_20251126180755.pdf")</f>
        <v>MCRO_27-CR-20-5618_Findings and Order_2022-02-01_20251126180755.pdf</v>
      </c>
      <c r="H612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612" s="1" t="s">
        <v>3413</v>
      </c>
      <c r="J612" s="2" t="s">
        <v>3414</v>
      </c>
      <c r="K612" s="2" t="s">
        <v>3414</v>
      </c>
      <c r="L612" s="2" t="s">
        <v>3415</v>
      </c>
      <c r="M612" s="2" t="n">
        <v>42332</v>
      </c>
    </row>
    <row r="613" customFormat="false" ht="18.7" hidden="false" customHeight="true" outlineLevel="0" collapsed="false">
      <c r="A613" s="1" t="n">
        <v>612</v>
      </c>
      <c r="B613" s="7" t="str">
        <f aca="false">HYPERLINK("https://mncourtfraud.com/file/27-CR-20-5618.pdf","27-CR-20-5618")</f>
        <v>27-CR-20-5618</v>
      </c>
      <c r="C613" s="1" t="n">
        <v>1</v>
      </c>
      <c r="D613" s="2" t="s">
        <v>12</v>
      </c>
      <c r="E613" s="8" t="n">
        <v>44593</v>
      </c>
      <c r="F613" s="2" t="s">
        <v>19</v>
      </c>
      <c r="G613" s="7" t="str">
        <f aca="false">HYPERLINK("https://mncourtfraud.com/file/MCRO_27-CR-20-5618_Findings and Order_2022-02-01_20251126180755.pdf","MCRO_27-CR-20-5618_Findings and Order_2022-02-01_20251126180755.pdf")</f>
        <v>MCRO_27-CR-20-5618_Findings and Order_2022-02-01_20251126180755.pdf</v>
      </c>
      <c r="H613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613" s="1" t="s">
        <v>3413</v>
      </c>
      <c r="J613" s="2" t="s">
        <v>3414</v>
      </c>
      <c r="K613" s="2" t="s">
        <v>3414</v>
      </c>
      <c r="L613" s="2" t="s">
        <v>3415</v>
      </c>
      <c r="M613" s="2" t="n">
        <v>42332</v>
      </c>
    </row>
    <row r="614" customFormat="false" ht="18.7" hidden="false" customHeight="true" outlineLevel="0" collapsed="false">
      <c r="A614" s="1" t="n">
        <v>613</v>
      </c>
      <c r="B614" s="7" t="str">
        <f aca="false">HYPERLINK("https://mncourtfraud.com/file/27-CR-20-5618.pdf","27-CR-20-5618")</f>
        <v>27-CR-20-5618</v>
      </c>
      <c r="C614" s="1" t="n">
        <v>1</v>
      </c>
      <c r="D614" s="2" t="s">
        <v>12</v>
      </c>
      <c r="E614" s="8" t="n">
        <v>44593</v>
      </c>
      <c r="F614" s="2" t="s">
        <v>19</v>
      </c>
      <c r="G614" s="7" t="str">
        <f aca="false">HYPERLINK("https://mncourtfraud.com/file/MCRO_27-CR-20-5618_Findings and Order_2022-02-01_20251126180755.pdf","MCRO_27-CR-20-5618_Findings and Order_2022-02-01_20251126180755.pdf")</f>
        <v>MCRO_27-CR-20-5618_Findings and Order_2022-02-01_20251126180755.pdf</v>
      </c>
      <c r="H614" s="7" t="str">
        <f aca="false">HYPERLINK("https://mncourtfraud.com/file/d1e06f7a12c8d4ae1de62861dbfeadf4f6b52b1cfd6801e548bc1d08782c1451.ttf","d1e06f7a12c8d4ae1de62861dbfeadf4f6b52b1cfd6801e548bc1d08782c1451")</f>
        <v>d1e06f7a12c8d4ae1de62861dbfeadf4f6b52b1cfd6801e548bc1d08782c1451</v>
      </c>
      <c r="I614" s="1" t="s">
        <v>3413</v>
      </c>
      <c r="J614" s="2" t="s">
        <v>3414</v>
      </c>
      <c r="K614" s="2" t="s">
        <v>3416</v>
      </c>
      <c r="L614" s="2" t="s">
        <v>3415</v>
      </c>
      <c r="M614" s="2" t="n">
        <v>28584</v>
      </c>
    </row>
    <row r="615" customFormat="false" ht="18.7" hidden="false" customHeight="true" outlineLevel="0" collapsed="false">
      <c r="A615" s="1" t="n">
        <v>614</v>
      </c>
      <c r="B615" s="7" t="str">
        <f aca="false">HYPERLINK("https://mncourtfraud.com/file/27-CR-20-5618.pdf","27-CR-20-5618")</f>
        <v>27-CR-20-5618</v>
      </c>
      <c r="C615" s="1" t="n">
        <v>1</v>
      </c>
      <c r="D615" s="2" t="s">
        <v>12</v>
      </c>
      <c r="E615" s="8" t="n">
        <v>44593</v>
      </c>
      <c r="F615" s="2" t="s">
        <v>19</v>
      </c>
      <c r="G615" s="7" t="str">
        <f aca="false">HYPERLINK("https://mncourtfraud.com/file/MCRO_27-CR-20-5618_Findings and Order_2022-02-01_20251126180755.pdf","MCRO_27-CR-20-5618_Findings and Order_2022-02-01_20251126180755.pdf")</f>
        <v>MCRO_27-CR-20-5618_Findings and Order_2022-02-01_20251126180755.pdf</v>
      </c>
      <c r="H615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615" s="1" t="s">
        <v>3406</v>
      </c>
      <c r="K615" s="2" t="s">
        <v>3430</v>
      </c>
      <c r="L615" s="2" t="s">
        <v>3408</v>
      </c>
      <c r="M615" s="2" t="n">
        <v>28069</v>
      </c>
      <c r="O615" s="2" t="s">
        <v>3409</v>
      </c>
      <c r="P615" s="2" t="s">
        <v>3410</v>
      </c>
      <c r="S615" s="2" t="n">
        <v>448</v>
      </c>
      <c r="T615" s="2" t="n">
        <v>128</v>
      </c>
    </row>
    <row r="616" customFormat="false" ht="18.7" hidden="false" customHeight="true" outlineLevel="0" collapsed="false">
      <c r="A616" s="1" t="n">
        <v>615</v>
      </c>
      <c r="B616" s="7" t="str">
        <f aca="false">HYPERLINK("https://mncourtfraud.com/file/27-CR-20-5618.pdf","27-CR-20-5618")</f>
        <v>27-CR-20-5618</v>
      </c>
      <c r="C616" s="1" t="n">
        <v>1</v>
      </c>
      <c r="D616" s="2" t="s">
        <v>12</v>
      </c>
      <c r="E616" s="8" t="n">
        <v>44692</v>
      </c>
      <c r="F616" s="2" t="s">
        <v>15</v>
      </c>
      <c r="G616" s="7" t="str">
        <f aca="false">HYPERLINK("https://mncourtfraud.com/file/MCRO_27-CR-20-5618_Order-Evaluation for Competency to Proceed (Rule 20.01)_2022-05-11_20251126180958.pdf","MCRO_27-CR-20-5618_Order-Evaluation for Competency to Proceed (Rule 20.01)_2022-05-11_20251126180958.pdf")</f>
        <v>MCRO_27-CR-20-5618_Order-Evaluation for Competency to Proceed (Rule 20.01)_2022-05-11_20251126180958.pdf</v>
      </c>
      <c r="H616" s="7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616" s="1" t="s">
        <v>3406</v>
      </c>
      <c r="K616" s="2" t="s">
        <v>3432</v>
      </c>
      <c r="L616" s="2" t="s">
        <v>3408</v>
      </c>
      <c r="M616" s="2" t="n">
        <v>21121</v>
      </c>
      <c r="O616" s="2" t="s">
        <v>3409</v>
      </c>
      <c r="P616" s="2" t="s">
        <v>3410</v>
      </c>
      <c r="S616" s="2" t="n">
        <v>695</v>
      </c>
      <c r="T616" s="2" t="n">
        <v>233</v>
      </c>
    </row>
    <row r="617" customFormat="false" ht="18.7" hidden="false" customHeight="true" outlineLevel="0" collapsed="false">
      <c r="A617" s="1" t="n">
        <v>616</v>
      </c>
      <c r="B617" s="7" t="str">
        <f aca="false">HYPERLINK("https://mncourtfraud.com/file/27-CR-20-5618.pdf","27-CR-20-5618")</f>
        <v>27-CR-20-5618</v>
      </c>
      <c r="C617" s="1" t="n">
        <v>1</v>
      </c>
      <c r="D617" s="2" t="s">
        <v>12</v>
      </c>
      <c r="E617" s="8" t="n">
        <v>44692</v>
      </c>
      <c r="F617" s="2" t="s">
        <v>15</v>
      </c>
      <c r="G617" s="7" t="str">
        <f aca="false">HYPERLINK("https://mncourtfraud.com/file/MCRO_27-CR-20-5618_Order-Evaluation for Competency to Proceed (Rule 20.01)_2022-05-11_20251126180958.pdf","MCRO_27-CR-20-5618_Order-Evaluation for Competency to Proceed (Rule 20.01)_2022-05-11_20251126180958.pdf")</f>
        <v>MCRO_27-CR-20-5618_Order-Evaluation for Competency to Proceed (Rule 20.01)_2022-05-11_20251126180958.pdf</v>
      </c>
      <c r="H617" s="7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617" s="1" t="s">
        <v>3406</v>
      </c>
      <c r="K617" s="2" t="s">
        <v>3433</v>
      </c>
      <c r="L617" s="2" t="s">
        <v>3408</v>
      </c>
      <c r="M617" s="2" t="n">
        <v>53838</v>
      </c>
      <c r="O617" s="2" t="s">
        <v>3409</v>
      </c>
      <c r="P617" s="2" t="s">
        <v>3410</v>
      </c>
      <c r="S617" s="2" t="n">
        <v>695</v>
      </c>
      <c r="T617" s="2" t="n">
        <v>233</v>
      </c>
    </row>
    <row r="618" customFormat="false" ht="18.7" hidden="false" customHeight="true" outlineLevel="0" collapsed="false">
      <c r="A618" s="1" t="n">
        <v>617</v>
      </c>
      <c r="B618" s="7" t="str">
        <f aca="false">HYPERLINK("https://mncourtfraud.com/file/27-CR-20-5618.pdf","27-CR-20-5618")</f>
        <v>27-CR-20-5618</v>
      </c>
      <c r="C618" s="1" t="n">
        <v>1</v>
      </c>
      <c r="D618" s="2" t="s">
        <v>12</v>
      </c>
      <c r="E618" s="8" t="n">
        <v>44692</v>
      </c>
      <c r="F618" s="2" t="s">
        <v>15</v>
      </c>
      <c r="G618" s="7" t="str">
        <f aca="false">HYPERLINK("https://mncourtfraud.com/file/MCRO_27-CR-20-5618_Order-Evaluation for Competency to Proceed (Rule 20.01)_2022-05-11_20251126180958.pdf","MCRO_27-CR-20-5618_Order-Evaluation for Competency to Proceed (Rule 20.01)_2022-05-11_20251126180958.pdf")</f>
        <v>MCRO_27-CR-20-5618_Order-Evaluation for Competency to Proceed (Rule 20.01)_2022-05-11_20251126180958.pdf</v>
      </c>
      <c r="H618" s="7" t="str">
        <f aca="false">HYPERLINK("https://mncourtfraud.com/file/322fe0e9595a4df4693edf307e5f8a42a470721d59f006a7b0e86def92125a58.ttf","322fe0e9595a4df4693edf307e5f8a42a470721d59f006a7b0e86def92125a58")</f>
        <v>322fe0e9595a4df4693edf307e5f8a42a470721d59f006a7b0e86def92125a58</v>
      </c>
      <c r="I618" s="1" t="s">
        <v>3413</v>
      </c>
      <c r="J618" s="2" t="s">
        <v>3434</v>
      </c>
      <c r="K618" s="2" t="s">
        <v>3434</v>
      </c>
      <c r="L618" s="2" t="s">
        <v>3415</v>
      </c>
      <c r="M618" s="2" t="n">
        <v>46736</v>
      </c>
      <c r="N618" s="2" t="s">
        <v>3435</v>
      </c>
    </row>
    <row r="619" customFormat="false" ht="18.7" hidden="false" customHeight="true" outlineLevel="0" collapsed="false">
      <c r="A619" s="1" t="n">
        <v>618</v>
      </c>
      <c r="B619" s="7" t="str">
        <f aca="false">HYPERLINK("https://mncourtfraud.com/file/27-CR-20-5618.pdf","27-CR-20-5618")</f>
        <v>27-CR-20-5618</v>
      </c>
      <c r="C619" s="1" t="n">
        <v>1</v>
      </c>
      <c r="D619" s="2" t="s">
        <v>12</v>
      </c>
      <c r="E619" s="8" t="n">
        <v>44692</v>
      </c>
      <c r="F619" s="2" t="s">
        <v>15</v>
      </c>
      <c r="G619" s="7" t="str">
        <f aca="false">HYPERLINK("https://mncourtfraud.com/file/MCRO_27-CR-20-5618_Order-Evaluation for Competency to Proceed (Rule 20.01)_2022-05-11_20251126180958.pdf","MCRO_27-CR-20-5618_Order-Evaluation for Competency to Proceed (Rule 20.01)_2022-05-11_20251126180958.pdf")</f>
        <v>MCRO_27-CR-20-5618_Order-Evaluation for Competency to Proceed (Rule 20.01)_2022-05-11_20251126180958.pdf</v>
      </c>
      <c r="H619" s="7" t="str">
        <f aca="false">HYPERLINK("https://mncourtfraud.com/file/32ebada21768d6238e03c647b5e5acdf6ce656f0735d59c3fb698ce40418a709.ttf","32ebada21768d6238e03c647b5e5acdf6ce656f0735d59c3fb698ce40418a709")</f>
        <v>32ebada21768d6238e03c647b5e5acdf6ce656f0735d59c3fb698ce40418a709</v>
      </c>
      <c r="I619" s="1" t="s">
        <v>3413</v>
      </c>
      <c r="J619" s="2" t="s">
        <v>3436</v>
      </c>
      <c r="K619" s="2" t="s">
        <v>3436</v>
      </c>
      <c r="L619" s="2" t="s">
        <v>3415</v>
      </c>
      <c r="M619" s="2" t="n">
        <v>65744</v>
      </c>
      <c r="N619" s="2" t="s">
        <v>3437</v>
      </c>
    </row>
    <row r="620" customFormat="false" ht="18.7" hidden="false" customHeight="true" outlineLevel="0" collapsed="false">
      <c r="A620" s="1" t="n">
        <v>619</v>
      </c>
      <c r="B620" s="7" t="str">
        <f aca="false">HYPERLINK("https://mncourtfraud.com/file/27-CR-20-5618.pdf","27-CR-20-5618")</f>
        <v>27-CR-20-5618</v>
      </c>
      <c r="C620" s="1" t="n">
        <v>1</v>
      </c>
      <c r="D620" s="2" t="s">
        <v>12</v>
      </c>
      <c r="E620" s="8" t="n">
        <v>44692</v>
      </c>
      <c r="F620" s="2" t="s">
        <v>15</v>
      </c>
      <c r="G620" s="7" t="str">
        <f aca="false">HYPERLINK("https://mncourtfraud.com/file/MCRO_27-CR-20-5618_Order-Evaluation for Competency to Proceed (Rule 20.01)_2022-05-11_20251126180958.pdf","MCRO_27-CR-20-5618_Order-Evaluation for Competency to Proceed (Rule 20.01)_2022-05-11_20251126180958.pdf")</f>
        <v>MCRO_27-CR-20-5618_Order-Evaluation for Competency to Proceed (Rule 20.01)_2022-05-11_20251126180958.pdf</v>
      </c>
      <c r="H620" s="7" t="str">
        <f aca="false">HYPERLINK("https://mncourtfraud.com/file/694dcb82a5515430b7fddfbf16881b942820c8c41fee3eea3505a20c7d4e41e6.ttf","694dcb82a5515430b7fddfbf16881b942820c8c41fee3eea3505a20c7d4e41e6")</f>
        <v>694dcb82a5515430b7fddfbf16881b942820c8c41fee3eea3505a20c7d4e41e6</v>
      </c>
      <c r="I620" s="1" t="s">
        <v>3413</v>
      </c>
      <c r="J620" s="2" t="s">
        <v>3438</v>
      </c>
      <c r="K620" s="2" t="s">
        <v>3438</v>
      </c>
      <c r="L620" s="2" t="s">
        <v>3415</v>
      </c>
      <c r="M620" s="2" t="n">
        <v>72828</v>
      </c>
      <c r="N620" s="2" t="s">
        <v>3439</v>
      </c>
    </row>
    <row r="621" customFormat="false" ht="18.7" hidden="false" customHeight="true" outlineLevel="0" collapsed="false">
      <c r="A621" s="1" t="n">
        <v>620</v>
      </c>
      <c r="B621" s="7" t="str">
        <f aca="false">HYPERLINK("https://mncourtfraud.com/file/27-CR-20-5618.pdf","27-CR-20-5618")</f>
        <v>27-CR-20-5618</v>
      </c>
      <c r="C621" s="1" t="n">
        <v>1</v>
      </c>
      <c r="D621" s="2" t="s">
        <v>12</v>
      </c>
      <c r="E621" s="8" t="n">
        <v>44692</v>
      </c>
      <c r="F621" s="2" t="s">
        <v>15</v>
      </c>
      <c r="G621" s="7" t="str">
        <f aca="false">HYPERLINK("https://mncourtfraud.com/file/MCRO_27-CR-20-5618_Order-Evaluation for Competency to Proceed (Rule 20.01)_2022-05-11_20251126180958.pdf","MCRO_27-CR-20-5618_Order-Evaluation for Competency to Proceed (Rule 20.01)_2022-05-11_20251126180958.pdf")</f>
        <v>MCRO_27-CR-20-5618_Order-Evaluation for Competency to Proceed (Rule 20.01)_2022-05-11_20251126180958.pdf</v>
      </c>
      <c r="H621" s="7" t="str">
        <f aca="false">HYPERLINK("https://mncourtfraud.com/file/87764021d6d62f7c396208d3f1fa8113e5ad5f90bd03c35e7200536389af4e6a.ttf","87764021d6d62f7c396208d3f1fa8113e5ad5f90bd03c35e7200536389af4e6a")</f>
        <v>87764021d6d62f7c396208d3f1fa8113e5ad5f90bd03c35e7200536389af4e6a</v>
      </c>
      <c r="I621" s="1" t="s">
        <v>3413</v>
      </c>
      <c r="J621" s="2" t="s">
        <v>3440</v>
      </c>
      <c r="K621" s="2" t="s">
        <v>3440</v>
      </c>
      <c r="L621" s="2" t="s">
        <v>3415</v>
      </c>
      <c r="M621" s="2" t="n">
        <v>6280</v>
      </c>
      <c r="N621" s="2" t="s">
        <v>3441</v>
      </c>
    </row>
    <row r="622" customFormat="false" ht="18.7" hidden="false" customHeight="true" outlineLevel="0" collapsed="false">
      <c r="A622" s="1" t="n">
        <v>621</v>
      </c>
      <c r="B622" s="7" t="str">
        <f aca="false">HYPERLINK("https://mncourtfraud.com/file/27-CR-20-5618.pdf","27-CR-20-5618")</f>
        <v>27-CR-20-5618</v>
      </c>
      <c r="C622" s="1" t="n">
        <v>1</v>
      </c>
      <c r="D622" s="2" t="s">
        <v>12</v>
      </c>
      <c r="E622" s="8" t="n">
        <v>44692</v>
      </c>
      <c r="F622" s="2" t="s">
        <v>15</v>
      </c>
      <c r="G622" s="7" t="str">
        <f aca="false">HYPERLINK("https://mncourtfraud.com/file/MCRO_27-CR-20-5618_Order-Evaluation for Competency to Proceed (Rule 20.01)_2022-05-11_20251126180958.pdf","MCRO_27-CR-20-5618_Order-Evaluation for Competency to Proceed (Rule 20.01)_2022-05-11_20251126180958.pdf")</f>
        <v>MCRO_27-CR-20-5618_Order-Evaluation for Competency to Proceed (Rule 20.01)_2022-05-11_20251126180958.pdf</v>
      </c>
      <c r="H622" s="7" t="str">
        <f aca="false">HYPERLINK("https://mncourtfraud.com/file/a1ad71f465be26cf6bb430c59ae6133d3c381ada339ba3c6b2eadf32a9b4096b.ttf","a1ad71f465be26cf6bb430c59ae6133d3c381ada339ba3c6b2eadf32a9b4096b")</f>
        <v>a1ad71f465be26cf6bb430c59ae6133d3c381ada339ba3c6b2eadf32a9b4096b</v>
      </c>
      <c r="I622" s="1" t="s">
        <v>3413</v>
      </c>
      <c r="J622" s="2" t="s">
        <v>3442</v>
      </c>
      <c r="K622" s="2" t="s">
        <v>3442</v>
      </c>
      <c r="L622" s="2" t="s">
        <v>3415</v>
      </c>
      <c r="M622" s="2" t="n">
        <v>5988</v>
      </c>
      <c r="N622" s="2" t="s">
        <v>3443</v>
      </c>
    </row>
    <row r="623" customFormat="false" ht="18.7" hidden="false" customHeight="true" outlineLevel="0" collapsed="false">
      <c r="A623" s="1" t="n">
        <v>622</v>
      </c>
      <c r="B623" s="7" t="str">
        <f aca="false">HYPERLINK("https://mncourtfraud.com/file/27-CR-20-5618.pdf","27-CR-20-5618")</f>
        <v>27-CR-20-5618</v>
      </c>
      <c r="C623" s="1" t="n">
        <v>1</v>
      </c>
      <c r="D623" s="2" t="s">
        <v>12</v>
      </c>
      <c r="E623" s="8" t="n">
        <v>44692</v>
      </c>
      <c r="F623" s="2" t="s">
        <v>15</v>
      </c>
      <c r="G623" s="7" t="str">
        <f aca="false">HYPERLINK("https://mncourtfraud.com/file/MCRO_27-CR-20-5618_Order-Evaluation for Competency to Proceed (Rule 20.01)_2022-05-11_20251126180958.pdf","MCRO_27-CR-20-5618_Order-Evaluation for Competency to Proceed (Rule 20.01)_2022-05-11_20251126180958.pdf")</f>
        <v>MCRO_27-CR-20-5618_Order-Evaluation for Competency to Proceed (Rule 20.01)_2022-05-11_20251126180958.pdf</v>
      </c>
      <c r="H623" s="7" t="str">
        <f aca="false">HYPERLINK("https://mncourtfraud.com/file/e1befe23dc5d05be4c8e965e6fc9e74e95400600e0da0c86dd389645355f3ad1.ttf","e1befe23dc5d05be4c8e965e6fc9e74e95400600e0da0c86dd389645355f3ad1")</f>
        <v>e1befe23dc5d05be4c8e965e6fc9e74e95400600e0da0c86dd389645355f3ad1</v>
      </c>
      <c r="I623" s="1" t="s">
        <v>3413</v>
      </c>
      <c r="J623" s="2" t="s">
        <v>3444</v>
      </c>
      <c r="K623" s="2" t="s">
        <v>3444</v>
      </c>
      <c r="L623" s="2" t="s">
        <v>3415</v>
      </c>
      <c r="M623" s="2" t="n">
        <v>94308</v>
      </c>
      <c r="N623" s="2" t="s">
        <v>3445</v>
      </c>
    </row>
    <row r="624" customFormat="false" ht="18.7" hidden="false" customHeight="true" outlineLevel="0" collapsed="false">
      <c r="A624" s="1" t="n">
        <v>623</v>
      </c>
      <c r="B624" s="7" t="str">
        <f aca="false">HYPERLINK("https://mncourtfraud.com/file/27-CR-20-5618.pdf","27-CR-20-5618")</f>
        <v>27-CR-20-5618</v>
      </c>
      <c r="C624" s="1" t="n">
        <v>1</v>
      </c>
      <c r="D624" s="2" t="s">
        <v>12</v>
      </c>
      <c r="E624" s="8" t="n">
        <v>44895</v>
      </c>
      <c r="F624" s="2" t="s">
        <v>15</v>
      </c>
      <c r="G624" s="7" t="str">
        <f aca="false">HYPERLINK("https://mncourtfraud.com/file/MCRO_27-CR-20-5618_Order-Evaluation for Competency to Proceed (Rule 20.01)_2022-11-30_20251126181007.pdf","MCRO_27-CR-20-5618_Order-Evaluation for Competency to Proceed (Rule 20.01)_2022-11-30_20251126181007.pdf")</f>
        <v>MCRO_27-CR-20-5618_Order-Evaluation for Competency to Proceed (Rule 20.01)_2022-11-30_20251126181007.pdf</v>
      </c>
      <c r="H624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624" s="1" t="s">
        <v>3413</v>
      </c>
      <c r="J624" s="2" t="s">
        <v>3423</v>
      </c>
      <c r="K624" s="2" t="s">
        <v>3423</v>
      </c>
      <c r="L624" s="2" t="s">
        <v>3415</v>
      </c>
      <c r="M624" s="2" t="n">
        <v>11088</v>
      </c>
    </row>
    <row r="625" customFormat="false" ht="18.7" hidden="false" customHeight="true" outlineLevel="0" collapsed="false">
      <c r="A625" s="1" t="n">
        <v>624</v>
      </c>
      <c r="B625" s="7" t="str">
        <f aca="false">HYPERLINK("https://mncourtfraud.com/file/27-CR-20-5618.pdf","27-CR-20-5618")</f>
        <v>27-CR-20-5618</v>
      </c>
      <c r="C625" s="1" t="n">
        <v>1</v>
      </c>
      <c r="D625" s="2" t="s">
        <v>12</v>
      </c>
      <c r="E625" s="8" t="n">
        <v>44895</v>
      </c>
      <c r="F625" s="2" t="s">
        <v>15</v>
      </c>
      <c r="G625" s="7" t="str">
        <f aca="false">HYPERLINK("https://mncourtfraud.com/file/MCRO_27-CR-20-5618_Order-Evaluation for Competency to Proceed (Rule 20.01)_2022-11-30_20251126181007.pdf","MCRO_27-CR-20-5618_Order-Evaluation for Competency to Proceed (Rule 20.01)_2022-11-30_20251126181007.pdf")</f>
        <v>MCRO_27-CR-20-5618_Order-Evaluation for Competency to Proceed (Rule 20.01)_2022-11-30_20251126181007.pdf</v>
      </c>
      <c r="H625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625" s="1" t="s">
        <v>3413</v>
      </c>
      <c r="J625" s="2" t="s">
        <v>3446</v>
      </c>
      <c r="K625" s="2" t="s">
        <v>3446</v>
      </c>
      <c r="L625" s="2" t="s">
        <v>3415</v>
      </c>
      <c r="M625" s="2" t="n">
        <v>55072</v>
      </c>
      <c r="N625" s="2" t="s">
        <v>3447</v>
      </c>
    </row>
    <row r="626" customFormat="false" ht="18.7" hidden="false" customHeight="true" outlineLevel="0" collapsed="false">
      <c r="A626" s="1" t="n">
        <v>625</v>
      </c>
      <c r="B626" s="7" t="str">
        <f aca="false">HYPERLINK("https://mncourtfraud.com/file/27-CR-20-5618.pdf","27-CR-20-5618")</f>
        <v>27-CR-20-5618</v>
      </c>
      <c r="C626" s="1" t="n">
        <v>1</v>
      </c>
      <c r="D626" s="2" t="s">
        <v>12</v>
      </c>
      <c r="E626" s="8" t="n">
        <v>44895</v>
      </c>
      <c r="F626" s="2" t="s">
        <v>15</v>
      </c>
      <c r="G626" s="7" t="str">
        <f aca="false">HYPERLINK("https://mncourtfraud.com/file/MCRO_27-CR-20-5618_Order-Evaluation for Competency to Proceed (Rule 20.01)_2022-11-30_20251126181007.pdf","MCRO_27-CR-20-5618_Order-Evaluation for Competency to Proceed (Rule 20.01)_2022-11-30_20251126181007.pdf")</f>
        <v>MCRO_27-CR-20-5618_Order-Evaluation for Competency to Proceed (Rule 20.01)_2022-11-30_20251126181007.pdf</v>
      </c>
      <c r="H626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626" s="1" t="s">
        <v>3413</v>
      </c>
      <c r="J626" s="2" t="s">
        <v>3424</v>
      </c>
      <c r="K626" s="2" t="s">
        <v>3424</v>
      </c>
      <c r="L626" s="2" t="s">
        <v>3415</v>
      </c>
      <c r="M626" s="2" t="n">
        <v>14252</v>
      </c>
    </row>
    <row r="627" customFormat="false" ht="18.7" hidden="false" customHeight="true" outlineLevel="0" collapsed="false">
      <c r="A627" s="1" t="n">
        <v>626</v>
      </c>
      <c r="B627" s="7" t="str">
        <f aca="false">HYPERLINK("https://mncourtfraud.com/file/27-CR-20-5618.pdf","27-CR-20-5618")</f>
        <v>27-CR-20-5618</v>
      </c>
      <c r="C627" s="1" t="n">
        <v>1</v>
      </c>
      <c r="D627" s="2" t="s">
        <v>12</v>
      </c>
      <c r="E627" s="8" t="n">
        <v>44895</v>
      </c>
      <c r="F627" s="2" t="s">
        <v>15</v>
      </c>
      <c r="G627" s="7" t="str">
        <f aca="false">HYPERLINK("https://mncourtfraud.com/file/MCRO_27-CR-20-5618_Order-Evaluation for Competency to Proceed (Rule 20.01)_2022-11-30_20251126181007.pdf","MCRO_27-CR-20-5618_Order-Evaluation for Competency to Proceed (Rule 20.01)_2022-11-30_20251126181007.pdf")</f>
        <v>MCRO_27-CR-20-5618_Order-Evaluation for Competency to Proceed (Rule 20.01)_2022-11-30_20251126181007.pdf</v>
      </c>
      <c r="H627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627" s="1" t="s">
        <v>3406</v>
      </c>
      <c r="K627" s="2" t="s">
        <v>3420</v>
      </c>
      <c r="L627" s="2" t="s">
        <v>3408</v>
      </c>
      <c r="M627" s="2" t="n">
        <v>7306</v>
      </c>
      <c r="O627" s="2" t="s">
        <v>3409</v>
      </c>
      <c r="P627" s="2" t="s">
        <v>3410</v>
      </c>
      <c r="S627" s="2" t="n">
        <v>319</v>
      </c>
      <c r="T627" s="2" t="n">
        <v>105</v>
      </c>
    </row>
    <row r="628" customFormat="false" ht="18.7" hidden="false" customHeight="true" outlineLevel="0" collapsed="false">
      <c r="A628" s="1" t="n">
        <v>627</v>
      </c>
      <c r="B628" s="7" t="str">
        <f aca="false">HYPERLINK("https://mncourtfraud.com/file/27-CR-20-5618.pdf","27-CR-20-5618")</f>
        <v>27-CR-20-5618</v>
      </c>
      <c r="C628" s="1" t="n">
        <v>1</v>
      </c>
      <c r="D628" s="2" t="s">
        <v>12</v>
      </c>
      <c r="E628" s="8" t="n">
        <v>44895</v>
      </c>
      <c r="F628" s="2" t="s">
        <v>15</v>
      </c>
      <c r="G628" s="7" t="str">
        <f aca="false">HYPERLINK("https://mncourtfraud.com/file/MCRO_27-CR-20-5618_Order-Evaluation for Competency to Proceed (Rule 20.01)_2022-11-30_20251126181007.pdf","MCRO_27-CR-20-5618_Order-Evaluation for Competency to Proceed (Rule 20.01)_2022-11-30_20251126181007.pdf")</f>
        <v>MCRO_27-CR-20-5618_Order-Evaluation for Competency to Proceed (Rule 20.01)_2022-11-30_20251126181007.pdf</v>
      </c>
      <c r="H628" s="7" t="str">
        <f aca="false">HYPERLINK("https://mncourtfraud.com/file/677e52a3b8403ce87e338b0a2e31e6f8e5ddf03fb0ca7043a341135cf0255eaa.ttf","677e52a3b8403ce87e338b0a2e31e6f8e5ddf03fb0ca7043a341135cf0255eaa")</f>
        <v>677e52a3b8403ce87e338b0a2e31e6f8e5ddf03fb0ca7043a341135cf0255eaa</v>
      </c>
      <c r="I628" s="1" t="s">
        <v>3413</v>
      </c>
      <c r="J628" s="2" t="s">
        <v>3422</v>
      </c>
      <c r="K628" s="2" t="s">
        <v>3422</v>
      </c>
      <c r="L628" s="2" t="s">
        <v>3415</v>
      </c>
      <c r="M628" s="2" t="n">
        <v>149960</v>
      </c>
    </row>
    <row r="629" customFormat="false" ht="18.7" hidden="false" customHeight="true" outlineLevel="0" collapsed="false">
      <c r="A629" s="1" t="n">
        <v>628</v>
      </c>
      <c r="B629" s="7" t="str">
        <f aca="false">HYPERLINK("https://mncourtfraud.com/file/27-CR-20-5618.pdf","27-CR-20-5618")</f>
        <v>27-CR-20-5618</v>
      </c>
      <c r="C629" s="1" t="n">
        <v>1</v>
      </c>
      <c r="D629" s="2" t="s">
        <v>12</v>
      </c>
      <c r="E629" s="8" t="n">
        <v>44895</v>
      </c>
      <c r="F629" s="2" t="s">
        <v>15</v>
      </c>
      <c r="G629" s="7" t="str">
        <f aca="false">HYPERLINK("https://mncourtfraud.com/file/MCRO_27-CR-20-5618_Order-Evaluation for Competency to Proceed (Rule 20.01)_2022-11-30_20251126181007.pdf","MCRO_27-CR-20-5618_Order-Evaluation for Competency to Proceed (Rule 20.01)_2022-11-30_20251126181007.pdf")</f>
        <v>MCRO_27-CR-20-5618_Order-Evaluation for Competency to Proceed (Rule 20.01)_2022-11-30_20251126181007.pdf</v>
      </c>
      <c r="H629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629" s="1" t="s">
        <v>3413</v>
      </c>
      <c r="J629" s="2" t="s">
        <v>3448</v>
      </c>
      <c r="K629" s="2" t="s">
        <v>3448</v>
      </c>
      <c r="L629" s="2" t="s">
        <v>3415</v>
      </c>
      <c r="M629" s="2" t="n">
        <v>916684</v>
      </c>
    </row>
    <row r="630" customFormat="false" ht="18.7" hidden="false" customHeight="true" outlineLevel="0" collapsed="false">
      <c r="A630" s="1" t="n">
        <v>629</v>
      </c>
      <c r="B630" s="7" t="str">
        <f aca="false">HYPERLINK("https://mncourtfraud.com/file/27-CR-20-5618.pdf","27-CR-20-5618")</f>
        <v>27-CR-20-5618</v>
      </c>
      <c r="C630" s="1" t="n">
        <v>1</v>
      </c>
      <c r="D630" s="2" t="s">
        <v>12</v>
      </c>
      <c r="E630" s="8" t="n">
        <v>44895</v>
      </c>
      <c r="F630" s="2" t="s">
        <v>15</v>
      </c>
      <c r="G630" s="7" t="str">
        <f aca="false">HYPERLINK("https://mncourtfraud.com/file/MCRO_27-CR-20-5618_Order-Evaluation for Competency to Proceed (Rule 20.01)_2022-11-30_20251126181007.pdf","MCRO_27-CR-20-5618_Order-Evaluation for Competency to Proceed (Rule 20.01)_2022-11-30_20251126181007.pdf")</f>
        <v>MCRO_27-CR-20-5618_Order-Evaluation for Competency to Proceed (Rule 20.01)_2022-11-30_20251126181007.pdf</v>
      </c>
      <c r="H630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630" s="1" t="s">
        <v>3406</v>
      </c>
      <c r="K630" s="2" t="s">
        <v>3425</v>
      </c>
      <c r="L630" s="2" t="s">
        <v>3408</v>
      </c>
      <c r="M630" s="2" t="n">
        <v>21225</v>
      </c>
      <c r="O630" s="2" t="s">
        <v>3409</v>
      </c>
      <c r="P630" s="2" t="s">
        <v>3410</v>
      </c>
      <c r="S630" s="2" t="n">
        <v>319</v>
      </c>
      <c r="T630" s="2" t="n">
        <v>105</v>
      </c>
    </row>
    <row r="631" customFormat="false" ht="18.7" hidden="false" customHeight="true" outlineLevel="0" collapsed="false">
      <c r="A631" s="1" t="n">
        <v>630</v>
      </c>
      <c r="B631" s="7" t="str">
        <f aca="false">HYPERLINK("https://mncourtfraud.com/file/27-CR-20-5618.pdf","27-CR-20-5618")</f>
        <v>27-CR-20-5618</v>
      </c>
      <c r="C631" s="1" t="n">
        <v>1</v>
      </c>
      <c r="D631" s="2" t="s">
        <v>12</v>
      </c>
      <c r="E631" s="8" t="n">
        <v>44895</v>
      </c>
      <c r="F631" s="2" t="s">
        <v>15</v>
      </c>
      <c r="G631" s="7" t="str">
        <f aca="false">HYPERLINK("https://mncourtfraud.com/file/MCRO_27-CR-20-5618_Order-Evaluation for Competency to Proceed (Rule 20.01)_2022-11-30_20251126181007.pdf","MCRO_27-CR-20-5618_Order-Evaluation for Competency to Proceed (Rule 20.01)_2022-11-30_20251126181007.pdf")</f>
        <v>MCRO_27-CR-20-5618_Order-Evaluation for Competency to Proceed (Rule 20.01)_2022-11-30_20251126181007.pdf</v>
      </c>
      <c r="H631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631" s="1" t="s">
        <v>3413</v>
      </c>
      <c r="J631" s="2" t="s">
        <v>3449</v>
      </c>
      <c r="K631" s="2" t="s">
        <v>3449</v>
      </c>
      <c r="L631" s="2" t="s">
        <v>3415</v>
      </c>
      <c r="M631" s="2" t="n">
        <v>124664</v>
      </c>
    </row>
    <row r="632" customFormat="false" ht="18.7" hidden="false" customHeight="true" outlineLevel="0" collapsed="false">
      <c r="A632" s="1" t="n">
        <v>631</v>
      </c>
      <c r="B632" s="7" t="str">
        <f aca="false">HYPERLINK("https://mncourtfraud.com/file/27-CR-20-5618.pdf","27-CR-20-5618")</f>
        <v>27-CR-20-5618</v>
      </c>
      <c r="C632" s="1" t="n">
        <v>1</v>
      </c>
      <c r="D632" s="2" t="s">
        <v>12</v>
      </c>
      <c r="E632" s="8" t="n">
        <v>44895</v>
      </c>
      <c r="F632" s="2" t="s">
        <v>15</v>
      </c>
      <c r="G632" s="7" t="str">
        <f aca="false">HYPERLINK("https://mncourtfraud.com/file/MCRO_27-CR-20-5618_Order-Evaluation for Competency to Proceed (Rule 20.01)_2022-11-30_20251126181007.pdf","MCRO_27-CR-20-5618_Order-Evaluation for Competency to Proceed (Rule 20.01)_2022-11-30_20251126181007.pdf")</f>
        <v>MCRO_27-CR-20-5618_Order-Evaluation for Competency to Proceed (Rule 20.01)_2022-11-30_20251126181007.pdf</v>
      </c>
      <c r="H632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632" s="1" t="s">
        <v>3413</v>
      </c>
      <c r="J632" s="2" t="s">
        <v>3449</v>
      </c>
      <c r="K632" s="2" t="s">
        <v>3449</v>
      </c>
      <c r="L632" s="2" t="s">
        <v>3415</v>
      </c>
      <c r="M632" s="2" t="n">
        <v>124664</v>
      </c>
    </row>
    <row r="633" customFormat="false" ht="18.7" hidden="false" customHeight="true" outlineLevel="0" collapsed="false">
      <c r="A633" s="1" t="n">
        <v>632</v>
      </c>
      <c r="B633" s="7" t="str">
        <f aca="false">HYPERLINK("https://mncourtfraud.com/file/27-CR-20-5618.pdf","27-CR-20-5618")</f>
        <v>27-CR-20-5618</v>
      </c>
      <c r="C633" s="1" t="n">
        <v>1</v>
      </c>
      <c r="D633" s="2" t="s">
        <v>12</v>
      </c>
      <c r="E633" s="8" t="n">
        <v>45048</v>
      </c>
      <c r="F633" s="2" t="s">
        <v>80</v>
      </c>
      <c r="G633" s="7" t="str">
        <f aca="false">HYPERLINK("https://mncourtfraud.com/file/MCRO_27-CR-20-5618_Finding of Incompetency and Order_2023-05-02_20251126180741.pdf","MCRO_27-CR-20-5618_Finding of Incompetency and Order_2023-05-02_20251126180741.pdf")</f>
        <v>MCRO_27-CR-20-5618_Finding of Incompetency and Order_2023-05-02_20251126180741.pdf</v>
      </c>
      <c r="H633" s="7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633" s="1" t="s">
        <v>3406</v>
      </c>
      <c r="L633" s="2" t="s">
        <v>3412</v>
      </c>
      <c r="M633" s="2" t="n">
        <v>3506</v>
      </c>
      <c r="S633" s="2" t="n">
        <v>1410</v>
      </c>
      <c r="T633" s="2" t="n">
        <v>150</v>
      </c>
    </row>
    <row r="634" customFormat="false" ht="18.7" hidden="false" customHeight="true" outlineLevel="0" collapsed="false">
      <c r="A634" s="1" t="n">
        <v>633</v>
      </c>
      <c r="B634" s="7" t="str">
        <f aca="false">HYPERLINK("https://mncourtfraud.com/file/27-CR-20-5618.pdf","27-CR-20-5618")</f>
        <v>27-CR-20-5618</v>
      </c>
      <c r="C634" s="1" t="n">
        <v>1</v>
      </c>
      <c r="D634" s="2" t="s">
        <v>12</v>
      </c>
      <c r="E634" s="8" t="n">
        <v>45048</v>
      </c>
      <c r="F634" s="2" t="s">
        <v>80</v>
      </c>
      <c r="G634" s="7" t="str">
        <f aca="false">HYPERLINK("https://mncourtfraud.com/file/MCRO_27-CR-20-5618_Finding of Incompetency and Order_2023-05-02_20251126180741.pdf","MCRO_27-CR-20-5618_Finding of Incompetency and Order_2023-05-02_20251126180741.pdf")</f>
        <v>MCRO_27-CR-20-5618_Finding of Incompetency and Order_2023-05-02_20251126180741.pdf</v>
      </c>
      <c r="H634" s="7" t="str">
        <f aca="false">HYPERLINK("https://mncourtfraud.com/file/18befca089509ee2fbaddf9c5b79bf5988523b22d2369743ed9a591b9fc3bdb6.ttf","18befca089509ee2fbaddf9c5b79bf5988523b22d2369743ed9a591b9fc3bdb6")</f>
        <v>18befca089509ee2fbaddf9c5b79bf5988523b22d2369743ed9a591b9fc3bdb6</v>
      </c>
      <c r="I634" s="1" t="s">
        <v>3413</v>
      </c>
      <c r="J634" s="2" t="s">
        <v>3421</v>
      </c>
      <c r="K634" s="2" t="s">
        <v>3450</v>
      </c>
      <c r="L634" s="2" t="s">
        <v>3415</v>
      </c>
      <c r="M634" s="2" t="n">
        <v>115928</v>
      </c>
    </row>
    <row r="635" customFormat="false" ht="18.7" hidden="false" customHeight="true" outlineLevel="0" collapsed="false">
      <c r="A635" s="1" t="n">
        <v>634</v>
      </c>
      <c r="B635" s="7" t="str">
        <f aca="false">HYPERLINK("https://mncourtfraud.com/file/27-CR-20-5618.pdf","27-CR-20-5618")</f>
        <v>27-CR-20-5618</v>
      </c>
      <c r="C635" s="1" t="n">
        <v>1</v>
      </c>
      <c r="D635" s="2" t="s">
        <v>12</v>
      </c>
      <c r="E635" s="8" t="n">
        <v>45048</v>
      </c>
      <c r="F635" s="2" t="s">
        <v>80</v>
      </c>
      <c r="G635" s="7" t="str">
        <f aca="false">HYPERLINK("https://mncourtfraud.com/file/MCRO_27-CR-20-5618_Finding of Incompetency and Order_2023-05-02_20251126180741.pdf","MCRO_27-CR-20-5618_Finding of Incompetency and Order_2023-05-02_20251126180741.pdf")</f>
        <v>MCRO_27-CR-20-5618_Finding of Incompetency and Order_2023-05-02_20251126180741.pdf</v>
      </c>
      <c r="H635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635" s="1" t="s">
        <v>3413</v>
      </c>
      <c r="J635" s="2" t="s">
        <v>3446</v>
      </c>
      <c r="K635" s="2" t="s">
        <v>3446</v>
      </c>
      <c r="L635" s="2" t="s">
        <v>3415</v>
      </c>
      <c r="M635" s="2" t="n">
        <v>55072</v>
      </c>
      <c r="N635" s="2" t="s">
        <v>3447</v>
      </c>
    </row>
    <row r="636" customFormat="false" ht="18.7" hidden="false" customHeight="true" outlineLevel="0" collapsed="false">
      <c r="A636" s="1" t="n">
        <v>635</v>
      </c>
      <c r="B636" s="7" t="str">
        <f aca="false">HYPERLINK("https://mncourtfraud.com/file/27-CR-20-5618.pdf","27-CR-20-5618")</f>
        <v>27-CR-20-5618</v>
      </c>
      <c r="C636" s="1" t="n">
        <v>1</v>
      </c>
      <c r="D636" s="2" t="s">
        <v>12</v>
      </c>
      <c r="E636" s="8" t="n">
        <v>45048</v>
      </c>
      <c r="F636" s="2" t="s">
        <v>80</v>
      </c>
      <c r="G636" s="7" t="str">
        <f aca="false">HYPERLINK("https://mncourtfraud.com/file/MCRO_27-CR-20-5618_Finding of Incompetency and Order_2023-05-02_20251126180741.pdf","MCRO_27-CR-20-5618_Finding of Incompetency and Order_2023-05-02_20251126180741.pdf")</f>
        <v>MCRO_27-CR-20-5618_Finding of Incompetency and Order_2023-05-02_20251126180741.pdf</v>
      </c>
      <c r="H636" s="7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636" s="1" t="s">
        <v>3406</v>
      </c>
      <c r="K636" s="2" t="s">
        <v>3451</v>
      </c>
      <c r="L636" s="2" t="s">
        <v>3408</v>
      </c>
      <c r="M636" s="2" t="n">
        <v>5295</v>
      </c>
      <c r="O636" s="2" t="s">
        <v>3452</v>
      </c>
      <c r="P636" s="2" t="s">
        <v>3410</v>
      </c>
      <c r="S636" s="2" t="n">
        <v>833</v>
      </c>
      <c r="T636" s="2" t="n">
        <v>186</v>
      </c>
    </row>
    <row r="637" customFormat="false" ht="18.7" hidden="false" customHeight="true" outlineLevel="0" collapsed="false">
      <c r="A637" s="1" t="n">
        <v>636</v>
      </c>
      <c r="B637" s="7" t="str">
        <f aca="false">HYPERLINK("https://mncourtfraud.com/file/27-CR-20-5618.pdf","27-CR-20-5618")</f>
        <v>27-CR-20-5618</v>
      </c>
      <c r="C637" s="1" t="n">
        <v>1</v>
      </c>
      <c r="D637" s="2" t="s">
        <v>12</v>
      </c>
      <c r="E637" s="8" t="n">
        <v>45048</v>
      </c>
      <c r="F637" s="2" t="s">
        <v>80</v>
      </c>
      <c r="G637" s="7" t="str">
        <f aca="false">HYPERLINK("https://mncourtfraud.com/file/MCRO_27-CR-20-5618_Finding of Incompetency and Order_2023-05-02_20251126180741.pdf","MCRO_27-CR-20-5618_Finding of Incompetency and Order_2023-05-02_20251126180741.pdf")</f>
        <v>MCRO_27-CR-20-5618_Finding of Incompetency and Order_2023-05-02_20251126180741.pdf</v>
      </c>
      <c r="H637" s="7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637" s="1" t="s">
        <v>3406</v>
      </c>
      <c r="K637" s="2" t="s">
        <v>3453</v>
      </c>
      <c r="L637" s="2" t="s">
        <v>3408</v>
      </c>
      <c r="M637" s="2" t="n">
        <v>3442</v>
      </c>
      <c r="O637" s="2" t="s">
        <v>3454</v>
      </c>
      <c r="P637" s="2" t="s">
        <v>3410</v>
      </c>
      <c r="S637" s="2" t="n">
        <v>857</v>
      </c>
      <c r="T637" s="2" t="n">
        <v>184</v>
      </c>
    </row>
    <row r="638" customFormat="false" ht="18.7" hidden="false" customHeight="true" outlineLevel="0" collapsed="false">
      <c r="A638" s="1" t="n">
        <v>637</v>
      </c>
      <c r="B638" s="7" t="str">
        <f aca="false">HYPERLINK("https://mncourtfraud.com/file/27-CR-20-5618.pdf","27-CR-20-5618")</f>
        <v>27-CR-20-5618</v>
      </c>
      <c r="C638" s="1" t="n">
        <v>1</v>
      </c>
      <c r="D638" s="2" t="s">
        <v>12</v>
      </c>
      <c r="E638" s="8" t="n">
        <v>45048</v>
      </c>
      <c r="F638" s="2" t="s">
        <v>80</v>
      </c>
      <c r="G638" s="7" t="str">
        <f aca="false">HYPERLINK("https://mncourtfraud.com/file/MCRO_27-CR-20-5618_Finding of Incompetency and Order_2023-05-02_20251126180741.pdf","MCRO_27-CR-20-5618_Finding of Incompetency and Order_2023-05-02_20251126180741.pdf")</f>
        <v>MCRO_27-CR-20-5618_Finding of Incompetency and Order_2023-05-02_20251126180741.pdf</v>
      </c>
      <c r="H638" s="7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638" s="1" t="s">
        <v>3406</v>
      </c>
      <c r="L638" s="2" t="s">
        <v>3412</v>
      </c>
      <c r="M638" s="2" t="n">
        <v>3824</v>
      </c>
      <c r="S638" s="2" t="n">
        <v>1850</v>
      </c>
      <c r="T638" s="2" t="n">
        <v>160</v>
      </c>
    </row>
    <row r="639" customFormat="false" ht="18.7" hidden="false" customHeight="true" outlineLevel="0" collapsed="false">
      <c r="A639" s="1" t="n">
        <v>638</v>
      </c>
      <c r="B639" s="7" t="str">
        <f aca="false">HYPERLINK("https://mncourtfraud.com/file/27-CR-20-5618.pdf","27-CR-20-5618")</f>
        <v>27-CR-20-5618</v>
      </c>
      <c r="C639" s="1" t="n">
        <v>1</v>
      </c>
      <c r="D639" s="2" t="s">
        <v>12</v>
      </c>
      <c r="E639" s="8" t="n">
        <v>45048</v>
      </c>
      <c r="F639" s="2" t="s">
        <v>80</v>
      </c>
      <c r="G639" s="7" t="str">
        <f aca="false">HYPERLINK("https://mncourtfraud.com/file/MCRO_27-CR-20-5618_Finding of Incompetency and Order_2023-05-02_20251126180741.pdf","MCRO_27-CR-20-5618_Finding of Incompetency and Order_2023-05-02_20251126180741.pdf")</f>
        <v>MCRO_27-CR-20-5618_Finding of Incompetency and Order_2023-05-02_20251126180741.pdf</v>
      </c>
      <c r="H639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639" s="1" t="s">
        <v>3413</v>
      </c>
      <c r="J639" s="2" t="s">
        <v>3448</v>
      </c>
      <c r="K639" s="2" t="s">
        <v>3448</v>
      </c>
      <c r="L639" s="2" t="s">
        <v>3415</v>
      </c>
      <c r="M639" s="2" t="n">
        <v>916684</v>
      </c>
    </row>
    <row r="640" customFormat="false" ht="18.7" hidden="false" customHeight="true" outlineLevel="0" collapsed="false">
      <c r="A640" s="1" t="n">
        <v>639</v>
      </c>
      <c r="B640" s="7" t="str">
        <f aca="false">HYPERLINK("https://mncourtfraud.com/file/27-CR-20-5618.pdf","27-CR-20-5618")</f>
        <v>27-CR-20-5618</v>
      </c>
      <c r="C640" s="1" t="n">
        <v>1</v>
      </c>
      <c r="D640" s="2" t="s">
        <v>12</v>
      </c>
      <c r="E640" s="8" t="n">
        <v>45093</v>
      </c>
      <c r="F640" s="2" t="s">
        <v>82</v>
      </c>
      <c r="G640" s="7" t="str">
        <f aca="false">HYPERLINK("https://mncourtfraud.com/file/MCRO_27-CR-20-5618_Notice of Case Reassignment_2023-06-16_20251126180834.pdf","MCRO_27-CR-20-5618_Notice of Case Reassignment_2023-06-16_20251126180834.pdf")</f>
        <v>MCRO_27-CR-20-5618_Notice of Case Reassignment_2023-06-16_20251126180834.pdf</v>
      </c>
      <c r="H640" s="7" t="str">
        <f aca="false">HYPERLINK("https://mncourtfraud.com/file/1fd1136a5ae69c0e5068fedf111533c283fb06da71a1aebe96b41cad9a15bb33.ttf","1fd1136a5ae69c0e5068fedf111533c283fb06da71a1aebe96b41cad9a15bb33")</f>
        <v>1fd1136a5ae69c0e5068fedf111533c283fb06da71a1aebe96b41cad9a15bb33</v>
      </c>
      <c r="I640" s="1" t="s">
        <v>3413</v>
      </c>
      <c r="J640" s="2" t="s">
        <v>3455</v>
      </c>
      <c r="K640" s="2" t="s">
        <v>3455</v>
      </c>
      <c r="L640" s="2" t="s">
        <v>3415</v>
      </c>
      <c r="M640" s="2" t="n">
        <v>96348</v>
      </c>
      <c r="N640" s="2" t="s">
        <v>3456</v>
      </c>
    </row>
    <row r="641" customFormat="false" ht="18.7" hidden="false" customHeight="true" outlineLevel="0" collapsed="false">
      <c r="A641" s="1" t="n">
        <v>640</v>
      </c>
      <c r="B641" s="7" t="str">
        <f aca="false">HYPERLINK("https://mncourtfraud.com/file/27-CR-20-5618.pdf","27-CR-20-5618")</f>
        <v>27-CR-20-5618</v>
      </c>
      <c r="C641" s="1" t="n">
        <v>1</v>
      </c>
      <c r="D641" s="2" t="s">
        <v>12</v>
      </c>
      <c r="E641" s="8" t="n">
        <v>45093</v>
      </c>
      <c r="F641" s="2" t="s">
        <v>82</v>
      </c>
      <c r="G641" s="7" t="str">
        <f aca="false">HYPERLINK("https://mncourtfraud.com/file/MCRO_27-CR-20-5618_Notice of Case Reassignment_2023-06-16_20251126180834.pdf","MCRO_27-CR-20-5618_Notice of Case Reassignment_2023-06-16_20251126180834.pdf")</f>
        <v>MCRO_27-CR-20-5618_Notice of Case Reassignment_2023-06-16_20251126180834.pdf</v>
      </c>
      <c r="H641" s="7" t="str">
        <f aca="false">HYPERLINK("https://mncourtfraud.com/file/4b0b043cb476134a2e47a5f4c233d3d0f7a52a3b063b8831356383f89fcd1118.ttf","4b0b043cb476134a2e47a5f4c233d3d0f7a52a3b063b8831356383f89fcd1118")</f>
        <v>4b0b043cb476134a2e47a5f4c233d3d0f7a52a3b063b8831356383f89fcd1118</v>
      </c>
      <c r="I641" s="1" t="s">
        <v>3413</v>
      </c>
      <c r="J641" s="2" t="s">
        <v>3457</v>
      </c>
      <c r="K641" s="2" t="s">
        <v>3457</v>
      </c>
      <c r="L641" s="2" t="s">
        <v>3415</v>
      </c>
      <c r="M641" s="2" t="n">
        <v>79764</v>
      </c>
      <c r="N641" s="2" t="s">
        <v>3458</v>
      </c>
    </row>
    <row r="642" customFormat="false" ht="18.7" hidden="false" customHeight="true" outlineLevel="0" collapsed="false">
      <c r="A642" s="1" t="n">
        <v>641</v>
      </c>
      <c r="B642" s="7" t="str">
        <f aca="false">HYPERLINK("https://mncourtfraud.com/file/27-CR-20-5618.pdf","27-CR-20-5618")</f>
        <v>27-CR-20-5618</v>
      </c>
      <c r="C642" s="1" t="n">
        <v>1</v>
      </c>
      <c r="D642" s="2" t="s">
        <v>12</v>
      </c>
      <c r="E642" s="8" t="n">
        <v>45160</v>
      </c>
      <c r="F642" s="2" t="s">
        <v>15</v>
      </c>
      <c r="G642" s="7" t="str">
        <f aca="false">HYPERLINK("https://mncourtfraud.com/file/MCRO_27-CR-20-5618_Order-Evaluation for Competency to Proceed (Rule 20.01)_2023-08-22_20251126181021.pdf","MCRO_27-CR-20-5618_Order-Evaluation for Competency to Proceed (Rule 20.01)_2023-08-22_20251126181021.pdf")</f>
        <v>MCRO_27-CR-20-5618_Order-Evaluation for Competency to Proceed (Rule 20.01)_2023-08-22_20251126181021.pdf</v>
      </c>
      <c r="H642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642" s="1" t="s">
        <v>3413</v>
      </c>
      <c r="J642" s="2" t="s">
        <v>3449</v>
      </c>
      <c r="K642" s="2" t="s">
        <v>3449</v>
      </c>
      <c r="L642" s="2" t="s">
        <v>3415</v>
      </c>
      <c r="M642" s="2" t="n">
        <v>125504</v>
      </c>
    </row>
    <row r="643" customFormat="false" ht="18.7" hidden="false" customHeight="true" outlineLevel="0" collapsed="false">
      <c r="A643" s="1" t="n">
        <v>642</v>
      </c>
      <c r="B643" s="7" t="str">
        <f aca="false">HYPERLINK("https://mncourtfraud.com/file/27-CR-20-5618.pdf","27-CR-20-5618")</f>
        <v>27-CR-20-5618</v>
      </c>
      <c r="C643" s="1" t="n">
        <v>1</v>
      </c>
      <c r="D643" s="2" t="s">
        <v>12</v>
      </c>
      <c r="E643" s="8" t="n">
        <v>45160</v>
      </c>
      <c r="F643" s="2" t="s">
        <v>15</v>
      </c>
      <c r="G643" s="7" t="str">
        <f aca="false">HYPERLINK("https://mncourtfraud.com/file/MCRO_27-CR-20-5618_Order-Evaluation for Competency to Proceed (Rule 20.01)_2023-08-22_20251126181021.pdf","MCRO_27-CR-20-5618_Order-Evaluation for Competency to Proceed (Rule 20.01)_2023-08-22_20251126181021.pdf")</f>
        <v>MCRO_27-CR-20-5618_Order-Evaluation for Competency to Proceed (Rule 20.01)_2023-08-22_20251126181021.pdf</v>
      </c>
      <c r="H643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643" s="1" t="s">
        <v>3413</v>
      </c>
      <c r="J643" s="2" t="s">
        <v>3449</v>
      </c>
      <c r="K643" s="2" t="s">
        <v>3449</v>
      </c>
      <c r="L643" s="2" t="s">
        <v>3415</v>
      </c>
      <c r="M643" s="2" t="n">
        <v>125504</v>
      </c>
    </row>
    <row r="644" customFormat="false" ht="18.7" hidden="false" customHeight="true" outlineLevel="0" collapsed="false">
      <c r="A644" s="1" t="n">
        <v>643</v>
      </c>
      <c r="B644" s="7" t="str">
        <f aca="false">HYPERLINK("https://mncourtfraud.com/file/27-CR-20-5618.pdf","27-CR-20-5618")</f>
        <v>27-CR-20-5618</v>
      </c>
      <c r="C644" s="1" t="n">
        <v>1</v>
      </c>
      <c r="D644" s="2" t="s">
        <v>12</v>
      </c>
      <c r="E644" s="8" t="n">
        <v>45160</v>
      </c>
      <c r="F644" s="2" t="s">
        <v>15</v>
      </c>
      <c r="G644" s="7" t="str">
        <f aca="false">HYPERLINK("https://mncourtfraud.com/file/MCRO_27-CR-20-5618_Order-Evaluation for Competency to Proceed (Rule 20.01)_2023-08-22_20251126181021.pdf","MCRO_27-CR-20-5618_Order-Evaluation for Competency to Proceed (Rule 20.01)_2023-08-22_20251126181021.pdf")</f>
        <v>MCRO_27-CR-20-5618_Order-Evaluation for Competency to Proceed (Rule 20.01)_2023-08-22_20251126181021.pdf</v>
      </c>
      <c r="H644" s="7" t="str">
        <f aca="false">HYPERLINK("https://mncourtfraud.com/file/0174a154b1dd2c8824c0108a525fa6ced84bf8b7d2fc9696a847700a4f83bb3b.ttf","0174a154b1dd2c8824c0108a525fa6ced84bf8b7d2fc9696a847700a4f83bb3b")</f>
        <v>0174a154b1dd2c8824c0108a525fa6ced84bf8b7d2fc9696a847700a4f83bb3b</v>
      </c>
      <c r="I644" s="1" t="s">
        <v>3413</v>
      </c>
      <c r="J644" s="2" t="s">
        <v>3422</v>
      </c>
      <c r="K644" s="2" t="s">
        <v>3422</v>
      </c>
      <c r="L644" s="2" t="s">
        <v>3415</v>
      </c>
      <c r="M644" s="2" t="n">
        <v>101216</v>
      </c>
    </row>
    <row r="645" customFormat="false" ht="18.7" hidden="false" customHeight="true" outlineLevel="0" collapsed="false">
      <c r="A645" s="1" t="n">
        <v>644</v>
      </c>
      <c r="B645" s="7" t="str">
        <f aca="false">HYPERLINK("https://mncourtfraud.com/file/27-CR-20-5618.pdf","27-CR-20-5618")</f>
        <v>27-CR-20-5618</v>
      </c>
      <c r="C645" s="1" t="n">
        <v>1</v>
      </c>
      <c r="D645" s="2" t="s">
        <v>12</v>
      </c>
      <c r="E645" s="8" t="n">
        <v>45160</v>
      </c>
      <c r="F645" s="2" t="s">
        <v>15</v>
      </c>
      <c r="G645" s="7" t="str">
        <f aca="false">HYPERLINK("https://mncourtfraud.com/file/MCRO_27-CR-20-5618_Order-Evaluation for Competency to Proceed (Rule 20.01)_2023-08-22_20251126181021.pdf","MCRO_27-CR-20-5618_Order-Evaluation for Competency to Proceed (Rule 20.01)_2023-08-22_20251126181021.pdf")</f>
        <v>MCRO_27-CR-20-5618_Order-Evaluation for Competency to Proceed (Rule 20.01)_2023-08-22_20251126181021.pdf</v>
      </c>
      <c r="H645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645" s="1" t="s">
        <v>3413</v>
      </c>
      <c r="J645" s="2" t="s">
        <v>3423</v>
      </c>
      <c r="K645" s="2" t="s">
        <v>3423</v>
      </c>
      <c r="L645" s="2" t="s">
        <v>3415</v>
      </c>
      <c r="M645" s="2" t="n">
        <v>11088</v>
      </c>
    </row>
    <row r="646" customFormat="false" ht="18.7" hidden="false" customHeight="true" outlineLevel="0" collapsed="false">
      <c r="A646" s="1" t="n">
        <v>645</v>
      </c>
      <c r="B646" s="7" t="str">
        <f aca="false">HYPERLINK("https://mncourtfraud.com/file/27-CR-20-5618.pdf","27-CR-20-5618")</f>
        <v>27-CR-20-5618</v>
      </c>
      <c r="C646" s="1" t="n">
        <v>1</v>
      </c>
      <c r="D646" s="2" t="s">
        <v>12</v>
      </c>
      <c r="E646" s="8" t="n">
        <v>45160</v>
      </c>
      <c r="F646" s="2" t="s">
        <v>15</v>
      </c>
      <c r="G646" s="7" t="str">
        <f aca="false">HYPERLINK("https://mncourtfraud.com/file/MCRO_27-CR-20-5618_Order-Evaluation for Competency to Proceed (Rule 20.01)_2023-08-22_20251126181021.pdf","MCRO_27-CR-20-5618_Order-Evaluation for Competency to Proceed (Rule 20.01)_2023-08-22_20251126181021.pdf")</f>
        <v>MCRO_27-CR-20-5618_Order-Evaluation for Competency to Proceed (Rule 20.01)_2023-08-22_20251126181021.pdf</v>
      </c>
      <c r="H646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646" s="1" t="s">
        <v>3413</v>
      </c>
      <c r="J646" s="2" t="s">
        <v>3446</v>
      </c>
      <c r="K646" s="2" t="s">
        <v>3446</v>
      </c>
      <c r="L646" s="2" t="s">
        <v>3415</v>
      </c>
      <c r="M646" s="2" t="n">
        <v>55072</v>
      </c>
      <c r="N646" s="2" t="s">
        <v>3447</v>
      </c>
    </row>
    <row r="647" customFormat="false" ht="18.7" hidden="false" customHeight="true" outlineLevel="0" collapsed="false">
      <c r="A647" s="1" t="n">
        <v>646</v>
      </c>
      <c r="B647" s="7" t="str">
        <f aca="false">HYPERLINK("https://mncourtfraud.com/file/27-CR-20-5618.pdf","27-CR-20-5618")</f>
        <v>27-CR-20-5618</v>
      </c>
      <c r="C647" s="1" t="n">
        <v>1</v>
      </c>
      <c r="D647" s="2" t="s">
        <v>12</v>
      </c>
      <c r="E647" s="8" t="n">
        <v>45160</v>
      </c>
      <c r="F647" s="2" t="s">
        <v>15</v>
      </c>
      <c r="G647" s="7" t="str">
        <f aca="false">HYPERLINK("https://mncourtfraud.com/file/MCRO_27-CR-20-5618_Order-Evaluation for Competency to Proceed (Rule 20.01)_2023-08-22_20251126181021.pdf","MCRO_27-CR-20-5618_Order-Evaluation for Competency to Proceed (Rule 20.01)_2023-08-22_20251126181021.pdf")</f>
        <v>MCRO_27-CR-20-5618_Order-Evaluation for Competency to Proceed (Rule 20.01)_2023-08-22_20251126181021.pdf</v>
      </c>
      <c r="H647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647" s="1" t="s">
        <v>3413</v>
      </c>
      <c r="J647" s="2" t="s">
        <v>3424</v>
      </c>
      <c r="K647" s="2" t="s">
        <v>3424</v>
      </c>
      <c r="L647" s="2" t="s">
        <v>3415</v>
      </c>
      <c r="M647" s="2" t="n">
        <v>14252</v>
      </c>
    </row>
    <row r="648" customFormat="false" ht="18.7" hidden="false" customHeight="true" outlineLevel="0" collapsed="false">
      <c r="A648" s="1" t="n">
        <v>647</v>
      </c>
      <c r="B648" s="7" t="str">
        <f aca="false">HYPERLINK("https://mncourtfraud.com/file/27-CR-20-5618.pdf","27-CR-20-5618")</f>
        <v>27-CR-20-5618</v>
      </c>
      <c r="C648" s="1" t="n">
        <v>1</v>
      </c>
      <c r="D648" s="2" t="s">
        <v>12</v>
      </c>
      <c r="E648" s="8" t="n">
        <v>45160</v>
      </c>
      <c r="F648" s="2" t="s">
        <v>15</v>
      </c>
      <c r="G648" s="7" t="str">
        <f aca="false">HYPERLINK("https://mncourtfraud.com/file/MCRO_27-CR-20-5618_Order-Evaluation for Competency to Proceed (Rule 20.01)_2023-08-22_20251126181021.pdf","MCRO_27-CR-20-5618_Order-Evaluation for Competency to Proceed (Rule 20.01)_2023-08-22_20251126181021.pdf")</f>
        <v>MCRO_27-CR-20-5618_Order-Evaluation for Competency to Proceed (Rule 20.01)_2023-08-22_20251126181021.pdf</v>
      </c>
      <c r="H648" s="7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648" s="1" t="s">
        <v>3406</v>
      </c>
      <c r="L648" s="2" t="s">
        <v>3412</v>
      </c>
      <c r="M648" s="2" t="n">
        <v>5012</v>
      </c>
      <c r="S648" s="2" t="n">
        <v>2740</v>
      </c>
      <c r="T648" s="2" t="n">
        <v>180</v>
      </c>
    </row>
    <row r="649" customFormat="false" ht="18.7" hidden="false" customHeight="true" outlineLevel="0" collapsed="false">
      <c r="A649" s="1" t="n">
        <v>648</v>
      </c>
      <c r="B649" s="7" t="str">
        <f aca="false">HYPERLINK("https://mncourtfraud.com/file/27-CR-20-5618.pdf","27-CR-20-5618")</f>
        <v>27-CR-20-5618</v>
      </c>
      <c r="C649" s="1" t="n">
        <v>1</v>
      </c>
      <c r="D649" s="2" t="s">
        <v>12</v>
      </c>
      <c r="E649" s="8" t="n">
        <v>45160</v>
      </c>
      <c r="F649" s="2" t="s">
        <v>15</v>
      </c>
      <c r="G649" s="7" t="str">
        <f aca="false">HYPERLINK("https://mncourtfraud.com/file/MCRO_27-CR-20-5618_Order-Evaluation for Competency to Proceed (Rule 20.01)_2023-08-22_20251126181021.pdf","MCRO_27-CR-20-5618_Order-Evaluation for Competency to Proceed (Rule 20.01)_2023-08-22_20251126181021.pdf")</f>
        <v>MCRO_27-CR-20-5618_Order-Evaluation for Competency to Proceed (Rule 20.01)_2023-08-22_20251126181021.pdf</v>
      </c>
      <c r="H649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649" s="1" t="s">
        <v>3413</v>
      </c>
      <c r="J649" s="2" t="s">
        <v>3448</v>
      </c>
      <c r="K649" s="2" t="s">
        <v>3448</v>
      </c>
      <c r="L649" s="2" t="s">
        <v>3415</v>
      </c>
      <c r="M649" s="2" t="n">
        <v>916684</v>
      </c>
    </row>
    <row r="650" customFormat="false" ht="18.7" hidden="false" customHeight="true" outlineLevel="0" collapsed="false">
      <c r="A650" s="1" t="n">
        <v>649</v>
      </c>
      <c r="B650" s="7" t="str">
        <f aca="false">HYPERLINK("https://mncourtfraud.com/file/27-CR-20-5618.pdf","27-CR-20-5618")</f>
        <v>27-CR-20-5618</v>
      </c>
      <c r="C650" s="1" t="n">
        <v>1</v>
      </c>
      <c r="D650" s="2" t="s">
        <v>12</v>
      </c>
      <c r="E650" s="8" t="n">
        <v>45160</v>
      </c>
      <c r="F650" s="2" t="s">
        <v>15</v>
      </c>
      <c r="G650" s="7" t="str">
        <f aca="false">HYPERLINK("https://mncourtfraud.com/file/MCRO_27-CR-20-5618_Order-Evaluation for Competency to Proceed (Rule 20.01)_2023-08-22_20251126181021.pdf","MCRO_27-CR-20-5618_Order-Evaluation for Competency to Proceed (Rule 20.01)_2023-08-22_20251126181021.pdf")</f>
        <v>MCRO_27-CR-20-5618_Order-Evaluation for Competency to Proceed (Rule 20.01)_2023-08-22_20251126181021.pdf</v>
      </c>
      <c r="H650" s="7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650" s="1" t="s">
        <v>3406</v>
      </c>
      <c r="K650" s="2" t="s">
        <v>3459</v>
      </c>
      <c r="L650" s="2" t="s">
        <v>3408</v>
      </c>
      <c r="M650" s="2" t="n">
        <v>5220</v>
      </c>
      <c r="O650" s="2" t="s">
        <v>3460</v>
      </c>
      <c r="P650" s="2" t="s">
        <v>3410</v>
      </c>
      <c r="S650" s="2" t="n">
        <v>881</v>
      </c>
      <c r="T650" s="2" t="n">
        <v>216</v>
      </c>
    </row>
    <row r="651" customFormat="false" ht="18.7" hidden="false" customHeight="true" outlineLevel="0" collapsed="false">
      <c r="A651" s="1" t="n">
        <v>650</v>
      </c>
      <c r="B651" s="7" t="str">
        <f aca="false">HYPERLINK("https://mncourtfraud.com/file/27-CR-20-693.pdf","27-CR-20-693")</f>
        <v>27-CR-20-693</v>
      </c>
      <c r="C651" s="1" t="n">
        <v>1</v>
      </c>
      <c r="D651" s="2" t="s">
        <v>12</v>
      </c>
      <c r="E651" s="8" t="n">
        <v>43844</v>
      </c>
      <c r="F651" s="2" t="s">
        <v>13</v>
      </c>
      <c r="G651" s="7" t="str">
        <f aca="false">HYPERLINK("https://mncourtfraud.com/file/MCRO_27-CR-20-693_Find of Fact-Order, Pet Commitment-Dfd Found Incompetent_2020-01-14_20251126181126.pdf","MCRO_27-CR-20-693_Find of Fact-Order, Pet Commitment-Dfd Found Incompetent_2020-01-14_20251126181126.pdf")</f>
        <v>MCRO_27-CR-20-693_Find of Fact-Order, Pet Commitment-Dfd Found Incompetent_2020-01-14_20251126181126.pdf</v>
      </c>
      <c r="H651" s="7" t="str">
        <f aca="false">HYPERLINK("https://mncourtfraud.com/file/350ddf62c48ced6e54e313834eab69eb8202f31b56b93be3090612a901b85e01.png","350ddf62c48ced6e54e313834eab69eb8202f31b56b93be3090612a901b85e01")</f>
        <v>350ddf62c48ced6e54e313834eab69eb8202f31b56b93be3090612a901b85e01</v>
      </c>
      <c r="I651" s="1" t="s">
        <v>3406</v>
      </c>
      <c r="K651" s="2" t="s">
        <v>3407</v>
      </c>
      <c r="L651" s="2" t="s">
        <v>3408</v>
      </c>
      <c r="M651" s="2" t="n">
        <v>12893</v>
      </c>
      <c r="O651" s="2" t="s">
        <v>3409</v>
      </c>
      <c r="P651" s="2" t="s">
        <v>3410</v>
      </c>
      <c r="S651" s="2" t="n">
        <v>782</v>
      </c>
      <c r="T651" s="2" t="n">
        <v>300</v>
      </c>
    </row>
    <row r="652" customFormat="false" ht="18.7" hidden="false" customHeight="true" outlineLevel="0" collapsed="false">
      <c r="A652" s="1" t="n">
        <v>651</v>
      </c>
      <c r="B652" s="7" t="str">
        <f aca="false">HYPERLINK("https://mncourtfraud.com/file/27-CR-20-693.pdf","27-CR-20-693")</f>
        <v>27-CR-20-693</v>
      </c>
      <c r="C652" s="1" t="n">
        <v>1</v>
      </c>
      <c r="D652" s="2" t="s">
        <v>12</v>
      </c>
      <c r="E652" s="8" t="n">
        <v>43844</v>
      </c>
      <c r="F652" s="2" t="s">
        <v>13</v>
      </c>
      <c r="G652" s="7" t="str">
        <f aca="false">HYPERLINK("https://mncourtfraud.com/file/MCRO_27-CR-20-693_Find of Fact-Order, Pet Commitment-Dfd Found Incompetent_2020-01-14_20251126181126.pdf","MCRO_27-CR-20-693_Find of Fact-Order, Pet Commitment-Dfd Found Incompetent_2020-01-14_20251126181126.pdf")</f>
        <v>MCRO_27-CR-20-693_Find of Fact-Order, Pet Commitment-Dfd Found Incompetent_2020-01-14_20251126181126.pdf</v>
      </c>
      <c r="H652" s="7" t="str">
        <f aca="false">HYPERLINK("https://mncourtfraud.com/file/75e21fa9a9bdc384542bd50e00c9b7f4860cc0b38dfe58cd2d38855996a77889.png","75e21fa9a9bdc384542bd50e00c9b7f4860cc0b38dfe58cd2d38855996a77889")</f>
        <v>75e21fa9a9bdc384542bd50e00c9b7f4860cc0b38dfe58cd2d38855996a77889</v>
      </c>
      <c r="I652" s="1" t="s">
        <v>3406</v>
      </c>
      <c r="K652" s="2" t="s">
        <v>3411</v>
      </c>
      <c r="L652" s="2" t="s">
        <v>3412</v>
      </c>
      <c r="M652" s="2" t="n">
        <v>1341</v>
      </c>
      <c r="S652" s="2" t="n">
        <v>782</v>
      </c>
      <c r="T652" s="2" t="n">
        <v>300</v>
      </c>
    </row>
    <row r="653" customFormat="false" ht="18.7" hidden="false" customHeight="true" outlineLevel="0" collapsed="false">
      <c r="A653" s="1" t="n">
        <v>652</v>
      </c>
      <c r="B653" s="7" t="str">
        <f aca="false">HYPERLINK("https://mncourtfraud.com/file/27-CR-20-693.pdf","27-CR-20-693")</f>
        <v>27-CR-20-693</v>
      </c>
      <c r="C653" s="1" t="n">
        <v>1</v>
      </c>
      <c r="D653" s="2" t="s">
        <v>12</v>
      </c>
      <c r="E653" s="8" t="n">
        <v>43844</v>
      </c>
      <c r="F653" s="2" t="s">
        <v>13</v>
      </c>
      <c r="G653" s="7" t="str">
        <f aca="false">HYPERLINK("https://mncourtfraud.com/file/MCRO_27-CR-20-693_Find of Fact-Order, Pet Commitment-Dfd Found Incompetent_2020-01-14_20251126181126.pdf","MCRO_27-CR-20-693_Find of Fact-Order, Pet Commitment-Dfd Found Incompetent_2020-01-14_20251126181126.pdf")</f>
        <v>MCRO_27-CR-20-693_Find of Fact-Order, Pet Commitment-Dfd Found Incompetent_2020-01-14_20251126181126.pdf</v>
      </c>
      <c r="H653" s="7" t="str">
        <f aca="false">HYPERLINK("https://mncourtfraud.com/file/95e6865b2beecf994b6b3b3be604e2d4cce8ab9b21659c9bcdb841e9cac71015.ttf","95e6865b2beecf994b6b3b3be604e2d4cce8ab9b21659c9bcdb841e9cac71015")</f>
        <v>95e6865b2beecf994b6b3b3be604e2d4cce8ab9b21659c9bcdb841e9cac71015</v>
      </c>
      <c r="I653" s="1" t="s">
        <v>3413</v>
      </c>
      <c r="J653" s="2" t="s">
        <v>3414</v>
      </c>
      <c r="K653" s="2" t="s">
        <v>3414</v>
      </c>
      <c r="L653" s="2" t="s">
        <v>3415</v>
      </c>
      <c r="M653" s="2" t="n">
        <v>64488</v>
      </c>
    </row>
    <row r="654" customFormat="false" ht="18.7" hidden="false" customHeight="true" outlineLevel="0" collapsed="false">
      <c r="A654" s="1" t="n">
        <v>653</v>
      </c>
      <c r="B654" s="7" t="str">
        <f aca="false">HYPERLINK("https://mncourtfraud.com/file/27-CR-20-693.pdf","27-CR-20-693")</f>
        <v>27-CR-20-693</v>
      </c>
      <c r="C654" s="1" t="n">
        <v>1</v>
      </c>
      <c r="D654" s="2" t="s">
        <v>12</v>
      </c>
      <c r="E654" s="8" t="n">
        <v>43844</v>
      </c>
      <c r="F654" s="2" t="s">
        <v>13</v>
      </c>
      <c r="G654" s="7" t="str">
        <f aca="false">HYPERLINK("https://mncourtfraud.com/file/MCRO_27-CR-20-693_Find of Fact-Order, Pet Commitment-Dfd Found Incompetent_2020-01-14_20251126181126.pdf","MCRO_27-CR-20-693_Find of Fact-Order, Pet Commitment-Dfd Found Incompetent_2020-01-14_20251126181126.pdf")</f>
        <v>MCRO_27-CR-20-693_Find of Fact-Order, Pet Commitment-Dfd Found Incompetent_2020-01-14_20251126181126.pdf</v>
      </c>
      <c r="H654" s="7" t="str">
        <f aca="false">HYPERLINK("https://mncourtfraud.com/file/d85226137c53579f37f2c87321a4ff209a309a82330591d9457774d7d697befc.ttf","d85226137c53579f37f2c87321a4ff209a309a82330591d9457774d7d697befc")</f>
        <v>d85226137c53579f37f2c87321a4ff209a309a82330591d9457774d7d697befc</v>
      </c>
      <c r="I654" s="1" t="s">
        <v>3413</v>
      </c>
      <c r="J654" s="2" t="s">
        <v>3414</v>
      </c>
      <c r="K654" s="2" t="s">
        <v>3416</v>
      </c>
      <c r="L654" s="2" t="s">
        <v>3415</v>
      </c>
      <c r="M654" s="2" t="n">
        <v>49992</v>
      </c>
    </row>
    <row r="655" customFormat="false" ht="18.7" hidden="false" customHeight="true" outlineLevel="0" collapsed="false">
      <c r="A655" s="1" t="n">
        <v>654</v>
      </c>
      <c r="B655" s="7" t="str">
        <f aca="false">HYPERLINK("https://mncourtfraud.com/file/27-CR-20-693.pdf","27-CR-20-693")</f>
        <v>27-CR-20-693</v>
      </c>
      <c r="C655" s="1" t="n">
        <v>1</v>
      </c>
      <c r="D655" s="2" t="s">
        <v>12</v>
      </c>
      <c r="E655" s="8" t="n">
        <v>43902</v>
      </c>
      <c r="F655" s="2" t="s">
        <v>15</v>
      </c>
      <c r="G655" s="7" t="str">
        <f aca="false">HYPERLINK("https://mncourtfraud.com/file/MCRO_27-CR-20-693_Order-Evaluation for Competency to Proceed (Rule 20.01)_2020-03-12_20251126181339.pdf","MCRO_27-CR-20-693_Order-Evaluation for Competency to Proceed (Rule 20.01)_2020-03-12_20251126181339.pdf")</f>
        <v>MCRO_27-CR-20-693_Order-Evaluation for Competency to Proceed (Rule 20.01)_2020-03-12_20251126181339.pdf</v>
      </c>
      <c r="H655" s="7" t="str">
        <f aca="false">HYPERLINK("https://mncourtfraud.com/file/0790bd4ce9a39e972a12fc57af071f1f8eef81b565748e97532aca2ca07ed56a.jpg","0790bd4ce9a39e972a12fc57af071f1f8eef81b565748e97532aca2ca07ed56a")</f>
        <v>0790bd4ce9a39e972a12fc57af071f1f8eef81b565748e97532aca2ca07ed56a</v>
      </c>
      <c r="I655" s="1" t="s">
        <v>3417</v>
      </c>
      <c r="L655" s="2" t="s">
        <v>3418</v>
      </c>
      <c r="M655" s="2" t="n">
        <v>638074</v>
      </c>
      <c r="S655" s="2" t="n">
        <v>2550</v>
      </c>
      <c r="T655" s="2" t="n">
        <v>3300</v>
      </c>
    </row>
    <row r="656" customFormat="false" ht="18.7" hidden="false" customHeight="true" outlineLevel="0" collapsed="false">
      <c r="A656" s="1" t="n">
        <v>655</v>
      </c>
      <c r="B656" s="7" t="str">
        <f aca="false">HYPERLINK("https://mncourtfraud.com/file/27-CR-20-693.pdf","27-CR-20-693")</f>
        <v>27-CR-20-693</v>
      </c>
      <c r="C656" s="1" t="n">
        <v>1</v>
      </c>
      <c r="D656" s="2" t="s">
        <v>12</v>
      </c>
      <c r="E656" s="8" t="n">
        <v>43902</v>
      </c>
      <c r="F656" s="2" t="s">
        <v>15</v>
      </c>
      <c r="G656" s="7" t="str">
        <f aca="false">HYPERLINK("https://mncourtfraud.com/file/MCRO_27-CR-20-693_Order-Evaluation for Competency to Proceed (Rule 20.01)_2020-03-12_20251126181339.pdf","MCRO_27-CR-20-693_Order-Evaluation for Competency to Proceed (Rule 20.01)_2020-03-12_20251126181339.pdf")</f>
        <v>MCRO_27-CR-20-693_Order-Evaluation for Competency to Proceed (Rule 20.01)_2020-03-12_20251126181339.pdf</v>
      </c>
      <c r="H656" s="7" t="str">
        <f aca="false">HYPERLINK("https://mncourtfraud.com/file/7cfe2b3f7edae418f0845cb9d773519e96ea9da71c8d2be28c583b93b47ab6ef.ttf","7cfe2b3f7edae418f0845cb9d773519e96ea9da71c8d2be28c583b93b47ab6ef")</f>
        <v>7cfe2b3f7edae418f0845cb9d773519e96ea9da71c8d2be28c583b93b47ab6ef</v>
      </c>
      <c r="I656" s="1" t="s">
        <v>3413</v>
      </c>
      <c r="L656" s="2" t="s">
        <v>3415</v>
      </c>
      <c r="M656" s="2" t="n">
        <v>12924</v>
      </c>
    </row>
    <row r="657" customFormat="false" ht="18.7" hidden="false" customHeight="true" outlineLevel="0" collapsed="false">
      <c r="A657" s="1" t="n">
        <v>656</v>
      </c>
      <c r="B657" s="7" t="str">
        <f aca="false">HYPERLINK("https://mncourtfraud.com/file/27-CR-20-693.pdf","27-CR-20-693")</f>
        <v>27-CR-20-693</v>
      </c>
      <c r="C657" s="1" t="n">
        <v>1</v>
      </c>
      <c r="D657" s="2" t="s">
        <v>12</v>
      </c>
      <c r="E657" s="8" t="n">
        <v>43902</v>
      </c>
      <c r="F657" s="2" t="s">
        <v>15</v>
      </c>
      <c r="G657" s="7" t="str">
        <f aca="false">HYPERLINK("https://mncourtfraud.com/file/MCRO_27-CR-20-693_Order-Evaluation for Competency to Proceed (Rule 20.01)_2020-03-12_20251126181339.pdf","MCRO_27-CR-20-693_Order-Evaluation for Competency to Proceed (Rule 20.01)_2020-03-12_20251126181339.pdf")</f>
        <v>MCRO_27-CR-20-693_Order-Evaluation for Competency to Proceed (Rule 20.01)_2020-03-12_20251126181339.pdf</v>
      </c>
      <c r="H657" s="7" t="str">
        <f aca="false">HYPERLINK("https://mncourtfraud.com/file/b99fa1e68ffe7d69d67dfa6a135c24cd6ba9832bda32c0122bed0e1f8b237236.jpg","b99fa1e68ffe7d69d67dfa6a135c24cd6ba9832bda32c0122bed0e1f8b237236")</f>
        <v>b99fa1e68ffe7d69d67dfa6a135c24cd6ba9832bda32c0122bed0e1f8b237236</v>
      </c>
      <c r="I657" s="1" t="s">
        <v>3417</v>
      </c>
      <c r="L657" s="2" t="s">
        <v>3418</v>
      </c>
      <c r="M657" s="2" t="n">
        <v>567229</v>
      </c>
      <c r="S657" s="2" t="n">
        <v>2550</v>
      </c>
      <c r="T657" s="2" t="n">
        <v>3300</v>
      </c>
    </row>
    <row r="658" customFormat="false" ht="18.7" hidden="false" customHeight="true" outlineLevel="0" collapsed="false">
      <c r="A658" s="1" t="n">
        <v>657</v>
      </c>
      <c r="B658" s="7" t="str">
        <f aca="false">HYPERLINK("https://mncourtfraud.com/file/27-CR-20-693.pdf","27-CR-20-693")</f>
        <v>27-CR-20-693</v>
      </c>
      <c r="C658" s="1" t="n">
        <v>1</v>
      </c>
      <c r="D658" s="2" t="s">
        <v>12</v>
      </c>
      <c r="E658" s="8" t="n">
        <v>43970</v>
      </c>
      <c r="F658" s="2" t="s">
        <v>17</v>
      </c>
      <c r="G658" s="7" t="str">
        <f aca="false">HYPERLINK("https://mncourtfraud.com/file/MCRO_27-CR-20-693_Returned Mail_2020-05-19_20251126181401.pdf","MCRO_27-CR-20-693_Returned Mail_2020-05-19_20251126181401.pdf")</f>
        <v>MCRO_27-CR-20-693_Returned Mail_2020-05-19_20251126181401.pdf</v>
      </c>
      <c r="H658" s="7" t="str">
        <f aca="false">HYPERLINK("https://mncourtfraud.com/file/0a6d95d1becdf9eb6c58da13b100362792caefda72d549096c0bda16a04654ea.ttf","0a6d95d1becdf9eb6c58da13b100362792caefda72d549096c0bda16a04654ea")</f>
        <v>0a6d95d1becdf9eb6c58da13b100362792caefda72d549096c0bda16a04654ea</v>
      </c>
      <c r="I658" s="1" t="s">
        <v>3413</v>
      </c>
      <c r="L658" s="2" t="s">
        <v>3415</v>
      </c>
      <c r="M658" s="2" t="n">
        <v>8220</v>
      </c>
    </row>
    <row r="659" customFormat="false" ht="18.7" hidden="false" customHeight="true" outlineLevel="0" collapsed="false">
      <c r="A659" s="1" t="n">
        <v>658</v>
      </c>
      <c r="B659" s="7" t="str">
        <f aca="false">HYPERLINK("https://mncourtfraud.com/file/27-CR-20-693.pdf","27-CR-20-693")</f>
        <v>27-CR-20-693</v>
      </c>
      <c r="C659" s="1" t="n">
        <v>1</v>
      </c>
      <c r="D659" s="2" t="s">
        <v>12</v>
      </c>
      <c r="E659" s="8" t="n">
        <v>43970</v>
      </c>
      <c r="F659" s="2" t="s">
        <v>17</v>
      </c>
      <c r="G659" s="7" t="str">
        <f aca="false">HYPERLINK("https://mncourtfraud.com/file/MCRO_27-CR-20-693_Returned Mail_2020-05-19_20251126181401.pdf","MCRO_27-CR-20-693_Returned Mail_2020-05-19_20251126181401.pdf")</f>
        <v>MCRO_27-CR-20-693_Returned Mail_2020-05-19_20251126181401.pdf</v>
      </c>
      <c r="H659" s="7" t="str">
        <f aca="false">HYPERLINK("https://mncourtfraud.com/file/30bceaaafce4807fd93a4b01e1c63e9a3e3333311b6902c72e7c6066ebd12d80.jpg","30bceaaafce4807fd93a4b01e1c63e9a3e3333311b6902c72e7c6066ebd12d80")</f>
        <v>30bceaaafce4807fd93a4b01e1c63e9a3e3333311b6902c72e7c6066ebd12d80</v>
      </c>
      <c r="I659" s="1" t="s">
        <v>3417</v>
      </c>
      <c r="L659" s="2" t="s">
        <v>3419</v>
      </c>
      <c r="M659" s="2" t="n">
        <v>198731</v>
      </c>
      <c r="S659" s="2" t="n">
        <v>2552</v>
      </c>
      <c r="T659" s="2" t="n">
        <v>3300</v>
      </c>
    </row>
    <row r="660" customFormat="false" ht="18.7" hidden="false" customHeight="true" outlineLevel="0" collapsed="false">
      <c r="A660" s="1" t="n">
        <v>659</v>
      </c>
      <c r="B660" s="7" t="str">
        <f aca="false">HYPERLINK("https://mncourtfraud.com/file/27-CR-20-693.pdf","27-CR-20-693")</f>
        <v>27-CR-20-693</v>
      </c>
      <c r="C660" s="1" t="n">
        <v>1</v>
      </c>
      <c r="D660" s="2" t="s">
        <v>12</v>
      </c>
      <c r="E660" s="8" t="n">
        <v>44103</v>
      </c>
      <c r="F660" s="2" t="s">
        <v>19</v>
      </c>
      <c r="G660" s="7" t="str">
        <f aca="false">HYPERLINK("https://mncourtfraud.com/file/MCRO_27-CR-20-693_Findings and Order_2020-09-29_20251126181151.pdf","MCRO_27-CR-20-693_Findings and Order_2020-09-29_20251126181151.pdf")</f>
        <v>MCRO_27-CR-20-693_Findings and Order_2020-09-29_20251126181151.pdf</v>
      </c>
      <c r="H660" s="7" t="str">
        <f aca="false">HYPERLINK("https://mncourtfraud.com/file/07e316fd6acde14e6752ac35fdb3665e9ff5ef9e00e600946974d23aa824e93e.png","07e316fd6acde14e6752ac35fdb3665e9ff5ef9e00e600946974d23aa824e93e")</f>
        <v>07e316fd6acde14e6752ac35fdb3665e9ff5ef9e00e600946974d23aa824e93e</v>
      </c>
      <c r="I660" s="1" t="s">
        <v>3406</v>
      </c>
      <c r="L660" s="2" t="s">
        <v>3412</v>
      </c>
      <c r="M660" s="2" t="n">
        <v>111400</v>
      </c>
      <c r="S660" s="2" t="n">
        <v>2560</v>
      </c>
      <c r="T660" s="2" t="n">
        <v>3300</v>
      </c>
    </row>
    <row r="661" customFormat="false" ht="18.7" hidden="false" customHeight="true" outlineLevel="0" collapsed="false">
      <c r="A661" s="1" t="n">
        <v>660</v>
      </c>
      <c r="B661" s="7" t="str">
        <f aca="false">HYPERLINK("https://mncourtfraud.com/file/27-CR-20-693.pdf","27-CR-20-693")</f>
        <v>27-CR-20-693</v>
      </c>
      <c r="C661" s="1" t="n">
        <v>1</v>
      </c>
      <c r="D661" s="2" t="s">
        <v>12</v>
      </c>
      <c r="E661" s="8" t="n">
        <v>44103</v>
      </c>
      <c r="F661" s="2" t="s">
        <v>19</v>
      </c>
      <c r="G661" s="7" t="str">
        <f aca="false">HYPERLINK("https://mncourtfraud.com/file/MCRO_27-CR-20-693_Findings and Order_2020-09-29_20251126181151.pdf","MCRO_27-CR-20-693_Findings and Order_2020-09-29_20251126181151.pdf")</f>
        <v>MCRO_27-CR-20-693_Findings and Order_2020-09-29_20251126181151.pdf</v>
      </c>
      <c r="H661" s="7" t="str">
        <f aca="false">HYPERLINK("https://mncourtfraud.com/file/11d6853f752025b4a249aab4251b562f847a3e41fb629b4cbcb4ec8dff13315a.png","11d6853f752025b4a249aab4251b562f847a3e41fb629b4cbcb4ec8dff13315a")</f>
        <v>11d6853f752025b4a249aab4251b562f847a3e41fb629b4cbcb4ec8dff13315a</v>
      </c>
      <c r="I661" s="1" t="s">
        <v>3406</v>
      </c>
      <c r="L661" s="2" t="s">
        <v>3412</v>
      </c>
      <c r="M661" s="2" t="n">
        <v>112047</v>
      </c>
      <c r="S661" s="2" t="n">
        <v>2560</v>
      </c>
      <c r="T661" s="2" t="n">
        <v>3300</v>
      </c>
    </row>
    <row r="662" customFormat="false" ht="18.7" hidden="false" customHeight="true" outlineLevel="0" collapsed="false">
      <c r="A662" s="1" t="n">
        <v>661</v>
      </c>
      <c r="B662" s="7" t="str">
        <f aca="false">HYPERLINK("https://mncourtfraud.com/file/27-CR-20-693.pdf","27-CR-20-693")</f>
        <v>27-CR-20-693</v>
      </c>
      <c r="C662" s="1" t="n">
        <v>1</v>
      </c>
      <c r="D662" s="2" t="s">
        <v>12</v>
      </c>
      <c r="E662" s="8" t="n">
        <v>44103</v>
      </c>
      <c r="F662" s="2" t="s">
        <v>19</v>
      </c>
      <c r="G662" s="7" t="str">
        <f aca="false">HYPERLINK("https://mncourtfraud.com/file/MCRO_27-CR-20-693_Findings and Order_2020-09-29_20251126181151.pdf","MCRO_27-CR-20-693_Findings and Order_2020-09-29_20251126181151.pdf")</f>
        <v>MCRO_27-CR-20-693_Findings and Order_2020-09-29_20251126181151.pdf</v>
      </c>
      <c r="H662" s="7" t="str">
        <f aca="false">HYPERLINK("https://mncourtfraud.com/file/127cb2cdb982ab960ee2d2f125b54b1d346457e50895c842b62b1be6393cf7ea.png","127cb2cdb982ab960ee2d2f125b54b1d346457e50895c842b62b1be6393cf7ea")</f>
        <v>127cb2cdb982ab960ee2d2f125b54b1d346457e50895c842b62b1be6393cf7ea</v>
      </c>
      <c r="I662" s="1" t="s">
        <v>3406</v>
      </c>
      <c r="L662" s="2" t="s">
        <v>3412</v>
      </c>
      <c r="M662" s="2" t="n">
        <v>128592</v>
      </c>
      <c r="S662" s="2" t="n">
        <v>2560</v>
      </c>
      <c r="T662" s="2" t="n">
        <v>3300</v>
      </c>
    </row>
    <row r="663" customFormat="false" ht="18.7" hidden="false" customHeight="true" outlineLevel="0" collapsed="false">
      <c r="A663" s="1" t="n">
        <v>662</v>
      </c>
      <c r="B663" s="7" t="str">
        <f aca="false">HYPERLINK("https://mncourtfraud.com/file/27-CR-20-693.pdf","27-CR-20-693")</f>
        <v>27-CR-20-693</v>
      </c>
      <c r="C663" s="1" t="n">
        <v>1</v>
      </c>
      <c r="D663" s="2" t="s">
        <v>12</v>
      </c>
      <c r="E663" s="8" t="n">
        <v>44103</v>
      </c>
      <c r="F663" s="2" t="s">
        <v>19</v>
      </c>
      <c r="G663" s="7" t="str">
        <f aca="false">HYPERLINK("https://mncourtfraud.com/file/MCRO_27-CR-20-693_Findings and Order_2020-09-29_20251126181151.pdf","MCRO_27-CR-20-693_Findings and Order_2020-09-29_20251126181151.pdf")</f>
        <v>MCRO_27-CR-20-693_Findings and Order_2020-09-29_20251126181151.pdf</v>
      </c>
      <c r="H663" s="7" t="str">
        <f aca="false">HYPERLINK("https://mncourtfraud.com/file/5ee07b0391e4f938d4624dade86775142f093b69d44110679cb386a9fcdb51dc.png","5ee07b0391e4f938d4624dade86775142f093b69d44110679cb386a9fcdb51dc")</f>
        <v>5ee07b0391e4f938d4624dade86775142f093b69d44110679cb386a9fcdb51dc</v>
      </c>
      <c r="I663" s="1" t="s">
        <v>3406</v>
      </c>
      <c r="L663" s="2" t="s">
        <v>3412</v>
      </c>
      <c r="M663" s="2" t="n">
        <v>141864</v>
      </c>
      <c r="S663" s="2" t="n">
        <v>2560</v>
      </c>
      <c r="T663" s="2" t="n">
        <v>3300</v>
      </c>
    </row>
    <row r="664" customFormat="false" ht="18.7" hidden="false" customHeight="true" outlineLevel="0" collapsed="false">
      <c r="A664" s="1" t="n">
        <v>663</v>
      </c>
      <c r="B664" s="7" t="str">
        <f aca="false">HYPERLINK("https://mncourtfraud.com/file/27-CR-20-693.pdf","27-CR-20-693")</f>
        <v>27-CR-20-693</v>
      </c>
      <c r="C664" s="1" t="n">
        <v>1</v>
      </c>
      <c r="D664" s="2" t="s">
        <v>12</v>
      </c>
      <c r="E664" s="8" t="n">
        <v>44103</v>
      </c>
      <c r="F664" s="2" t="s">
        <v>19</v>
      </c>
      <c r="G664" s="7" t="str">
        <f aca="false">HYPERLINK("https://mncourtfraud.com/file/MCRO_27-CR-20-693_Findings and Order_2020-09-29_20251126181151.pdf","MCRO_27-CR-20-693_Findings and Order_2020-09-29_20251126181151.pdf")</f>
        <v>MCRO_27-CR-20-693_Findings and Order_2020-09-29_20251126181151.pdf</v>
      </c>
      <c r="H664" s="7" t="str">
        <f aca="false">HYPERLINK("https://mncourtfraud.com/file/9298e052f4612cb0f1a6b3a16e09a68c67c5100b302cdb5815615d0bef9cb57b.png","9298e052f4612cb0f1a6b3a16e09a68c67c5100b302cdb5815615d0bef9cb57b")</f>
        <v>9298e052f4612cb0f1a6b3a16e09a68c67c5100b302cdb5815615d0bef9cb57b</v>
      </c>
      <c r="I664" s="1" t="s">
        <v>3406</v>
      </c>
      <c r="L664" s="2" t="s">
        <v>3412</v>
      </c>
      <c r="M664" s="2" t="n">
        <v>132457</v>
      </c>
      <c r="S664" s="2" t="n">
        <v>2560</v>
      </c>
      <c r="T664" s="2" t="n">
        <v>3300</v>
      </c>
    </row>
    <row r="665" customFormat="false" ht="18.7" hidden="false" customHeight="true" outlineLevel="0" collapsed="false">
      <c r="A665" s="1" t="n">
        <v>664</v>
      </c>
      <c r="B665" s="7" t="str">
        <f aca="false">HYPERLINK("https://mncourtfraud.com/file/27-CR-20-693.pdf","27-CR-20-693")</f>
        <v>27-CR-20-693</v>
      </c>
      <c r="C665" s="1" t="n">
        <v>1</v>
      </c>
      <c r="D665" s="2" t="s">
        <v>12</v>
      </c>
      <c r="E665" s="8" t="n">
        <v>44103</v>
      </c>
      <c r="F665" s="2" t="s">
        <v>19</v>
      </c>
      <c r="G665" s="7" t="str">
        <f aca="false">HYPERLINK("https://mncourtfraud.com/file/MCRO_27-CR-20-693_Findings and Order_2020-09-29_20251126181151.pdf","MCRO_27-CR-20-693_Findings and Order_2020-09-29_20251126181151.pdf")</f>
        <v>MCRO_27-CR-20-693_Findings and Order_2020-09-29_20251126181151.pdf</v>
      </c>
      <c r="H665" s="7" t="str">
        <f aca="false">HYPERLINK("https://mncourtfraud.com/file/ed475875d3636fc55785bfc0d90873f236925934528f91fa7187443759c8d7a9.ttf","ed475875d3636fc55785bfc0d90873f236925934528f91fa7187443759c8d7a9")</f>
        <v>ed475875d3636fc55785bfc0d90873f236925934528f91fa7187443759c8d7a9</v>
      </c>
      <c r="I665" s="1" t="s">
        <v>3413</v>
      </c>
      <c r="L665" s="2" t="s">
        <v>3415</v>
      </c>
      <c r="M665" s="2" t="n">
        <v>12924</v>
      </c>
    </row>
    <row r="666" customFormat="false" ht="18.7" hidden="false" customHeight="true" outlineLevel="0" collapsed="false">
      <c r="A666" s="1" t="n">
        <v>665</v>
      </c>
      <c r="B666" s="7" t="str">
        <f aca="false">HYPERLINK("https://mncourtfraud.com/file/27-CR-20-693.pdf","27-CR-20-693")</f>
        <v>27-CR-20-693</v>
      </c>
      <c r="C666" s="1" t="n">
        <v>1</v>
      </c>
      <c r="D666" s="2" t="s">
        <v>12</v>
      </c>
      <c r="E666" s="8" t="n">
        <v>44225</v>
      </c>
      <c r="F666" s="2" t="s">
        <v>15</v>
      </c>
      <c r="G666" s="7" t="str">
        <f aca="false">HYPERLINK("https://mncourtfraud.com/file/MCRO_27-CR-20-693_Order-Evaluation for Competency to Proceed (Rule 20.01)_2021-01-29_20251126181349.pdf","MCRO_27-CR-20-693_Order-Evaluation for Competency to Proceed (Rule 20.01)_2021-01-29_20251126181349.pdf")</f>
        <v>MCRO_27-CR-20-693_Order-Evaluation for Competency to Proceed (Rule 20.01)_2021-01-29_20251126181349.pdf</v>
      </c>
      <c r="H666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666" s="1" t="s">
        <v>3406</v>
      </c>
      <c r="K666" s="2" t="s">
        <v>3420</v>
      </c>
      <c r="L666" s="2" t="s">
        <v>3408</v>
      </c>
      <c r="M666" s="2" t="n">
        <v>7306</v>
      </c>
      <c r="O666" s="2" t="s">
        <v>3409</v>
      </c>
      <c r="P666" s="2" t="s">
        <v>3410</v>
      </c>
      <c r="S666" s="2" t="n">
        <v>319</v>
      </c>
      <c r="T666" s="2" t="n">
        <v>105</v>
      </c>
    </row>
    <row r="667" customFormat="false" ht="18.7" hidden="false" customHeight="true" outlineLevel="0" collapsed="false">
      <c r="A667" s="1" t="n">
        <v>666</v>
      </c>
      <c r="B667" s="7" t="str">
        <f aca="false">HYPERLINK("https://mncourtfraud.com/file/27-CR-20-693.pdf","27-CR-20-693")</f>
        <v>27-CR-20-693</v>
      </c>
      <c r="C667" s="1" t="n">
        <v>1</v>
      </c>
      <c r="D667" s="2" t="s">
        <v>12</v>
      </c>
      <c r="E667" s="8" t="n">
        <v>44225</v>
      </c>
      <c r="F667" s="2" t="s">
        <v>15</v>
      </c>
      <c r="G667" s="7" t="str">
        <f aca="false">HYPERLINK("https://mncourtfraud.com/file/MCRO_27-CR-20-693_Order-Evaluation for Competency to Proceed (Rule 20.01)_2021-01-29_20251126181349.pdf","MCRO_27-CR-20-693_Order-Evaluation for Competency to Proceed (Rule 20.01)_2021-01-29_20251126181349.pdf")</f>
        <v>MCRO_27-CR-20-693_Order-Evaluation for Competency to Proceed (Rule 20.01)_2021-01-29_20251126181349.pdf</v>
      </c>
      <c r="H667" s="7" t="str">
        <f aca="false">HYPERLINK("https://mncourtfraud.com/file/546304e2050278ff497f628e7aee653da606219dd05bf0397179732462a20afc.ttf","546304e2050278ff497f628e7aee653da606219dd05bf0397179732462a20afc")</f>
        <v>546304e2050278ff497f628e7aee653da606219dd05bf0397179732462a20afc</v>
      </c>
      <c r="I667" s="1" t="s">
        <v>3413</v>
      </c>
      <c r="J667" s="2" t="s">
        <v>3421</v>
      </c>
      <c r="K667" s="2" t="s">
        <v>3421</v>
      </c>
      <c r="L667" s="2" t="s">
        <v>3415</v>
      </c>
      <c r="M667" s="2" t="n">
        <v>399420</v>
      </c>
    </row>
    <row r="668" customFormat="false" ht="18.7" hidden="false" customHeight="true" outlineLevel="0" collapsed="false">
      <c r="A668" s="1" t="n">
        <v>667</v>
      </c>
      <c r="B668" s="7" t="str">
        <f aca="false">HYPERLINK("https://mncourtfraud.com/file/27-CR-20-693.pdf","27-CR-20-693")</f>
        <v>27-CR-20-693</v>
      </c>
      <c r="C668" s="1" t="n">
        <v>1</v>
      </c>
      <c r="D668" s="2" t="s">
        <v>12</v>
      </c>
      <c r="E668" s="8" t="n">
        <v>44225</v>
      </c>
      <c r="F668" s="2" t="s">
        <v>15</v>
      </c>
      <c r="G668" s="7" t="str">
        <f aca="false">HYPERLINK("https://mncourtfraud.com/file/MCRO_27-CR-20-693_Order-Evaluation for Competency to Proceed (Rule 20.01)_2021-01-29_20251126181349.pdf","MCRO_27-CR-20-693_Order-Evaluation for Competency to Proceed (Rule 20.01)_2021-01-29_20251126181349.pdf")</f>
        <v>MCRO_27-CR-20-693_Order-Evaluation for Competency to Proceed (Rule 20.01)_2021-01-29_20251126181349.pdf</v>
      </c>
      <c r="H668" s="7" t="str">
        <f aca="false">HYPERLINK("https://mncourtfraud.com/file/5fe279e2bb67346d4b9382b6d426f3b2037a8a7faa39183d4cc98bf1b3eac581.ttf","5fe279e2bb67346d4b9382b6d426f3b2037a8a7faa39183d4cc98bf1b3eac581")</f>
        <v>5fe279e2bb67346d4b9382b6d426f3b2037a8a7faa39183d4cc98bf1b3eac581</v>
      </c>
      <c r="I668" s="1" t="s">
        <v>3413</v>
      </c>
      <c r="J668" s="2" t="s">
        <v>3422</v>
      </c>
      <c r="K668" s="2" t="s">
        <v>3422</v>
      </c>
      <c r="L668" s="2" t="s">
        <v>3415</v>
      </c>
      <c r="M668" s="2" t="n">
        <v>584320</v>
      </c>
    </row>
    <row r="669" customFormat="false" ht="18.7" hidden="false" customHeight="true" outlineLevel="0" collapsed="false">
      <c r="A669" s="1" t="n">
        <v>668</v>
      </c>
      <c r="B669" s="7" t="str">
        <f aca="false">HYPERLINK("https://mncourtfraud.com/file/27-CR-20-693.pdf","27-CR-20-693")</f>
        <v>27-CR-20-693</v>
      </c>
      <c r="C669" s="1" t="n">
        <v>1</v>
      </c>
      <c r="D669" s="2" t="s">
        <v>12</v>
      </c>
      <c r="E669" s="8" t="n">
        <v>44225</v>
      </c>
      <c r="F669" s="2" t="s">
        <v>15</v>
      </c>
      <c r="G669" s="7" t="str">
        <f aca="false">HYPERLINK("https://mncourtfraud.com/file/MCRO_27-CR-20-693_Order-Evaluation for Competency to Proceed (Rule 20.01)_2021-01-29_20251126181349.pdf","MCRO_27-CR-20-693_Order-Evaluation for Competency to Proceed (Rule 20.01)_2021-01-29_20251126181349.pdf")</f>
        <v>MCRO_27-CR-20-693_Order-Evaluation for Competency to Proceed (Rule 20.01)_2021-01-29_20251126181349.pdf</v>
      </c>
      <c r="H669" s="7" t="str">
        <f aca="false">HYPERLINK("https://mncourtfraud.com/file/b1c2362109b3c1555dd5946549cada931b8066060cb7036e6b0b500de41c44e8.ttf","b1c2362109b3c1555dd5946549cada931b8066060cb7036e6b0b500de41c44e8")</f>
        <v>b1c2362109b3c1555dd5946549cada931b8066060cb7036e6b0b500de41c44e8</v>
      </c>
      <c r="I669" s="1" t="s">
        <v>3413</v>
      </c>
      <c r="J669" s="2" t="s">
        <v>3423</v>
      </c>
      <c r="K669" s="2" t="s">
        <v>3423</v>
      </c>
      <c r="L669" s="2" t="s">
        <v>3415</v>
      </c>
      <c r="M669" s="2" t="n">
        <v>25228</v>
      </c>
    </row>
    <row r="670" customFormat="false" ht="18.7" hidden="false" customHeight="true" outlineLevel="0" collapsed="false">
      <c r="A670" s="1" t="n">
        <v>669</v>
      </c>
      <c r="B670" s="7" t="str">
        <f aca="false">HYPERLINK("https://mncourtfraud.com/file/27-CR-20-693.pdf","27-CR-20-693")</f>
        <v>27-CR-20-693</v>
      </c>
      <c r="C670" s="1" t="n">
        <v>1</v>
      </c>
      <c r="D670" s="2" t="s">
        <v>12</v>
      </c>
      <c r="E670" s="8" t="n">
        <v>44225</v>
      </c>
      <c r="F670" s="2" t="s">
        <v>15</v>
      </c>
      <c r="G670" s="7" t="str">
        <f aca="false">HYPERLINK("https://mncourtfraud.com/file/MCRO_27-CR-20-693_Order-Evaluation for Competency to Proceed (Rule 20.01)_2021-01-29_20251126181349.pdf","MCRO_27-CR-20-693_Order-Evaluation for Competency to Proceed (Rule 20.01)_2021-01-29_20251126181349.pdf")</f>
        <v>MCRO_27-CR-20-693_Order-Evaluation for Competency to Proceed (Rule 20.01)_2021-01-29_20251126181349.pdf</v>
      </c>
      <c r="H670" s="7" t="str">
        <f aca="false">HYPERLINK("https://mncourtfraud.com/file/d2c62141a1ec41646c92beed2b2984b9af228aca51b9dba5d40aa343c9c7fc50.ttf","d2c62141a1ec41646c92beed2b2984b9af228aca51b9dba5d40aa343c9c7fc50")</f>
        <v>d2c62141a1ec41646c92beed2b2984b9af228aca51b9dba5d40aa343c9c7fc50</v>
      </c>
      <c r="I670" s="1" t="s">
        <v>3413</v>
      </c>
      <c r="J670" s="2" t="s">
        <v>3424</v>
      </c>
      <c r="K670" s="2" t="s">
        <v>3424</v>
      </c>
      <c r="L670" s="2" t="s">
        <v>3415</v>
      </c>
      <c r="M670" s="2" t="n">
        <v>29188</v>
      </c>
    </row>
    <row r="671" customFormat="false" ht="18.7" hidden="false" customHeight="true" outlineLevel="0" collapsed="false">
      <c r="A671" s="1" t="n">
        <v>670</v>
      </c>
      <c r="B671" s="7" t="str">
        <f aca="false">HYPERLINK("https://mncourtfraud.com/file/27-CR-20-693.pdf","27-CR-20-693")</f>
        <v>27-CR-20-693</v>
      </c>
      <c r="C671" s="1" t="n">
        <v>1</v>
      </c>
      <c r="D671" s="2" t="s">
        <v>12</v>
      </c>
      <c r="E671" s="8" t="n">
        <v>44225</v>
      </c>
      <c r="F671" s="2" t="s">
        <v>15</v>
      </c>
      <c r="G671" s="7" t="str">
        <f aca="false">HYPERLINK("https://mncourtfraud.com/file/MCRO_27-CR-20-693_Order-Evaluation for Competency to Proceed (Rule 20.01)_2021-01-29_20251126181349.pdf","MCRO_27-CR-20-693_Order-Evaluation for Competency to Proceed (Rule 20.01)_2021-01-29_20251126181349.pdf")</f>
        <v>MCRO_27-CR-20-693_Order-Evaluation for Competency to Proceed (Rule 20.01)_2021-01-29_20251126181349.pdf</v>
      </c>
      <c r="H671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671" s="1" t="s">
        <v>3406</v>
      </c>
      <c r="K671" s="2" t="s">
        <v>3425</v>
      </c>
      <c r="L671" s="2" t="s">
        <v>3408</v>
      </c>
      <c r="M671" s="2" t="n">
        <v>21225</v>
      </c>
      <c r="O671" s="2" t="s">
        <v>3409</v>
      </c>
      <c r="P671" s="2" t="s">
        <v>3410</v>
      </c>
      <c r="S671" s="2" t="n">
        <v>319</v>
      </c>
      <c r="T671" s="2" t="n">
        <v>105</v>
      </c>
    </row>
    <row r="672" customFormat="false" ht="18.7" hidden="false" customHeight="true" outlineLevel="0" collapsed="false">
      <c r="A672" s="1" t="n">
        <v>671</v>
      </c>
      <c r="B672" s="7" t="str">
        <f aca="false">HYPERLINK("https://mncourtfraud.com/file/27-CR-20-693.pdf","27-CR-20-693")</f>
        <v>27-CR-20-693</v>
      </c>
      <c r="C672" s="1" t="n">
        <v>1</v>
      </c>
      <c r="D672" s="2" t="s">
        <v>12</v>
      </c>
      <c r="E672" s="8" t="n">
        <v>44396</v>
      </c>
      <c r="F672" s="2" t="s">
        <v>15</v>
      </c>
      <c r="G672" s="7" t="str">
        <f aca="false">HYPERLINK("https://mncourtfraud.com/file/MCRO_27-CR-20-693_Order-Evaluation for Competency to Proceed (Rule 20.01)_2021-07-19_20251126181241.pdf","MCRO_27-CR-20-693_Order-Evaluation for Competency to Proceed (Rule 20.01)_2021-07-19_20251126181241.pdf")</f>
        <v>MCRO_27-CR-20-693_Order-Evaluation for Competency to Proceed (Rule 20.01)_2021-07-19_20251126181241.pdf</v>
      </c>
      <c r="H672" s="7" t="str">
        <f aca="false">HYPERLINK("https://mncourtfraud.com/file/6240cd47252b39349a87bdc5b6dcc38d32398be0be38fb6c707942092e4f90c5.png","6240cd47252b39349a87bdc5b6dcc38d32398be0be38fb6c707942092e4f90c5")</f>
        <v>6240cd47252b39349a87bdc5b6dcc38d32398be0be38fb6c707942092e4f90c5</v>
      </c>
      <c r="I672" s="1" t="s">
        <v>3406</v>
      </c>
      <c r="L672" s="2" t="s">
        <v>3412</v>
      </c>
      <c r="M672" s="2" t="n">
        <v>154122</v>
      </c>
      <c r="S672" s="2" t="n">
        <v>2550</v>
      </c>
      <c r="T672" s="2" t="n">
        <v>3300</v>
      </c>
    </row>
    <row r="673" customFormat="false" ht="18.7" hidden="false" customHeight="true" outlineLevel="0" collapsed="false">
      <c r="A673" s="1" t="n">
        <v>672</v>
      </c>
      <c r="B673" s="7" t="str">
        <f aca="false">HYPERLINK("https://mncourtfraud.com/file/27-CR-20-693.pdf","27-CR-20-693")</f>
        <v>27-CR-20-693</v>
      </c>
      <c r="C673" s="1" t="n">
        <v>1</v>
      </c>
      <c r="D673" s="2" t="s">
        <v>12</v>
      </c>
      <c r="E673" s="8" t="n">
        <v>44396</v>
      </c>
      <c r="F673" s="2" t="s">
        <v>15</v>
      </c>
      <c r="G673" s="7" t="str">
        <f aca="false">HYPERLINK("https://mncourtfraud.com/file/MCRO_27-CR-20-693_Order-Evaluation for Competency to Proceed (Rule 20.01)_2021-07-19_20251126181241.pdf","MCRO_27-CR-20-693_Order-Evaluation for Competency to Proceed (Rule 20.01)_2021-07-19_20251126181241.pdf")</f>
        <v>MCRO_27-CR-20-693_Order-Evaluation for Competency to Proceed (Rule 20.01)_2021-07-19_20251126181241.pdf</v>
      </c>
      <c r="H673" s="7" t="str">
        <f aca="false">HYPERLINK("https://mncourtfraud.com/file/72d8f620feb6f1df6eef2d4c29c582cbeaa7b3c52958bf26b43ef5b4d67bbd72.png","72d8f620feb6f1df6eef2d4c29c582cbeaa7b3c52958bf26b43ef5b4d67bbd72")</f>
        <v>72d8f620feb6f1df6eef2d4c29c582cbeaa7b3c52958bf26b43ef5b4d67bbd72</v>
      </c>
      <c r="I673" s="1" t="s">
        <v>3406</v>
      </c>
      <c r="L673" s="2" t="s">
        <v>3412</v>
      </c>
      <c r="M673" s="2" t="n">
        <v>140231</v>
      </c>
      <c r="S673" s="2" t="n">
        <v>2550</v>
      </c>
      <c r="T673" s="2" t="n">
        <v>3300</v>
      </c>
    </row>
    <row r="674" customFormat="false" ht="18.7" hidden="false" customHeight="true" outlineLevel="0" collapsed="false">
      <c r="A674" s="1" t="n">
        <v>673</v>
      </c>
      <c r="B674" s="7" t="str">
        <f aca="false">HYPERLINK("https://mncourtfraud.com/file/27-CR-20-693.pdf","27-CR-20-693")</f>
        <v>27-CR-20-693</v>
      </c>
      <c r="C674" s="1" t="n">
        <v>1</v>
      </c>
      <c r="D674" s="2" t="s">
        <v>12</v>
      </c>
      <c r="E674" s="8" t="n">
        <v>44396</v>
      </c>
      <c r="F674" s="2" t="s">
        <v>15</v>
      </c>
      <c r="G674" s="7" t="str">
        <f aca="false">HYPERLINK("https://mncourtfraud.com/file/MCRO_27-CR-20-693_Order-Evaluation for Competency to Proceed (Rule 20.01)_2021-07-19_20251126181241.pdf","MCRO_27-CR-20-693_Order-Evaluation for Competency to Proceed (Rule 20.01)_2021-07-19_20251126181241.pdf")</f>
        <v>MCRO_27-CR-20-693_Order-Evaluation for Competency to Proceed (Rule 20.01)_2021-07-19_20251126181241.pdf</v>
      </c>
      <c r="H674" s="7" t="str">
        <f aca="false">HYPERLINK("https://mncourtfraud.com/file/9a3d54a2bfe0b1e0c009c7530372ec33da7b546e10fbf5ace1ef7cf1665b078b.ttf","9a3d54a2bfe0b1e0c009c7530372ec33da7b546e10fbf5ace1ef7cf1665b078b")</f>
        <v>9a3d54a2bfe0b1e0c009c7530372ec33da7b546e10fbf5ace1ef7cf1665b078b</v>
      </c>
      <c r="I674" s="1" t="s">
        <v>3413</v>
      </c>
      <c r="L674" s="2" t="s">
        <v>3415</v>
      </c>
      <c r="M674" s="2" t="n">
        <v>333584</v>
      </c>
    </row>
    <row r="675" customFormat="false" ht="18.7" hidden="false" customHeight="true" outlineLevel="0" collapsed="false">
      <c r="A675" s="1" t="n">
        <v>674</v>
      </c>
      <c r="B675" s="7" t="str">
        <f aca="false">HYPERLINK("https://mncourtfraud.com/file/27-CR-20-693.pdf","27-CR-20-693")</f>
        <v>27-CR-20-693</v>
      </c>
      <c r="C675" s="1" t="n">
        <v>1</v>
      </c>
      <c r="D675" s="2" t="s">
        <v>12</v>
      </c>
      <c r="E675" s="8" t="n">
        <v>44439</v>
      </c>
      <c r="F675" s="2" t="s">
        <v>19</v>
      </c>
      <c r="G675" s="7" t="str">
        <f aca="false">HYPERLINK("https://mncourtfraud.com/file/MCRO_27-CR-20-693_Findings and Order_2021-08-31_20251126181201.pdf","MCRO_27-CR-20-693_Findings and Order_2021-08-31_20251126181201.pdf")</f>
        <v>MCRO_27-CR-20-693_Findings and Order_2021-08-31_20251126181201.pdf</v>
      </c>
      <c r="H675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675" s="1" t="s">
        <v>3413</v>
      </c>
      <c r="J675" s="2" t="s">
        <v>3426</v>
      </c>
      <c r="K675" s="2" t="s">
        <v>3426</v>
      </c>
      <c r="L675" s="2" t="s">
        <v>3415</v>
      </c>
      <c r="M675" s="2" t="n">
        <v>74997</v>
      </c>
      <c r="N675" s="2" t="s">
        <v>3427</v>
      </c>
    </row>
    <row r="676" customFormat="false" ht="18.7" hidden="false" customHeight="true" outlineLevel="0" collapsed="false">
      <c r="A676" s="1" t="n">
        <v>675</v>
      </c>
      <c r="B676" s="7" t="str">
        <f aca="false">HYPERLINK("https://mncourtfraud.com/file/27-CR-20-693.pdf","27-CR-20-693")</f>
        <v>27-CR-20-693</v>
      </c>
      <c r="C676" s="1" t="n">
        <v>1</v>
      </c>
      <c r="D676" s="2" t="s">
        <v>12</v>
      </c>
      <c r="E676" s="8" t="n">
        <v>44439</v>
      </c>
      <c r="F676" s="2" t="s">
        <v>19</v>
      </c>
      <c r="G676" s="7" t="str">
        <f aca="false">HYPERLINK("https://mncourtfraud.com/file/MCRO_27-CR-20-693_Findings and Order_2021-08-31_20251126181201.pdf","MCRO_27-CR-20-693_Findings and Order_2021-08-31_20251126181201.pdf")</f>
        <v>MCRO_27-CR-20-693_Findings and Order_2021-08-31_20251126181201.pdf</v>
      </c>
      <c r="H676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676" s="1" t="s">
        <v>3413</v>
      </c>
      <c r="J676" s="2" t="s">
        <v>3414</v>
      </c>
      <c r="K676" s="2" t="s">
        <v>3414</v>
      </c>
      <c r="L676" s="2" t="s">
        <v>3415</v>
      </c>
      <c r="M676" s="2" t="n">
        <v>65384</v>
      </c>
    </row>
    <row r="677" customFormat="false" ht="18.7" hidden="false" customHeight="true" outlineLevel="0" collapsed="false">
      <c r="A677" s="1" t="n">
        <v>676</v>
      </c>
      <c r="B677" s="7" t="str">
        <f aca="false">HYPERLINK("https://mncourtfraud.com/file/27-CR-20-693.pdf","27-CR-20-693")</f>
        <v>27-CR-20-693</v>
      </c>
      <c r="C677" s="1" t="n">
        <v>1</v>
      </c>
      <c r="D677" s="2" t="s">
        <v>12</v>
      </c>
      <c r="E677" s="8" t="n">
        <v>44439</v>
      </c>
      <c r="F677" s="2" t="s">
        <v>19</v>
      </c>
      <c r="G677" s="7" t="str">
        <f aca="false">HYPERLINK("https://mncourtfraud.com/file/MCRO_27-CR-20-693_Findings and Order_2021-08-31_20251126181201.pdf","MCRO_27-CR-20-693_Findings and Order_2021-08-31_20251126181201.pdf")</f>
        <v>MCRO_27-CR-20-693_Findings and Order_2021-08-31_20251126181201.pdf</v>
      </c>
      <c r="H677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677" s="1" t="s">
        <v>3413</v>
      </c>
      <c r="J677" s="2" t="s">
        <v>3414</v>
      </c>
      <c r="K677" s="2" t="s">
        <v>3414</v>
      </c>
      <c r="L677" s="2" t="s">
        <v>3415</v>
      </c>
      <c r="M677" s="2" t="n">
        <v>65384</v>
      </c>
    </row>
    <row r="678" customFormat="false" ht="18.7" hidden="false" customHeight="true" outlineLevel="0" collapsed="false">
      <c r="A678" s="1" t="n">
        <v>677</v>
      </c>
      <c r="B678" s="7" t="str">
        <f aca="false">HYPERLINK("https://mncourtfraud.com/file/27-CR-20-693.pdf","27-CR-20-693")</f>
        <v>27-CR-20-693</v>
      </c>
      <c r="C678" s="1" t="n">
        <v>1</v>
      </c>
      <c r="D678" s="2" t="s">
        <v>12</v>
      </c>
      <c r="E678" s="8" t="n">
        <v>44439</v>
      </c>
      <c r="F678" s="2" t="s">
        <v>19</v>
      </c>
      <c r="G678" s="7" t="str">
        <f aca="false">HYPERLINK("https://mncourtfraud.com/file/MCRO_27-CR-20-693_Findings and Order_2021-08-31_20251126181201.pdf","MCRO_27-CR-20-693_Findings and Order_2021-08-31_20251126181201.pdf")</f>
        <v>MCRO_27-CR-20-693_Findings and Order_2021-08-31_20251126181201.pdf</v>
      </c>
      <c r="H678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678" s="1" t="s">
        <v>3428</v>
      </c>
      <c r="J678" s="2" t="s">
        <v>3429</v>
      </c>
      <c r="K678" s="2" t="s">
        <v>3429</v>
      </c>
      <c r="L678" s="2" t="s">
        <v>3415</v>
      </c>
      <c r="M678" s="2" t="n">
        <v>86093</v>
      </c>
    </row>
    <row r="679" customFormat="false" ht="18.7" hidden="false" customHeight="true" outlineLevel="0" collapsed="false">
      <c r="A679" s="1" t="n">
        <v>678</v>
      </c>
      <c r="B679" s="7" t="str">
        <f aca="false">HYPERLINK("https://mncourtfraud.com/file/27-CR-20-693.pdf","27-CR-20-693")</f>
        <v>27-CR-20-693</v>
      </c>
      <c r="C679" s="1" t="n">
        <v>1</v>
      </c>
      <c r="D679" s="2" t="s">
        <v>12</v>
      </c>
      <c r="E679" s="8" t="n">
        <v>44439</v>
      </c>
      <c r="F679" s="2" t="s">
        <v>19</v>
      </c>
      <c r="G679" s="7" t="str">
        <f aca="false">HYPERLINK("https://mncourtfraud.com/file/MCRO_27-CR-20-693_Findings and Order_2021-08-31_20251126181201.pdf","MCRO_27-CR-20-693_Findings and Order_2021-08-31_20251126181201.pdf")</f>
        <v>MCRO_27-CR-20-693_Findings and Order_2021-08-31_20251126181201.pdf</v>
      </c>
      <c r="H679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679" s="1" t="s">
        <v>3406</v>
      </c>
      <c r="K679" s="2" t="s">
        <v>3430</v>
      </c>
      <c r="L679" s="2" t="s">
        <v>3408</v>
      </c>
      <c r="M679" s="2" t="n">
        <v>28069</v>
      </c>
      <c r="O679" s="2" t="s">
        <v>3409</v>
      </c>
      <c r="P679" s="2" t="s">
        <v>3410</v>
      </c>
      <c r="S679" s="2" t="n">
        <v>448</v>
      </c>
      <c r="T679" s="2" t="n">
        <v>128</v>
      </c>
    </row>
    <row r="680" customFormat="false" ht="18.7" hidden="false" customHeight="true" outlineLevel="0" collapsed="false">
      <c r="A680" s="1" t="n">
        <v>679</v>
      </c>
      <c r="B680" s="7" t="str">
        <f aca="false">HYPERLINK("https://mncourtfraud.com/file/27-CR-20-693.pdf","27-CR-20-693")</f>
        <v>27-CR-20-693</v>
      </c>
      <c r="C680" s="1" t="n">
        <v>1</v>
      </c>
      <c r="D680" s="2" t="s">
        <v>12</v>
      </c>
      <c r="E680" s="8" t="n">
        <v>44439</v>
      </c>
      <c r="F680" s="2" t="s">
        <v>19</v>
      </c>
      <c r="G680" s="7" t="str">
        <f aca="false">HYPERLINK("https://mncourtfraud.com/file/MCRO_27-CR-20-693_Findings and Order_2021-08-31_20251126181201.pdf","MCRO_27-CR-20-693_Findings and Order_2021-08-31_20251126181201.pdf")</f>
        <v>MCRO_27-CR-20-693_Findings and Order_2021-08-31_20251126181201.pdf</v>
      </c>
      <c r="H680" s="7" t="str">
        <f aca="false">HYPERLINK("https://mncourtfraud.com/file/d85226137c53579f37f2c87321a4ff209a309a82330591d9457774d7d697befc.ttf","d85226137c53579f37f2c87321a4ff209a309a82330591d9457774d7d697befc")</f>
        <v>d85226137c53579f37f2c87321a4ff209a309a82330591d9457774d7d697befc</v>
      </c>
      <c r="I680" s="1" t="s">
        <v>3413</v>
      </c>
      <c r="J680" s="2" t="s">
        <v>3414</v>
      </c>
      <c r="K680" s="2" t="s">
        <v>3416</v>
      </c>
      <c r="L680" s="2" t="s">
        <v>3415</v>
      </c>
      <c r="M680" s="2" t="n">
        <v>49992</v>
      </c>
    </row>
    <row r="681" customFormat="false" ht="18.7" hidden="false" customHeight="true" outlineLevel="0" collapsed="false">
      <c r="A681" s="1" t="n">
        <v>680</v>
      </c>
      <c r="B681" s="7" t="str">
        <f aca="false">HYPERLINK("https://mncourtfraud.com/file/27-CR-20-693.pdf","27-CR-20-693")</f>
        <v>27-CR-20-693</v>
      </c>
      <c r="C681" s="1" t="n">
        <v>1</v>
      </c>
      <c r="D681" s="2" t="s">
        <v>12</v>
      </c>
      <c r="E681" s="8" t="n">
        <v>44460</v>
      </c>
      <c r="F681" s="2" t="s">
        <v>24</v>
      </c>
      <c r="G681" s="7" t="str">
        <f aca="false">HYPERLINK("https://mncourtfraud.com/file/MCRO_27-CR-20-693_Order for Conditional Release_2021-09-21_20251126181227.pdf","MCRO_27-CR-20-693_Order for Conditional Release_2021-09-21_20251126181227.pdf")</f>
        <v>MCRO_27-CR-20-693_Order for Conditional Release_2021-09-21_20251126181227.pdf</v>
      </c>
      <c r="H681" s="7" t="str">
        <f aca="false">HYPERLINK("https://mncourtfraud.com/file/02dfb6e08fd11b3563d1b9b621b56dbf2dc11acbd85e42bfd83f728fb300bef2.ttf","02dfb6e08fd11b3563d1b9b621b56dbf2dc11acbd85e42bfd83f728fb300bef2")</f>
        <v>02dfb6e08fd11b3563d1b9b621b56dbf2dc11acbd85e42bfd83f728fb300bef2</v>
      </c>
      <c r="I681" s="1" t="s">
        <v>3413</v>
      </c>
      <c r="L681" s="2" t="s">
        <v>3415</v>
      </c>
      <c r="M681" s="2" t="n">
        <v>333576</v>
      </c>
    </row>
    <row r="682" customFormat="false" ht="18.7" hidden="false" customHeight="true" outlineLevel="0" collapsed="false">
      <c r="A682" s="1" t="n">
        <v>681</v>
      </c>
      <c r="B682" s="7" t="str">
        <f aca="false">HYPERLINK("https://mncourtfraud.com/file/27-CR-20-693.pdf","27-CR-20-693")</f>
        <v>27-CR-20-693</v>
      </c>
      <c r="C682" s="1" t="n">
        <v>1</v>
      </c>
      <c r="D682" s="2" t="s">
        <v>12</v>
      </c>
      <c r="E682" s="8" t="n">
        <v>44460</v>
      </c>
      <c r="F682" s="2" t="s">
        <v>24</v>
      </c>
      <c r="G682" s="7" t="str">
        <f aca="false">HYPERLINK("https://mncourtfraud.com/file/MCRO_27-CR-20-693_Order for Conditional Release_2021-09-21_20251126181227.pdf","MCRO_27-CR-20-693_Order for Conditional Release_2021-09-21_20251126181227.pdf")</f>
        <v>MCRO_27-CR-20-693_Order for Conditional Release_2021-09-21_20251126181227.pdf</v>
      </c>
      <c r="H682" s="7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682" s="1" t="s">
        <v>3406</v>
      </c>
      <c r="L682" s="2" t="s">
        <v>3412</v>
      </c>
      <c r="M682" s="2" t="n">
        <v>152962</v>
      </c>
      <c r="S682" s="2" t="n">
        <v>2560</v>
      </c>
      <c r="T682" s="2" t="n">
        <v>3300</v>
      </c>
    </row>
    <row r="683" customFormat="false" ht="18.7" hidden="false" customHeight="true" outlineLevel="0" collapsed="false">
      <c r="A683" s="1" t="n">
        <v>682</v>
      </c>
      <c r="B683" s="7" t="str">
        <f aca="false">HYPERLINK("https://mncourtfraud.com/file/27-CR-20-693.pdf","27-CR-20-693")</f>
        <v>27-CR-20-693</v>
      </c>
      <c r="C683" s="1" t="n">
        <v>1</v>
      </c>
      <c r="D683" s="2" t="s">
        <v>12</v>
      </c>
      <c r="E683" s="8" t="n">
        <v>44468</v>
      </c>
      <c r="F683" s="2" t="s">
        <v>24</v>
      </c>
      <c r="G683" s="7" t="str">
        <f aca="false">HYPERLINK("https://mncourtfraud.com/file/MCRO_27-CR-20-693_Order for Conditional Release_2021-09-29_20251126181223.pdf","MCRO_27-CR-20-693_Order for Conditional Release_2021-09-29_20251126181223.pdf")</f>
        <v>MCRO_27-CR-20-693_Order for Conditional Release_2021-09-29_20251126181223.pdf</v>
      </c>
      <c r="H683" s="7" t="str">
        <f aca="false">HYPERLINK("https://mncourtfraud.com/file/29d541cb6920f2a0815a72232c8164e19ffda7ff89f025261d343aef97d55c23.png","29d541cb6920f2a0815a72232c8164e19ffda7ff89f025261d343aef97d55c23")</f>
        <v>29d541cb6920f2a0815a72232c8164e19ffda7ff89f025261d343aef97d55c23</v>
      </c>
      <c r="I683" s="1" t="s">
        <v>3406</v>
      </c>
      <c r="L683" s="2" t="s">
        <v>3412</v>
      </c>
      <c r="M683" s="2" t="n">
        <v>104</v>
      </c>
      <c r="S683" s="2" t="n">
        <v>5</v>
      </c>
      <c r="T683" s="2" t="n">
        <v>75</v>
      </c>
    </row>
    <row r="684" customFormat="false" ht="18.7" hidden="false" customHeight="true" outlineLevel="0" collapsed="false">
      <c r="A684" s="1" t="n">
        <v>683</v>
      </c>
      <c r="B684" s="7" t="str">
        <f aca="false">HYPERLINK("https://mncourtfraud.com/file/27-CR-20-693.pdf","27-CR-20-693")</f>
        <v>27-CR-20-693</v>
      </c>
      <c r="C684" s="1" t="n">
        <v>1</v>
      </c>
      <c r="D684" s="2" t="s">
        <v>12</v>
      </c>
      <c r="E684" s="8" t="n">
        <v>44468</v>
      </c>
      <c r="F684" s="2" t="s">
        <v>24</v>
      </c>
      <c r="G684" s="7" t="str">
        <f aca="false">HYPERLINK("https://mncourtfraud.com/file/MCRO_27-CR-20-693_Order for Conditional Release_2021-09-29_20251126181223.pdf","MCRO_27-CR-20-693_Order for Conditional Release_2021-09-29_20251126181223.pdf")</f>
        <v>MCRO_27-CR-20-693_Order for Conditional Release_2021-09-29_20251126181223.pdf</v>
      </c>
      <c r="H684" s="7" t="str">
        <f aca="false">HYPERLINK("https://mncourtfraud.com/file/3d978c70f8a4a91fd25d0f653c2931516767fdd837fcadff75a8c3cd2ba3a28e.png","3d978c70f8a4a91fd25d0f653c2931516767fdd837fcadff75a8c3cd2ba3a28e")</f>
        <v>3d978c70f8a4a91fd25d0f653c2931516767fdd837fcadff75a8c3cd2ba3a28e</v>
      </c>
      <c r="I684" s="1" t="s">
        <v>3406</v>
      </c>
      <c r="L684" s="2" t="s">
        <v>3412</v>
      </c>
      <c r="M684" s="2" t="n">
        <v>2435</v>
      </c>
      <c r="S684" s="2" t="n">
        <v>1069</v>
      </c>
      <c r="T684" s="2" t="n">
        <v>679</v>
      </c>
    </row>
    <row r="685" customFormat="false" ht="18.7" hidden="false" customHeight="true" outlineLevel="0" collapsed="false">
      <c r="A685" s="1" t="n">
        <v>684</v>
      </c>
      <c r="B685" s="7" t="str">
        <f aca="false">HYPERLINK("https://mncourtfraud.com/file/27-CR-20-693.pdf","27-CR-20-693")</f>
        <v>27-CR-20-693</v>
      </c>
      <c r="C685" s="1" t="n">
        <v>1</v>
      </c>
      <c r="D685" s="2" t="s">
        <v>12</v>
      </c>
      <c r="E685" s="8" t="n">
        <v>44468</v>
      </c>
      <c r="F685" s="2" t="s">
        <v>24</v>
      </c>
      <c r="G685" s="7" t="str">
        <f aca="false">HYPERLINK("https://mncourtfraud.com/file/MCRO_27-CR-20-693_Order for Conditional Release_2021-09-29_20251126181223.pdf","MCRO_27-CR-20-693_Order for Conditional Release_2021-09-29_20251126181223.pdf")</f>
        <v>MCRO_27-CR-20-693_Order for Conditional Release_2021-09-29_20251126181223.pdf</v>
      </c>
      <c r="H685" s="7" t="str">
        <f aca="false">HYPERLINK("https://mncourtfraud.com/file/3f202249d41f264cabf7a4fd2c634829df7886c25cb759658f06c1a8bca28360.cid","3f202249d41f264cabf7a4fd2c634829df7886c25cb759658f06c1a8bca28360")</f>
        <v>3f202249d41f264cabf7a4fd2c634829df7886c25cb759658f06c1a8bca28360</v>
      </c>
      <c r="I685" s="1" t="s">
        <v>3431</v>
      </c>
      <c r="L685" s="2" t="s">
        <v>3415</v>
      </c>
      <c r="M685" s="2" t="n">
        <v>1397</v>
      </c>
    </row>
    <row r="686" customFormat="false" ht="18.7" hidden="false" customHeight="true" outlineLevel="0" collapsed="false">
      <c r="A686" s="1" t="n">
        <v>685</v>
      </c>
      <c r="B686" s="7" t="str">
        <f aca="false">HYPERLINK("https://mncourtfraud.com/file/27-CR-20-693.pdf","27-CR-20-693")</f>
        <v>27-CR-20-693</v>
      </c>
      <c r="C686" s="1" t="n">
        <v>1</v>
      </c>
      <c r="D686" s="2" t="s">
        <v>12</v>
      </c>
      <c r="E686" s="8" t="n">
        <v>44468</v>
      </c>
      <c r="F686" s="2" t="s">
        <v>24</v>
      </c>
      <c r="G686" s="7" t="str">
        <f aca="false">HYPERLINK("https://mncourtfraud.com/file/MCRO_27-CR-20-693_Order for Conditional Release_2021-09-29_20251126181223.pdf","MCRO_27-CR-20-693_Order for Conditional Release_2021-09-29_20251126181223.pdf")</f>
        <v>MCRO_27-CR-20-693_Order for Conditional Release_2021-09-29_20251126181223.pdf</v>
      </c>
      <c r="H686" s="7" t="str">
        <f aca="false">HYPERLINK("https://mncourtfraud.com/file/425a64ecdc19aa0c86b927b2be8980d179c92ac4af2a49d3c3ad0aa278728c52.png","425a64ecdc19aa0c86b927b2be8980d179c92ac4af2a49d3c3ad0aa278728c52")</f>
        <v>425a64ecdc19aa0c86b927b2be8980d179c92ac4af2a49d3c3ad0aa278728c52</v>
      </c>
      <c r="I686" s="1" t="s">
        <v>3406</v>
      </c>
      <c r="L686" s="2" t="s">
        <v>3412</v>
      </c>
      <c r="M686" s="2" t="n">
        <v>520</v>
      </c>
      <c r="S686" s="2" t="n">
        <v>126</v>
      </c>
      <c r="T686" s="2" t="n">
        <v>150</v>
      </c>
    </row>
    <row r="687" customFormat="false" ht="18.7" hidden="false" customHeight="true" outlineLevel="0" collapsed="false">
      <c r="A687" s="1" t="n">
        <v>686</v>
      </c>
      <c r="B687" s="7" t="str">
        <f aca="false">HYPERLINK("https://mncourtfraud.com/file/27-CR-20-693.pdf","27-CR-20-693")</f>
        <v>27-CR-20-693</v>
      </c>
      <c r="C687" s="1" t="n">
        <v>1</v>
      </c>
      <c r="D687" s="2" t="s">
        <v>12</v>
      </c>
      <c r="E687" s="8" t="n">
        <v>44468</v>
      </c>
      <c r="F687" s="2" t="s">
        <v>24</v>
      </c>
      <c r="G687" s="7" t="str">
        <f aca="false">HYPERLINK("https://mncourtfraud.com/file/MCRO_27-CR-20-693_Order for Conditional Release_2021-09-29_20251126181223.pdf","MCRO_27-CR-20-693_Order for Conditional Release_2021-09-29_20251126181223.pdf")</f>
        <v>MCRO_27-CR-20-693_Order for Conditional Release_2021-09-29_20251126181223.pdf</v>
      </c>
      <c r="H687" s="7" t="str">
        <f aca="false">HYPERLINK("https://mncourtfraud.com/file/4458a2b033c8132fd890227750c1df180ec4563b9dc0a6394b3691240425c9b3.cid","4458a2b033c8132fd890227750c1df180ec4563b9dc0a6394b3691240425c9b3")</f>
        <v>4458a2b033c8132fd890227750c1df180ec4563b9dc0a6394b3691240425c9b3</v>
      </c>
      <c r="I687" s="1" t="s">
        <v>3431</v>
      </c>
      <c r="L687" s="2" t="s">
        <v>3415</v>
      </c>
      <c r="M687" s="2" t="n">
        <v>3580</v>
      </c>
    </row>
    <row r="688" customFormat="false" ht="18.7" hidden="false" customHeight="true" outlineLevel="0" collapsed="false">
      <c r="A688" s="1" t="n">
        <v>687</v>
      </c>
      <c r="B688" s="7" t="str">
        <f aca="false">HYPERLINK("https://mncourtfraud.com/file/27-CR-20-693.pdf","27-CR-20-693")</f>
        <v>27-CR-20-693</v>
      </c>
      <c r="C688" s="1" t="n">
        <v>1</v>
      </c>
      <c r="D688" s="2" t="s">
        <v>12</v>
      </c>
      <c r="E688" s="8" t="n">
        <v>44468</v>
      </c>
      <c r="F688" s="2" t="s">
        <v>24</v>
      </c>
      <c r="G688" s="7" t="str">
        <f aca="false">HYPERLINK("https://mncourtfraud.com/file/MCRO_27-CR-20-693_Order for Conditional Release_2021-09-29_20251126181223.pdf","MCRO_27-CR-20-693_Order for Conditional Release_2021-09-29_20251126181223.pdf")</f>
        <v>MCRO_27-CR-20-693_Order for Conditional Release_2021-09-29_20251126181223.pdf</v>
      </c>
      <c r="H688" s="7" t="str">
        <f aca="false">HYPERLINK("https://mncourtfraud.com/file/45a9f49ddf96d4a4dcf4561d2702204f448986045babf3fdd52fa18200557e31.png","45a9f49ddf96d4a4dcf4561d2702204f448986045babf3fdd52fa18200557e31")</f>
        <v>45a9f49ddf96d4a4dcf4561d2702204f448986045babf3fdd52fa18200557e31</v>
      </c>
      <c r="I688" s="1" t="s">
        <v>3406</v>
      </c>
      <c r="L688" s="2" t="s">
        <v>3412</v>
      </c>
      <c r="M688" s="2" t="n">
        <v>97</v>
      </c>
      <c r="S688" s="2" t="n">
        <v>3</v>
      </c>
      <c r="T688" s="2" t="n">
        <v>4</v>
      </c>
    </row>
    <row r="689" customFormat="false" ht="18.7" hidden="false" customHeight="true" outlineLevel="0" collapsed="false">
      <c r="A689" s="1" t="n">
        <v>688</v>
      </c>
      <c r="B689" s="7" t="str">
        <f aca="false">HYPERLINK("https://mncourtfraud.com/file/27-CR-20-693.pdf","27-CR-20-693")</f>
        <v>27-CR-20-693</v>
      </c>
      <c r="C689" s="1" t="n">
        <v>1</v>
      </c>
      <c r="D689" s="2" t="s">
        <v>12</v>
      </c>
      <c r="E689" s="8" t="n">
        <v>44468</v>
      </c>
      <c r="F689" s="2" t="s">
        <v>24</v>
      </c>
      <c r="G689" s="7" t="str">
        <f aca="false">HYPERLINK("https://mncourtfraud.com/file/MCRO_27-CR-20-693_Order for Conditional Release_2021-09-29_20251126181223.pdf","MCRO_27-CR-20-693_Order for Conditional Release_2021-09-29_20251126181223.pdf")</f>
        <v>MCRO_27-CR-20-693_Order for Conditional Release_2021-09-29_20251126181223.pdf</v>
      </c>
      <c r="H689" s="7" t="str">
        <f aca="false">HYPERLINK("https://mncourtfraud.com/file/50457dc3e0bb6204f128f3222c76884dffaf132a86395902e3967a44a5d511ed.cid","50457dc3e0bb6204f128f3222c76884dffaf132a86395902e3967a44a5d511ed")</f>
        <v>50457dc3e0bb6204f128f3222c76884dffaf132a86395902e3967a44a5d511ed</v>
      </c>
      <c r="I689" s="1" t="s">
        <v>3431</v>
      </c>
      <c r="L689" s="2" t="s">
        <v>3415</v>
      </c>
      <c r="M689" s="2" t="n">
        <v>2839</v>
      </c>
    </row>
    <row r="690" customFormat="false" ht="18.7" hidden="false" customHeight="true" outlineLevel="0" collapsed="false">
      <c r="A690" s="1" t="n">
        <v>689</v>
      </c>
      <c r="B690" s="7" t="str">
        <f aca="false">HYPERLINK("https://mncourtfraud.com/file/27-CR-20-693.pdf","27-CR-20-693")</f>
        <v>27-CR-20-693</v>
      </c>
      <c r="C690" s="1" t="n">
        <v>1</v>
      </c>
      <c r="D690" s="2" t="s">
        <v>12</v>
      </c>
      <c r="E690" s="8" t="n">
        <v>44468</v>
      </c>
      <c r="F690" s="2" t="s">
        <v>24</v>
      </c>
      <c r="G690" s="7" t="str">
        <f aca="false">HYPERLINK("https://mncourtfraud.com/file/MCRO_27-CR-20-693_Order for Conditional Release_2021-09-29_20251126181223.pdf","MCRO_27-CR-20-693_Order for Conditional Release_2021-09-29_20251126181223.pdf")</f>
        <v>MCRO_27-CR-20-693_Order for Conditional Release_2021-09-29_20251126181223.pdf</v>
      </c>
      <c r="H690" s="7" t="str">
        <f aca="false">HYPERLINK("https://mncourtfraud.com/file/52f2827f81e9a21813e5089396a7afa6accf4023998e877d3b9460283e0bb9a5.cid","52f2827f81e9a21813e5089396a7afa6accf4023998e877d3b9460283e0bb9a5")</f>
        <v>52f2827f81e9a21813e5089396a7afa6accf4023998e877d3b9460283e0bb9a5</v>
      </c>
      <c r="I690" s="1" t="s">
        <v>3431</v>
      </c>
      <c r="L690" s="2" t="s">
        <v>3415</v>
      </c>
      <c r="M690" s="2" t="n">
        <v>381</v>
      </c>
    </row>
    <row r="691" customFormat="false" ht="18.7" hidden="false" customHeight="true" outlineLevel="0" collapsed="false">
      <c r="A691" s="1" t="n">
        <v>690</v>
      </c>
      <c r="B691" s="7" t="str">
        <f aca="false">HYPERLINK("https://mncourtfraud.com/file/27-CR-20-693.pdf","27-CR-20-693")</f>
        <v>27-CR-20-693</v>
      </c>
      <c r="C691" s="1" t="n">
        <v>1</v>
      </c>
      <c r="D691" s="2" t="s">
        <v>12</v>
      </c>
      <c r="E691" s="8" t="n">
        <v>44468</v>
      </c>
      <c r="F691" s="2" t="s">
        <v>24</v>
      </c>
      <c r="G691" s="7" t="str">
        <f aca="false">HYPERLINK("https://mncourtfraud.com/file/MCRO_27-CR-20-693_Order for Conditional Release_2021-09-29_20251126181223.pdf","MCRO_27-CR-20-693_Order for Conditional Release_2021-09-29_20251126181223.pdf")</f>
        <v>MCRO_27-CR-20-693_Order for Conditional Release_2021-09-29_20251126181223.pdf</v>
      </c>
      <c r="H691" s="7" t="str">
        <f aca="false">HYPERLINK("https://mncourtfraud.com/file/5bf127b8427f0831bc8864aa549643604be6b63d8ca96ff1ba7182ccec9bc2ad.cid","5bf127b8427f0831bc8864aa549643604be6b63d8ca96ff1ba7182ccec9bc2ad")</f>
        <v>5bf127b8427f0831bc8864aa549643604be6b63d8ca96ff1ba7182ccec9bc2ad</v>
      </c>
      <c r="I691" s="1" t="s">
        <v>3431</v>
      </c>
      <c r="L691" s="2" t="s">
        <v>3415</v>
      </c>
      <c r="M691" s="2" t="n">
        <v>7990</v>
      </c>
    </row>
    <row r="692" customFormat="false" ht="18.7" hidden="false" customHeight="true" outlineLevel="0" collapsed="false">
      <c r="A692" s="1" t="n">
        <v>691</v>
      </c>
      <c r="B692" s="7" t="str">
        <f aca="false">HYPERLINK("https://mncourtfraud.com/file/27-CR-20-693.pdf","27-CR-20-693")</f>
        <v>27-CR-20-693</v>
      </c>
      <c r="C692" s="1" t="n">
        <v>1</v>
      </c>
      <c r="D692" s="2" t="s">
        <v>12</v>
      </c>
      <c r="E692" s="8" t="n">
        <v>44468</v>
      </c>
      <c r="F692" s="2" t="s">
        <v>24</v>
      </c>
      <c r="G692" s="7" t="str">
        <f aca="false">HYPERLINK("https://mncourtfraud.com/file/MCRO_27-CR-20-693_Order for Conditional Release_2021-09-29_20251126181223.pdf","MCRO_27-CR-20-693_Order for Conditional Release_2021-09-29_20251126181223.pdf")</f>
        <v>MCRO_27-CR-20-693_Order for Conditional Release_2021-09-29_20251126181223.pdf</v>
      </c>
      <c r="H692" s="7" t="str">
        <f aca="false">HYPERLINK("https://mncourtfraud.com/file/614121b29b009262816a5b70532c1a04ec73c5d83786c4500719e9e7d614a562.cid","614121b29b009262816a5b70532c1a04ec73c5d83786c4500719e9e7d614a562")</f>
        <v>614121b29b009262816a5b70532c1a04ec73c5d83786c4500719e9e7d614a562</v>
      </c>
      <c r="I692" s="1" t="s">
        <v>3431</v>
      </c>
      <c r="L692" s="2" t="s">
        <v>3415</v>
      </c>
      <c r="M692" s="2" t="n">
        <v>5970</v>
      </c>
    </row>
    <row r="693" customFormat="false" ht="18.7" hidden="false" customHeight="true" outlineLevel="0" collapsed="false">
      <c r="A693" s="1" t="n">
        <v>692</v>
      </c>
      <c r="B693" s="7" t="str">
        <f aca="false">HYPERLINK("https://mncourtfraud.com/file/27-CR-20-693.pdf","27-CR-20-693")</f>
        <v>27-CR-20-693</v>
      </c>
      <c r="C693" s="1" t="n">
        <v>1</v>
      </c>
      <c r="D693" s="2" t="s">
        <v>12</v>
      </c>
      <c r="E693" s="8" t="n">
        <v>44468</v>
      </c>
      <c r="F693" s="2" t="s">
        <v>24</v>
      </c>
      <c r="G693" s="7" t="str">
        <f aca="false">HYPERLINK("https://mncourtfraud.com/file/MCRO_27-CR-20-693_Order for Conditional Release_2021-09-29_20251126181223.pdf","MCRO_27-CR-20-693_Order for Conditional Release_2021-09-29_20251126181223.pdf")</f>
        <v>MCRO_27-CR-20-693_Order for Conditional Release_2021-09-29_20251126181223.pdf</v>
      </c>
      <c r="H693" s="7" t="str">
        <f aca="false">HYPERLINK("https://mncourtfraud.com/file/7e14169e8fd6eddddd43bc2fc14557202f527587078dd29e867ad63570714e07.png","7e14169e8fd6eddddd43bc2fc14557202f527587078dd29e867ad63570714e07")</f>
        <v>7e14169e8fd6eddddd43bc2fc14557202f527587078dd29e867ad63570714e07</v>
      </c>
      <c r="I693" s="1" t="s">
        <v>3406</v>
      </c>
      <c r="L693" s="2" t="s">
        <v>3412</v>
      </c>
      <c r="M693" s="2" t="n">
        <v>100</v>
      </c>
      <c r="S693" s="2" t="n">
        <v>5</v>
      </c>
      <c r="T693" s="2" t="n">
        <v>5</v>
      </c>
    </row>
    <row r="694" customFormat="false" ht="18.7" hidden="false" customHeight="true" outlineLevel="0" collapsed="false">
      <c r="A694" s="1" t="n">
        <v>693</v>
      </c>
      <c r="B694" s="7" t="str">
        <f aca="false">HYPERLINK("https://mncourtfraud.com/file/27-CR-20-693.pdf","27-CR-20-693")</f>
        <v>27-CR-20-693</v>
      </c>
      <c r="C694" s="1" t="n">
        <v>1</v>
      </c>
      <c r="D694" s="2" t="s">
        <v>12</v>
      </c>
      <c r="E694" s="8" t="n">
        <v>44468</v>
      </c>
      <c r="F694" s="2" t="s">
        <v>24</v>
      </c>
      <c r="G694" s="7" t="str">
        <f aca="false">HYPERLINK("https://mncourtfraud.com/file/MCRO_27-CR-20-693_Order for Conditional Release_2021-09-29_20251126181223.pdf","MCRO_27-CR-20-693_Order for Conditional Release_2021-09-29_20251126181223.pdf")</f>
        <v>MCRO_27-CR-20-693_Order for Conditional Release_2021-09-29_20251126181223.pdf</v>
      </c>
      <c r="H694" s="7" t="str">
        <f aca="false">HYPERLINK("https://mncourtfraud.com/file/8198df5372238cac138bb64883627cf42bfc08ac483ff14b35858ae098fa3e09.cid","8198df5372238cac138bb64883627cf42bfc08ac483ff14b35858ae098fa3e09")</f>
        <v>8198df5372238cac138bb64883627cf42bfc08ac483ff14b35858ae098fa3e09</v>
      </c>
      <c r="I694" s="1" t="s">
        <v>3431</v>
      </c>
      <c r="L694" s="2" t="s">
        <v>3415</v>
      </c>
      <c r="M694" s="2" t="n">
        <v>3966</v>
      </c>
    </row>
    <row r="695" customFormat="false" ht="18.7" hidden="false" customHeight="true" outlineLevel="0" collapsed="false">
      <c r="A695" s="1" t="n">
        <v>694</v>
      </c>
      <c r="B695" s="7" t="str">
        <f aca="false">HYPERLINK("https://mncourtfraud.com/file/27-CR-20-693.pdf","27-CR-20-693")</f>
        <v>27-CR-20-693</v>
      </c>
      <c r="C695" s="1" t="n">
        <v>1</v>
      </c>
      <c r="D695" s="2" t="s">
        <v>12</v>
      </c>
      <c r="E695" s="8" t="n">
        <v>44468</v>
      </c>
      <c r="F695" s="2" t="s">
        <v>24</v>
      </c>
      <c r="G695" s="7" t="str">
        <f aca="false">HYPERLINK("https://mncourtfraud.com/file/MCRO_27-CR-20-693_Order for Conditional Release_2021-09-29_20251126181223.pdf","MCRO_27-CR-20-693_Order for Conditional Release_2021-09-29_20251126181223.pdf")</f>
        <v>MCRO_27-CR-20-693_Order for Conditional Release_2021-09-29_20251126181223.pdf</v>
      </c>
      <c r="H695" s="7" t="str">
        <f aca="false">HYPERLINK("https://mncourtfraud.com/file/8793bfb8eeebb59de729b22461b75a010eda532097214bf8285117449fae5b3c.png","8793bfb8eeebb59de729b22461b75a010eda532097214bf8285117449fae5b3c")</f>
        <v>8793bfb8eeebb59de729b22461b75a010eda532097214bf8285117449fae5b3c</v>
      </c>
      <c r="I695" s="1" t="s">
        <v>3406</v>
      </c>
      <c r="L695" s="2" t="s">
        <v>3412</v>
      </c>
      <c r="M695" s="2" t="n">
        <v>104</v>
      </c>
      <c r="S695" s="2" t="n">
        <v>6</v>
      </c>
      <c r="T695" s="2" t="n">
        <v>4</v>
      </c>
    </row>
    <row r="696" customFormat="false" ht="18.7" hidden="false" customHeight="true" outlineLevel="0" collapsed="false">
      <c r="A696" s="1" t="n">
        <v>695</v>
      </c>
      <c r="B696" s="7" t="str">
        <f aca="false">HYPERLINK("https://mncourtfraud.com/file/27-CR-20-693.pdf","27-CR-20-693")</f>
        <v>27-CR-20-693</v>
      </c>
      <c r="C696" s="1" t="n">
        <v>1</v>
      </c>
      <c r="D696" s="2" t="s">
        <v>12</v>
      </c>
      <c r="E696" s="8" t="n">
        <v>44468</v>
      </c>
      <c r="F696" s="2" t="s">
        <v>24</v>
      </c>
      <c r="G696" s="7" t="str">
        <f aca="false">HYPERLINK("https://mncourtfraud.com/file/MCRO_27-CR-20-693_Order for Conditional Release_2021-09-29_20251126181223.pdf","MCRO_27-CR-20-693_Order for Conditional Release_2021-09-29_20251126181223.pdf")</f>
        <v>MCRO_27-CR-20-693_Order for Conditional Release_2021-09-29_20251126181223.pdf</v>
      </c>
      <c r="H696" s="7" t="str">
        <f aca="false">HYPERLINK("https://mncourtfraud.com/file/8c2e00c7a4e8974eff73eba397a59d5f5f25d249433535298973d70a9f79dec8.png","8c2e00c7a4e8974eff73eba397a59d5f5f25d249433535298973d70a9f79dec8")</f>
        <v>8c2e00c7a4e8974eff73eba397a59d5f5f25d249433535298973d70a9f79dec8</v>
      </c>
      <c r="I696" s="1" t="s">
        <v>3406</v>
      </c>
      <c r="L696" s="2" t="s">
        <v>3412</v>
      </c>
      <c r="M696" s="2" t="n">
        <v>810</v>
      </c>
      <c r="S696" s="2" t="n">
        <v>519</v>
      </c>
      <c r="T696" s="2" t="n">
        <v>231</v>
      </c>
    </row>
    <row r="697" customFormat="false" ht="18.7" hidden="false" customHeight="true" outlineLevel="0" collapsed="false">
      <c r="A697" s="1" t="n">
        <v>696</v>
      </c>
      <c r="B697" s="7" t="str">
        <f aca="false">HYPERLINK("https://mncourtfraud.com/file/27-CR-20-693.pdf","27-CR-20-693")</f>
        <v>27-CR-20-693</v>
      </c>
      <c r="C697" s="1" t="n">
        <v>1</v>
      </c>
      <c r="D697" s="2" t="s">
        <v>12</v>
      </c>
      <c r="E697" s="8" t="n">
        <v>44468</v>
      </c>
      <c r="F697" s="2" t="s">
        <v>24</v>
      </c>
      <c r="G697" s="7" t="str">
        <f aca="false">HYPERLINK("https://mncourtfraud.com/file/MCRO_27-CR-20-693_Order for Conditional Release_2021-09-29_20251126181223.pdf","MCRO_27-CR-20-693_Order for Conditional Release_2021-09-29_20251126181223.pdf")</f>
        <v>MCRO_27-CR-20-693_Order for Conditional Release_2021-09-29_20251126181223.pdf</v>
      </c>
      <c r="H697" s="7" t="str">
        <f aca="false">HYPERLINK("https://mncourtfraud.com/file/a431b1b5f48186b4c98851d84352c1573e22c0e9b97117edbc0ad8603da3c307.png","a431b1b5f48186b4c98851d84352c1573e22c0e9b97117edbc0ad8603da3c307")</f>
        <v>a431b1b5f48186b4c98851d84352c1573e22c0e9b97117edbc0ad8603da3c307</v>
      </c>
      <c r="I697" s="1" t="s">
        <v>3406</v>
      </c>
      <c r="L697" s="2" t="s">
        <v>3412</v>
      </c>
      <c r="M697" s="2" t="n">
        <v>157</v>
      </c>
      <c r="S697" s="2" t="n">
        <v>7</v>
      </c>
      <c r="T697" s="2" t="n">
        <v>284</v>
      </c>
    </row>
    <row r="698" customFormat="false" ht="18.7" hidden="false" customHeight="true" outlineLevel="0" collapsed="false">
      <c r="A698" s="1" t="n">
        <v>697</v>
      </c>
      <c r="B698" s="7" t="str">
        <f aca="false">HYPERLINK("https://mncourtfraud.com/file/27-CR-20-693.pdf","27-CR-20-693")</f>
        <v>27-CR-20-693</v>
      </c>
      <c r="C698" s="1" t="n">
        <v>1</v>
      </c>
      <c r="D698" s="2" t="s">
        <v>12</v>
      </c>
      <c r="E698" s="8" t="n">
        <v>44468</v>
      </c>
      <c r="F698" s="2" t="s">
        <v>24</v>
      </c>
      <c r="G698" s="7" t="str">
        <f aca="false">HYPERLINK("https://mncourtfraud.com/file/MCRO_27-CR-20-693_Order for Conditional Release_2021-09-29_20251126181223.pdf","MCRO_27-CR-20-693_Order for Conditional Release_2021-09-29_20251126181223.pdf")</f>
        <v>MCRO_27-CR-20-693_Order for Conditional Release_2021-09-29_20251126181223.pdf</v>
      </c>
      <c r="H698" s="7" t="str">
        <f aca="false">HYPERLINK("https://mncourtfraud.com/file/ac369f378e3fbed88e7c1c71d7e27d3af59d79c8d2f8338a6182f69d0e17a2ef.cid","ac369f378e3fbed88e7c1c71d7e27d3af59d79c8d2f8338a6182f69d0e17a2ef")</f>
        <v>ac369f378e3fbed88e7c1c71d7e27d3af59d79c8d2f8338a6182f69d0e17a2ef</v>
      </c>
      <c r="I698" s="1" t="s">
        <v>3431</v>
      </c>
      <c r="L698" s="2" t="s">
        <v>3415</v>
      </c>
      <c r="M698" s="2" t="n">
        <v>14113</v>
      </c>
    </row>
    <row r="699" customFormat="false" ht="18.7" hidden="false" customHeight="true" outlineLevel="0" collapsed="false">
      <c r="A699" s="1" t="n">
        <v>698</v>
      </c>
      <c r="B699" s="7" t="str">
        <f aca="false">HYPERLINK("https://mncourtfraud.com/file/27-CR-20-693.pdf","27-CR-20-693")</f>
        <v>27-CR-20-693</v>
      </c>
      <c r="C699" s="1" t="n">
        <v>1</v>
      </c>
      <c r="D699" s="2" t="s">
        <v>12</v>
      </c>
      <c r="E699" s="8" t="n">
        <v>44468</v>
      </c>
      <c r="F699" s="2" t="s">
        <v>24</v>
      </c>
      <c r="G699" s="7" t="str">
        <f aca="false">HYPERLINK("https://mncourtfraud.com/file/MCRO_27-CR-20-693_Order for Conditional Release_2021-09-29_20251126181223.pdf","MCRO_27-CR-20-693_Order for Conditional Release_2021-09-29_20251126181223.pdf")</f>
        <v>MCRO_27-CR-20-693_Order for Conditional Release_2021-09-29_20251126181223.pdf</v>
      </c>
      <c r="H699" s="7" t="str">
        <f aca="false">HYPERLINK("https://mncourtfraud.com/file/b1c38e97038ce898a189d377f1fa9f4b673ae497ef07cd779e6d54764f350895.cid","b1c38e97038ce898a189d377f1fa9f4b673ae497ef07cd779e6d54764f350895")</f>
        <v>b1c38e97038ce898a189d377f1fa9f4b673ae497ef07cd779e6d54764f350895</v>
      </c>
      <c r="I699" s="1" t="s">
        <v>3431</v>
      </c>
      <c r="L699" s="2" t="s">
        <v>3415</v>
      </c>
      <c r="M699" s="2" t="n">
        <v>3783</v>
      </c>
    </row>
    <row r="700" customFormat="false" ht="18.7" hidden="false" customHeight="true" outlineLevel="0" collapsed="false">
      <c r="A700" s="1" t="n">
        <v>699</v>
      </c>
      <c r="B700" s="7" t="str">
        <f aca="false">HYPERLINK("https://mncourtfraud.com/file/27-CR-20-693.pdf","27-CR-20-693")</f>
        <v>27-CR-20-693</v>
      </c>
      <c r="C700" s="1" t="n">
        <v>1</v>
      </c>
      <c r="D700" s="2" t="s">
        <v>12</v>
      </c>
      <c r="E700" s="8" t="n">
        <v>44468</v>
      </c>
      <c r="F700" s="2" t="s">
        <v>24</v>
      </c>
      <c r="G700" s="7" t="str">
        <f aca="false">HYPERLINK("https://mncourtfraud.com/file/MCRO_27-CR-20-693_Order for Conditional Release_2021-09-29_20251126181223.pdf","MCRO_27-CR-20-693_Order for Conditional Release_2021-09-29_20251126181223.pdf")</f>
        <v>MCRO_27-CR-20-693_Order for Conditional Release_2021-09-29_20251126181223.pdf</v>
      </c>
      <c r="H700" s="7" t="str">
        <f aca="false">HYPERLINK("https://mncourtfraud.com/file/ba989ca65f54d43887ebbc930462a840e60360223cb0c16c223e7e9ed46afecb.cid","ba989ca65f54d43887ebbc930462a840e60360223cb0c16c223e7e9ed46afecb")</f>
        <v>ba989ca65f54d43887ebbc930462a840e60360223cb0c16c223e7e9ed46afecb</v>
      </c>
      <c r="I700" s="1" t="s">
        <v>3431</v>
      </c>
      <c r="L700" s="2" t="s">
        <v>3415</v>
      </c>
      <c r="M700" s="2" t="n">
        <v>444</v>
      </c>
    </row>
    <row r="701" customFormat="false" ht="18.7" hidden="false" customHeight="true" outlineLevel="0" collapsed="false">
      <c r="A701" s="1" t="n">
        <v>700</v>
      </c>
      <c r="B701" s="7" t="str">
        <f aca="false">HYPERLINK("https://mncourtfraud.com/file/27-CR-20-693.pdf","27-CR-20-693")</f>
        <v>27-CR-20-693</v>
      </c>
      <c r="C701" s="1" t="n">
        <v>1</v>
      </c>
      <c r="D701" s="2" t="s">
        <v>12</v>
      </c>
      <c r="E701" s="8" t="n">
        <v>44468</v>
      </c>
      <c r="F701" s="2" t="s">
        <v>24</v>
      </c>
      <c r="G701" s="7" t="str">
        <f aca="false">HYPERLINK("https://mncourtfraud.com/file/MCRO_27-CR-20-693_Order for Conditional Release_2021-09-29_20251126181223.pdf","MCRO_27-CR-20-693_Order for Conditional Release_2021-09-29_20251126181223.pdf")</f>
        <v>MCRO_27-CR-20-693_Order for Conditional Release_2021-09-29_20251126181223.pdf</v>
      </c>
      <c r="H701" s="7" t="str">
        <f aca="false">HYPERLINK("https://mncourtfraud.com/file/db9c8118091788c7a0a30157e363f5dd281f7a35fb525fad58599ee6371079a5.cid","db9c8118091788c7a0a30157e363f5dd281f7a35fb525fad58599ee6371079a5")</f>
        <v>db9c8118091788c7a0a30157e363f5dd281f7a35fb525fad58599ee6371079a5</v>
      </c>
      <c r="I701" s="1" t="s">
        <v>3431</v>
      </c>
      <c r="L701" s="2" t="s">
        <v>3415</v>
      </c>
      <c r="M701" s="2" t="n">
        <v>848</v>
      </c>
    </row>
    <row r="702" customFormat="false" ht="18.7" hidden="false" customHeight="true" outlineLevel="0" collapsed="false">
      <c r="A702" s="1" t="n">
        <v>701</v>
      </c>
      <c r="B702" s="7" t="str">
        <f aca="false">HYPERLINK("https://mncourtfraud.com/file/27-CR-20-693.pdf","27-CR-20-693")</f>
        <v>27-CR-20-693</v>
      </c>
      <c r="C702" s="1" t="n">
        <v>1</v>
      </c>
      <c r="D702" s="2" t="s">
        <v>12</v>
      </c>
      <c r="E702" s="8" t="n">
        <v>44468</v>
      </c>
      <c r="F702" s="2" t="s">
        <v>24</v>
      </c>
      <c r="G702" s="7" t="str">
        <f aca="false">HYPERLINK("https://mncourtfraud.com/file/MCRO_27-CR-20-693_Order for Conditional Release_2021-09-29_20251126181223.pdf","MCRO_27-CR-20-693_Order for Conditional Release_2021-09-29_20251126181223.pdf")</f>
        <v>MCRO_27-CR-20-693_Order for Conditional Release_2021-09-29_20251126181223.pdf</v>
      </c>
      <c r="H702" s="7" t="str">
        <f aca="false">HYPERLINK("https://mncourtfraud.com/file/e04b4db843c4bf02679b586bdc06323c2777cf59091b22718210a1dd2a0badc7.png","e04b4db843c4bf02679b586bdc06323c2777cf59091b22718210a1dd2a0badc7")</f>
        <v>e04b4db843c4bf02679b586bdc06323c2777cf59091b22718210a1dd2a0badc7</v>
      </c>
      <c r="I702" s="1" t="s">
        <v>3406</v>
      </c>
      <c r="L702" s="2" t="s">
        <v>3412</v>
      </c>
      <c r="M702" s="2" t="n">
        <v>199</v>
      </c>
      <c r="S702" s="2" t="n">
        <v>7</v>
      </c>
      <c r="T702" s="2" t="n">
        <v>347</v>
      </c>
    </row>
    <row r="703" customFormat="false" ht="18.7" hidden="false" customHeight="true" outlineLevel="0" collapsed="false">
      <c r="A703" s="1" t="n">
        <v>702</v>
      </c>
      <c r="B703" s="7" t="str">
        <f aca="false">HYPERLINK("https://mncourtfraud.com/file/27-CR-20-693.pdf","27-CR-20-693")</f>
        <v>27-CR-20-693</v>
      </c>
      <c r="C703" s="1" t="n">
        <v>1</v>
      </c>
      <c r="D703" s="2" t="s">
        <v>12</v>
      </c>
      <c r="E703" s="8" t="n">
        <v>44468</v>
      </c>
      <c r="F703" s="2" t="s">
        <v>24</v>
      </c>
      <c r="G703" s="7" t="str">
        <f aca="false">HYPERLINK("https://mncourtfraud.com/file/MCRO_27-CR-20-693_Order for Conditional Release_2021-09-29_20251126181223.pdf","MCRO_27-CR-20-693_Order for Conditional Release_2021-09-29_20251126181223.pdf")</f>
        <v>MCRO_27-CR-20-693_Order for Conditional Release_2021-09-29_20251126181223.pdf</v>
      </c>
      <c r="H703" s="7" t="str">
        <f aca="false">HYPERLINK("https://mncourtfraud.com/file/edbae421bba147262ba26ef60780ca6dfd5bedce23be39a1f883da7c23dae35f.cid","edbae421bba147262ba26ef60780ca6dfd5bedce23be39a1f883da7c23dae35f")</f>
        <v>edbae421bba147262ba26ef60780ca6dfd5bedce23be39a1f883da7c23dae35f</v>
      </c>
      <c r="I703" s="1" t="s">
        <v>3431</v>
      </c>
      <c r="L703" s="2" t="s">
        <v>3415</v>
      </c>
      <c r="M703" s="2" t="n">
        <v>21348</v>
      </c>
    </row>
    <row r="704" customFormat="false" ht="18.7" hidden="false" customHeight="true" outlineLevel="0" collapsed="false">
      <c r="A704" s="1" t="n">
        <v>703</v>
      </c>
      <c r="B704" s="7" t="str">
        <f aca="false">HYPERLINK("https://mncourtfraud.com/file/27-CR-20-693.pdf","27-CR-20-693")</f>
        <v>27-CR-20-693</v>
      </c>
      <c r="C704" s="1" t="n">
        <v>1</v>
      </c>
      <c r="D704" s="2" t="s">
        <v>12</v>
      </c>
      <c r="E704" s="8" t="n">
        <v>44468</v>
      </c>
      <c r="F704" s="2" t="s">
        <v>24</v>
      </c>
      <c r="G704" s="7" t="str">
        <f aca="false">HYPERLINK("https://mncourtfraud.com/file/MCRO_27-CR-20-693_Order for Conditional Release_2021-09-29_20251126181223.pdf","MCRO_27-CR-20-693_Order for Conditional Release_2021-09-29_20251126181223.pdf")</f>
        <v>MCRO_27-CR-20-693_Order for Conditional Release_2021-09-29_20251126181223.pdf</v>
      </c>
      <c r="H704" s="7" t="str">
        <f aca="false">HYPERLINK("https://mncourtfraud.com/file/efd944d517e9b552a77a910c5203f04540cf1249b7304a04f4907f542ec53c17.cid","efd944d517e9b552a77a910c5203f04540cf1249b7304a04f4907f542ec53c17")</f>
        <v>efd944d517e9b552a77a910c5203f04540cf1249b7304a04f4907f542ec53c17</v>
      </c>
      <c r="I704" s="1" t="s">
        <v>3431</v>
      </c>
      <c r="L704" s="2" t="s">
        <v>3415</v>
      </c>
      <c r="M704" s="2" t="n">
        <v>5521</v>
      </c>
    </row>
    <row r="705" customFormat="false" ht="18.7" hidden="false" customHeight="true" outlineLevel="0" collapsed="false">
      <c r="A705" s="1" t="n">
        <v>704</v>
      </c>
      <c r="B705" s="7" t="str">
        <f aca="false">HYPERLINK("https://mncourtfraud.com/file/27-CR-20-693.pdf","27-CR-20-693")</f>
        <v>27-CR-20-693</v>
      </c>
      <c r="C705" s="1" t="n">
        <v>1</v>
      </c>
      <c r="D705" s="2" t="s">
        <v>12</v>
      </c>
      <c r="E705" s="8" t="n">
        <v>44468</v>
      </c>
      <c r="F705" s="2" t="s">
        <v>24</v>
      </c>
      <c r="G705" s="7" t="str">
        <f aca="false">HYPERLINK("https://mncourtfraud.com/file/MCRO_27-CR-20-693_Order for Conditional Release_2021-09-29_20251126181223.pdf","MCRO_27-CR-20-693_Order for Conditional Release_2021-09-29_20251126181223.pdf")</f>
        <v>MCRO_27-CR-20-693_Order for Conditional Release_2021-09-29_20251126181223.pdf</v>
      </c>
      <c r="H705" s="7" t="str">
        <f aca="false">HYPERLINK("https://mncourtfraud.com/file/fe1965a60cba51fe144ad80b55474d56106539ec2835ed039f2e68d2691deed0.cid","fe1965a60cba51fe144ad80b55474d56106539ec2835ed039f2e68d2691deed0")</f>
        <v>fe1965a60cba51fe144ad80b55474d56106539ec2835ed039f2e68d2691deed0</v>
      </c>
      <c r="I705" s="1" t="s">
        <v>3431</v>
      </c>
      <c r="L705" s="2" t="s">
        <v>3415</v>
      </c>
      <c r="M705" s="2" t="n">
        <v>4323</v>
      </c>
    </row>
    <row r="706" customFormat="false" ht="18.7" hidden="false" customHeight="true" outlineLevel="0" collapsed="false">
      <c r="A706" s="1" t="n">
        <v>705</v>
      </c>
      <c r="B706" s="7" t="str">
        <f aca="false">HYPERLINK("https://mncourtfraud.com/file/27-CR-20-693.pdf","27-CR-20-693")</f>
        <v>27-CR-20-693</v>
      </c>
      <c r="C706" s="1" t="n">
        <v>1</v>
      </c>
      <c r="D706" s="2" t="s">
        <v>12</v>
      </c>
      <c r="E706" s="8" t="n">
        <v>44468</v>
      </c>
      <c r="F706" s="2" t="s">
        <v>24</v>
      </c>
      <c r="G706" s="7" t="str">
        <f aca="false">HYPERLINK("https://mncourtfraud.com/file/MCRO_27-CR-20-693_Order for Conditional Release_2021-09-29_20251126181223.pdf","MCRO_27-CR-20-693_Order for Conditional Release_2021-09-29_20251126181223.pdf")</f>
        <v>MCRO_27-CR-20-693_Order for Conditional Release_2021-09-29_20251126181223.pdf</v>
      </c>
      <c r="H706" s="7" t="str">
        <f aca="false">HYPERLINK("https://mncourtfraud.com/file/ff78f82f1ff3b9436a8d65df586b0bef19dd8fcf1b27941145ca7e723b37620b.cid","ff78f82f1ff3b9436a8d65df586b0bef19dd8fcf1b27941145ca7e723b37620b")</f>
        <v>ff78f82f1ff3b9436a8d65df586b0bef19dd8fcf1b27941145ca7e723b37620b</v>
      </c>
      <c r="I706" s="1" t="s">
        <v>3431</v>
      </c>
      <c r="L706" s="2" t="s">
        <v>3415</v>
      </c>
      <c r="M706" s="2" t="n">
        <v>339</v>
      </c>
    </row>
    <row r="707" customFormat="false" ht="18.7" hidden="false" customHeight="true" outlineLevel="0" collapsed="false">
      <c r="A707" s="1" t="n">
        <v>706</v>
      </c>
      <c r="B707" s="7" t="str">
        <f aca="false">HYPERLINK("https://mncourtfraud.com/file/27-CR-20-693.pdf","27-CR-20-693")</f>
        <v>27-CR-20-693</v>
      </c>
      <c r="C707" s="1" t="n">
        <v>1</v>
      </c>
      <c r="D707" s="2" t="s">
        <v>12</v>
      </c>
      <c r="E707" s="8" t="n">
        <v>44543</v>
      </c>
      <c r="F707" s="2" t="s">
        <v>15</v>
      </c>
      <c r="G707" s="7" t="str">
        <f aca="false">HYPERLINK("https://mncourtfraud.com/file/MCRO_27-CR-20-693_Order-Evaluation for Competency to Proceed (Rule 20.01)_2021-12-13_20251126181255.pdf","MCRO_27-CR-20-693_Order-Evaluation for Competency to Proceed (Rule 20.01)_2021-12-13_20251126181255.pdf")</f>
        <v>MCRO_27-CR-20-693_Order-Evaluation for Competency to Proceed (Rule 20.01)_2021-12-13_20251126181255.pdf</v>
      </c>
      <c r="H707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707" s="1" t="s">
        <v>3413</v>
      </c>
      <c r="J707" s="2" t="s">
        <v>3423</v>
      </c>
      <c r="K707" s="2" t="s">
        <v>3423</v>
      </c>
      <c r="L707" s="2" t="s">
        <v>3415</v>
      </c>
      <c r="M707" s="2" t="n">
        <v>11088</v>
      </c>
    </row>
    <row r="708" customFormat="false" ht="18.7" hidden="false" customHeight="true" outlineLevel="0" collapsed="false">
      <c r="A708" s="1" t="n">
        <v>707</v>
      </c>
      <c r="B708" s="7" t="str">
        <f aca="false">HYPERLINK("https://mncourtfraud.com/file/27-CR-20-693.pdf","27-CR-20-693")</f>
        <v>27-CR-20-693</v>
      </c>
      <c r="C708" s="1" t="n">
        <v>1</v>
      </c>
      <c r="D708" s="2" t="s">
        <v>12</v>
      </c>
      <c r="E708" s="8" t="n">
        <v>44543</v>
      </c>
      <c r="F708" s="2" t="s">
        <v>15</v>
      </c>
      <c r="G708" s="7" t="str">
        <f aca="false">HYPERLINK("https://mncourtfraud.com/file/MCRO_27-CR-20-693_Order-Evaluation for Competency to Proceed (Rule 20.01)_2021-12-13_20251126181255.pdf","MCRO_27-CR-20-693_Order-Evaluation for Competency to Proceed (Rule 20.01)_2021-12-13_20251126181255.pdf")</f>
        <v>MCRO_27-CR-20-693_Order-Evaluation for Competency to Proceed (Rule 20.01)_2021-12-13_20251126181255.pdf</v>
      </c>
      <c r="H708" s="7" t="str">
        <f aca="false">HYPERLINK("https://mncourtfraud.com/file/22be6394304ce5b678311fefb19c39c8cb0a49d25f23150f1efe21ad14b99c7b.ttf","22be6394304ce5b678311fefb19c39c8cb0a49d25f23150f1efe21ad14b99c7b")</f>
        <v>22be6394304ce5b678311fefb19c39c8cb0a49d25f23150f1efe21ad14b99c7b</v>
      </c>
      <c r="I708" s="1" t="s">
        <v>3413</v>
      </c>
      <c r="J708" s="2" t="s">
        <v>3421</v>
      </c>
      <c r="K708" s="2" t="s">
        <v>3421</v>
      </c>
      <c r="L708" s="2" t="s">
        <v>3415</v>
      </c>
      <c r="M708" s="2" t="n">
        <v>117192</v>
      </c>
    </row>
    <row r="709" customFormat="false" ht="18.7" hidden="false" customHeight="true" outlineLevel="0" collapsed="false">
      <c r="A709" s="1" t="n">
        <v>708</v>
      </c>
      <c r="B709" s="7" t="str">
        <f aca="false">HYPERLINK("https://mncourtfraud.com/file/27-CR-20-693.pdf","27-CR-20-693")</f>
        <v>27-CR-20-693</v>
      </c>
      <c r="C709" s="1" t="n">
        <v>1</v>
      </c>
      <c r="D709" s="2" t="s">
        <v>12</v>
      </c>
      <c r="E709" s="8" t="n">
        <v>44543</v>
      </c>
      <c r="F709" s="2" t="s">
        <v>15</v>
      </c>
      <c r="G709" s="7" t="str">
        <f aca="false">HYPERLINK("https://mncourtfraud.com/file/MCRO_27-CR-20-693_Order-Evaluation for Competency to Proceed (Rule 20.01)_2021-12-13_20251126181255.pdf","MCRO_27-CR-20-693_Order-Evaluation for Competency to Proceed (Rule 20.01)_2021-12-13_20251126181255.pdf")</f>
        <v>MCRO_27-CR-20-693_Order-Evaluation for Competency to Proceed (Rule 20.01)_2021-12-13_20251126181255.pdf</v>
      </c>
      <c r="H709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709" s="1" t="s">
        <v>3413</v>
      </c>
      <c r="J709" s="2" t="s">
        <v>3424</v>
      </c>
      <c r="K709" s="2" t="s">
        <v>3424</v>
      </c>
      <c r="L709" s="2" t="s">
        <v>3415</v>
      </c>
      <c r="M709" s="2" t="n">
        <v>14252</v>
      </c>
    </row>
    <row r="710" customFormat="false" ht="18.7" hidden="false" customHeight="true" outlineLevel="0" collapsed="false">
      <c r="A710" s="1" t="n">
        <v>709</v>
      </c>
      <c r="B710" s="7" t="str">
        <f aca="false">HYPERLINK("https://mncourtfraud.com/file/27-CR-20-693.pdf","27-CR-20-693")</f>
        <v>27-CR-20-693</v>
      </c>
      <c r="C710" s="1" t="n">
        <v>1</v>
      </c>
      <c r="D710" s="2" t="s">
        <v>12</v>
      </c>
      <c r="E710" s="8" t="n">
        <v>44543</v>
      </c>
      <c r="F710" s="2" t="s">
        <v>15</v>
      </c>
      <c r="G710" s="7" t="str">
        <f aca="false">HYPERLINK("https://mncourtfraud.com/file/MCRO_27-CR-20-693_Order-Evaluation for Competency to Proceed (Rule 20.01)_2021-12-13_20251126181255.pdf","MCRO_27-CR-20-693_Order-Evaluation for Competency to Proceed (Rule 20.01)_2021-12-13_20251126181255.pdf")</f>
        <v>MCRO_27-CR-20-693_Order-Evaluation for Competency to Proceed (Rule 20.01)_2021-12-13_20251126181255.pdf</v>
      </c>
      <c r="H710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710" s="1" t="s">
        <v>3406</v>
      </c>
      <c r="K710" s="2" t="s">
        <v>3420</v>
      </c>
      <c r="L710" s="2" t="s">
        <v>3408</v>
      </c>
      <c r="M710" s="2" t="n">
        <v>7306</v>
      </c>
      <c r="O710" s="2" t="s">
        <v>3409</v>
      </c>
      <c r="P710" s="2" t="s">
        <v>3410</v>
      </c>
      <c r="S710" s="2" t="n">
        <v>319</v>
      </c>
      <c r="T710" s="2" t="n">
        <v>105</v>
      </c>
    </row>
    <row r="711" customFormat="false" ht="18.7" hidden="false" customHeight="true" outlineLevel="0" collapsed="false">
      <c r="A711" s="1" t="n">
        <v>710</v>
      </c>
      <c r="B711" s="7" t="str">
        <f aca="false">HYPERLINK("https://mncourtfraud.com/file/27-CR-20-693.pdf","27-CR-20-693")</f>
        <v>27-CR-20-693</v>
      </c>
      <c r="C711" s="1" t="n">
        <v>1</v>
      </c>
      <c r="D711" s="2" t="s">
        <v>12</v>
      </c>
      <c r="E711" s="8" t="n">
        <v>44543</v>
      </c>
      <c r="F711" s="2" t="s">
        <v>15</v>
      </c>
      <c r="G711" s="7" t="str">
        <f aca="false">HYPERLINK("https://mncourtfraud.com/file/MCRO_27-CR-20-693_Order-Evaluation for Competency to Proceed (Rule 20.01)_2021-12-13_20251126181255.pdf","MCRO_27-CR-20-693_Order-Evaluation for Competency to Proceed (Rule 20.01)_2021-12-13_20251126181255.pdf")</f>
        <v>MCRO_27-CR-20-693_Order-Evaluation for Competency to Proceed (Rule 20.01)_2021-12-13_20251126181255.pdf</v>
      </c>
      <c r="H711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711" s="1" t="s">
        <v>3406</v>
      </c>
      <c r="K711" s="2" t="s">
        <v>3425</v>
      </c>
      <c r="L711" s="2" t="s">
        <v>3408</v>
      </c>
      <c r="M711" s="2" t="n">
        <v>21225</v>
      </c>
      <c r="O711" s="2" t="s">
        <v>3409</v>
      </c>
      <c r="P711" s="2" t="s">
        <v>3410</v>
      </c>
      <c r="S711" s="2" t="n">
        <v>319</v>
      </c>
      <c r="T711" s="2" t="n">
        <v>105</v>
      </c>
    </row>
    <row r="712" customFormat="false" ht="18.7" hidden="false" customHeight="true" outlineLevel="0" collapsed="false">
      <c r="A712" s="1" t="n">
        <v>711</v>
      </c>
      <c r="B712" s="7" t="str">
        <f aca="false">HYPERLINK("https://mncourtfraud.com/file/27-CR-20-693.pdf","27-CR-20-693")</f>
        <v>27-CR-20-693</v>
      </c>
      <c r="C712" s="1" t="n">
        <v>1</v>
      </c>
      <c r="D712" s="2" t="s">
        <v>12</v>
      </c>
      <c r="E712" s="8" t="n">
        <v>44543</v>
      </c>
      <c r="F712" s="2" t="s">
        <v>15</v>
      </c>
      <c r="G712" s="7" t="str">
        <f aca="false">HYPERLINK("https://mncourtfraud.com/file/MCRO_27-CR-20-693_Order-Evaluation for Competency to Proceed (Rule 20.01)_2021-12-13_20251126181255.pdf","MCRO_27-CR-20-693_Order-Evaluation for Competency to Proceed (Rule 20.01)_2021-12-13_20251126181255.pdf")</f>
        <v>MCRO_27-CR-20-693_Order-Evaluation for Competency to Proceed (Rule 20.01)_2021-12-13_20251126181255.pdf</v>
      </c>
      <c r="H712" s="7" t="str">
        <f aca="false">HYPERLINK("https://mncourtfraud.com/file/f942eca43ffd6bdbf3ee942fee873a73c8baea7707298295b91918b6d8b6d6ee.ttf","f942eca43ffd6bdbf3ee942fee873a73c8baea7707298295b91918b6d8b6d6ee")</f>
        <v>f942eca43ffd6bdbf3ee942fee873a73c8baea7707298295b91918b6d8b6d6ee</v>
      </c>
      <c r="I712" s="1" t="s">
        <v>3413</v>
      </c>
      <c r="J712" s="2" t="s">
        <v>3422</v>
      </c>
      <c r="K712" s="2" t="s">
        <v>3422</v>
      </c>
      <c r="L712" s="2" t="s">
        <v>3415</v>
      </c>
      <c r="M712" s="2" t="n">
        <v>125444</v>
      </c>
    </row>
    <row r="713" customFormat="false" ht="18.7" hidden="false" customHeight="true" outlineLevel="0" collapsed="false">
      <c r="A713" s="1" t="n">
        <v>712</v>
      </c>
      <c r="B713" s="7" t="str">
        <f aca="false">HYPERLINK("https://mncourtfraud.com/file/27-CR-20-693.pdf","27-CR-20-693")</f>
        <v>27-CR-20-693</v>
      </c>
      <c r="C713" s="1" t="n">
        <v>1</v>
      </c>
      <c r="D713" s="2" t="s">
        <v>12</v>
      </c>
      <c r="E713" s="8" t="n">
        <v>44558</v>
      </c>
      <c r="F713" s="2" t="s">
        <v>15</v>
      </c>
      <c r="G713" s="7" t="str">
        <f aca="false">HYPERLINK("https://mncourtfraud.com/file/MCRO_27-CR-20-693_Order-Evaluation for Competency to Proceed (Rule 20.01)_2021-12-28_20251126181306.pdf","MCRO_27-CR-20-693_Order-Evaluation for Competency to Proceed (Rule 20.01)_2021-12-28_20251126181306.pdf")</f>
        <v>MCRO_27-CR-20-693_Order-Evaluation for Competency to Proceed (Rule 20.01)_2021-12-28_20251126181306.pdf</v>
      </c>
      <c r="H713" s="7" t="str">
        <f aca="false">HYPERLINK("https://mncourtfraud.com/file/17a39289002ee6bc3eb173a2b71f4a8af1da6fd9a82bdf59bb6449c458858917.ttf","17a39289002ee6bc3eb173a2b71f4a8af1da6fd9a82bdf59bb6449c458858917")</f>
        <v>17a39289002ee6bc3eb173a2b71f4a8af1da6fd9a82bdf59bb6449c458858917</v>
      </c>
      <c r="I713" s="1" t="s">
        <v>3413</v>
      </c>
      <c r="L713" s="2" t="s">
        <v>3415</v>
      </c>
      <c r="M713" s="2" t="n">
        <v>333576</v>
      </c>
    </row>
    <row r="714" customFormat="false" ht="18.7" hidden="false" customHeight="true" outlineLevel="0" collapsed="false">
      <c r="A714" s="1" t="n">
        <v>713</v>
      </c>
      <c r="B714" s="7" t="str">
        <f aca="false">HYPERLINK("https://mncourtfraud.com/file/27-CR-20-693.pdf","27-CR-20-693")</f>
        <v>27-CR-20-693</v>
      </c>
      <c r="C714" s="1" t="n">
        <v>1</v>
      </c>
      <c r="D714" s="2" t="s">
        <v>12</v>
      </c>
      <c r="E714" s="8" t="n">
        <v>44558</v>
      </c>
      <c r="F714" s="2" t="s">
        <v>15</v>
      </c>
      <c r="G714" s="7" t="str">
        <f aca="false">HYPERLINK("https://mncourtfraud.com/file/MCRO_27-CR-20-693_Order-Evaluation for Competency to Proceed (Rule 20.01)_2021-12-28_20251126181306.pdf","MCRO_27-CR-20-693_Order-Evaluation for Competency to Proceed (Rule 20.01)_2021-12-28_20251126181306.pdf")</f>
        <v>MCRO_27-CR-20-693_Order-Evaluation for Competency to Proceed (Rule 20.01)_2021-12-28_20251126181306.pdf</v>
      </c>
      <c r="H714" s="7" t="str">
        <f aca="false">HYPERLINK("https://mncourtfraud.com/file/89ababec03ad568626d2f729b5c9046939f4dbf812d8ad7ca7ba2cc2a6af13dc.png","89ababec03ad568626d2f729b5c9046939f4dbf812d8ad7ca7ba2cc2a6af13dc")</f>
        <v>89ababec03ad568626d2f729b5c9046939f4dbf812d8ad7ca7ba2cc2a6af13dc</v>
      </c>
      <c r="I714" s="1" t="s">
        <v>3406</v>
      </c>
      <c r="L714" s="2" t="s">
        <v>3412</v>
      </c>
      <c r="M714" s="2" t="n">
        <v>157928</v>
      </c>
      <c r="S714" s="2" t="n">
        <v>2550</v>
      </c>
      <c r="T714" s="2" t="n">
        <v>3300</v>
      </c>
    </row>
    <row r="715" customFormat="false" ht="18.7" hidden="false" customHeight="true" outlineLevel="0" collapsed="false">
      <c r="A715" s="1" t="n">
        <v>714</v>
      </c>
      <c r="B715" s="7" t="str">
        <f aca="false">HYPERLINK("https://mncourtfraud.com/file/27-CR-20-693.pdf","27-CR-20-693")</f>
        <v>27-CR-20-693</v>
      </c>
      <c r="C715" s="1" t="n">
        <v>1</v>
      </c>
      <c r="D715" s="2" t="s">
        <v>12</v>
      </c>
      <c r="E715" s="8" t="n">
        <v>44558</v>
      </c>
      <c r="F715" s="2" t="s">
        <v>15</v>
      </c>
      <c r="G715" s="7" t="str">
        <f aca="false">HYPERLINK("https://mncourtfraud.com/file/MCRO_27-CR-20-693_Order-Evaluation for Competency to Proceed (Rule 20.01)_2021-12-28_20251126181306.pdf","MCRO_27-CR-20-693_Order-Evaluation for Competency to Proceed (Rule 20.01)_2021-12-28_20251126181306.pdf")</f>
        <v>MCRO_27-CR-20-693_Order-Evaluation for Competency to Proceed (Rule 20.01)_2021-12-28_20251126181306.pdf</v>
      </c>
      <c r="H715" s="7" t="str">
        <f aca="false">HYPERLINK("https://mncourtfraud.com/file/8b96a50b690b8e1de508e9a20beff669991f31f85dab7c4868147b3b986c860e.png","8b96a50b690b8e1de508e9a20beff669991f31f85dab7c4868147b3b986c860e")</f>
        <v>8b96a50b690b8e1de508e9a20beff669991f31f85dab7c4868147b3b986c860e</v>
      </c>
      <c r="I715" s="1" t="s">
        <v>3406</v>
      </c>
      <c r="L715" s="2" t="s">
        <v>3412</v>
      </c>
      <c r="M715" s="2" t="n">
        <v>130863</v>
      </c>
      <c r="S715" s="2" t="n">
        <v>2550</v>
      </c>
      <c r="T715" s="2" t="n">
        <v>3300</v>
      </c>
    </row>
    <row r="716" customFormat="false" ht="18.7" hidden="false" customHeight="true" outlineLevel="0" collapsed="false">
      <c r="A716" s="1" t="n">
        <v>715</v>
      </c>
      <c r="B716" s="7" t="str">
        <f aca="false">HYPERLINK("https://mncourtfraud.com/file/27-CR-20-693.pdf","27-CR-20-693")</f>
        <v>27-CR-20-693</v>
      </c>
      <c r="C716" s="1" t="n">
        <v>1</v>
      </c>
      <c r="D716" s="2" t="s">
        <v>12</v>
      </c>
      <c r="E716" s="8" t="n">
        <v>44558</v>
      </c>
      <c r="F716" s="2" t="s">
        <v>15</v>
      </c>
      <c r="G716" s="7" t="str">
        <f aca="false">HYPERLINK("https://mncourtfraud.com/file/MCRO_27-CR-20-693_Order-Evaluation for Competency to Proceed (Rule 20.01)_2021-12-28_20251126181306.pdf","MCRO_27-CR-20-693_Order-Evaluation for Competency to Proceed (Rule 20.01)_2021-12-28_20251126181306.pdf")</f>
        <v>MCRO_27-CR-20-693_Order-Evaluation for Competency to Proceed (Rule 20.01)_2021-12-28_20251126181306.pdf</v>
      </c>
      <c r="H716" s="7" t="str">
        <f aca="false">HYPERLINK("https://mncourtfraud.com/file/af483bdcae2d521c47a91d66a0ff600fe10d34a13a762d02ebf8cfce81138f86.png","af483bdcae2d521c47a91d66a0ff600fe10d34a13a762d02ebf8cfce81138f86")</f>
        <v>af483bdcae2d521c47a91d66a0ff600fe10d34a13a762d02ebf8cfce81138f86</v>
      </c>
      <c r="I716" s="1" t="s">
        <v>3406</v>
      </c>
      <c r="L716" s="2" t="s">
        <v>3412</v>
      </c>
      <c r="M716" s="2" t="n">
        <v>98478</v>
      </c>
      <c r="S716" s="2" t="n">
        <v>2550</v>
      </c>
      <c r="T716" s="2" t="n">
        <v>3300</v>
      </c>
    </row>
    <row r="717" customFormat="false" ht="18.7" hidden="false" customHeight="true" outlineLevel="0" collapsed="false">
      <c r="A717" s="1" t="n">
        <v>716</v>
      </c>
      <c r="B717" s="7" t="str">
        <f aca="false">HYPERLINK("https://mncourtfraud.com/file/27-CR-20-693.pdf","27-CR-20-693")</f>
        <v>27-CR-20-693</v>
      </c>
      <c r="C717" s="1" t="n">
        <v>1</v>
      </c>
      <c r="D717" s="2" t="s">
        <v>12</v>
      </c>
      <c r="E717" s="8" t="n">
        <v>44593</v>
      </c>
      <c r="F717" s="2" t="s">
        <v>19</v>
      </c>
      <c r="G717" s="7" t="str">
        <f aca="false">HYPERLINK("https://mncourtfraud.com/file/MCRO_27-CR-20-693_Findings and Order_2022-02-01_20251126181139.pdf","MCRO_27-CR-20-693_Findings and Order_2022-02-01_20251126181139.pdf")</f>
        <v>MCRO_27-CR-20-693_Findings and Order_2022-02-01_20251126181139.pdf</v>
      </c>
      <c r="H717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717" s="1" t="s">
        <v>3413</v>
      </c>
      <c r="J717" s="2" t="s">
        <v>3426</v>
      </c>
      <c r="K717" s="2" t="s">
        <v>3426</v>
      </c>
      <c r="L717" s="2" t="s">
        <v>3415</v>
      </c>
      <c r="M717" s="2" t="n">
        <v>74997</v>
      </c>
      <c r="N717" s="2" t="s">
        <v>3427</v>
      </c>
    </row>
    <row r="718" customFormat="false" ht="18.7" hidden="false" customHeight="true" outlineLevel="0" collapsed="false">
      <c r="A718" s="1" t="n">
        <v>717</v>
      </c>
      <c r="B718" s="7" t="str">
        <f aca="false">HYPERLINK("https://mncourtfraud.com/file/27-CR-20-693.pdf","27-CR-20-693")</f>
        <v>27-CR-20-693</v>
      </c>
      <c r="C718" s="1" t="n">
        <v>1</v>
      </c>
      <c r="D718" s="2" t="s">
        <v>12</v>
      </c>
      <c r="E718" s="8" t="n">
        <v>44593</v>
      </c>
      <c r="F718" s="2" t="s">
        <v>19</v>
      </c>
      <c r="G718" s="7" t="str">
        <f aca="false">HYPERLINK("https://mncourtfraud.com/file/MCRO_27-CR-20-693_Findings and Order_2022-02-01_20251126181139.pdf","MCRO_27-CR-20-693_Findings and Order_2022-02-01_20251126181139.pdf")</f>
        <v>MCRO_27-CR-20-693_Findings and Order_2022-02-01_20251126181139.pdf</v>
      </c>
      <c r="H718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718" s="1" t="s">
        <v>3428</v>
      </c>
      <c r="J718" s="2" t="s">
        <v>3429</v>
      </c>
      <c r="K718" s="2" t="s">
        <v>3429</v>
      </c>
      <c r="L718" s="2" t="s">
        <v>3415</v>
      </c>
      <c r="M718" s="2" t="n">
        <v>86093</v>
      </c>
    </row>
    <row r="719" customFormat="false" ht="18.7" hidden="false" customHeight="true" outlineLevel="0" collapsed="false">
      <c r="A719" s="1" t="n">
        <v>718</v>
      </c>
      <c r="B719" s="7" t="str">
        <f aca="false">HYPERLINK("https://mncourtfraud.com/file/27-CR-20-693.pdf","27-CR-20-693")</f>
        <v>27-CR-20-693</v>
      </c>
      <c r="C719" s="1" t="n">
        <v>1</v>
      </c>
      <c r="D719" s="2" t="s">
        <v>12</v>
      </c>
      <c r="E719" s="8" t="n">
        <v>44593</v>
      </c>
      <c r="F719" s="2" t="s">
        <v>19</v>
      </c>
      <c r="G719" s="7" t="str">
        <f aca="false">HYPERLINK("https://mncourtfraud.com/file/MCRO_27-CR-20-693_Findings and Order_2022-02-01_20251126181139.pdf","MCRO_27-CR-20-693_Findings and Order_2022-02-01_20251126181139.pdf")</f>
        <v>MCRO_27-CR-20-693_Findings and Order_2022-02-01_20251126181139.pdf</v>
      </c>
      <c r="H719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719" s="1" t="s">
        <v>3413</v>
      </c>
      <c r="J719" s="2" t="s">
        <v>3414</v>
      </c>
      <c r="K719" s="2" t="s">
        <v>3414</v>
      </c>
      <c r="L719" s="2" t="s">
        <v>3415</v>
      </c>
      <c r="M719" s="2" t="n">
        <v>42332</v>
      </c>
    </row>
    <row r="720" customFormat="false" ht="18.7" hidden="false" customHeight="true" outlineLevel="0" collapsed="false">
      <c r="A720" s="1" t="n">
        <v>719</v>
      </c>
      <c r="B720" s="7" t="str">
        <f aca="false">HYPERLINK("https://mncourtfraud.com/file/27-CR-20-693.pdf","27-CR-20-693")</f>
        <v>27-CR-20-693</v>
      </c>
      <c r="C720" s="1" t="n">
        <v>1</v>
      </c>
      <c r="D720" s="2" t="s">
        <v>12</v>
      </c>
      <c r="E720" s="8" t="n">
        <v>44593</v>
      </c>
      <c r="F720" s="2" t="s">
        <v>19</v>
      </c>
      <c r="G720" s="7" t="str">
        <f aca="false">HYPERLINK("https://mncourtfraud.com/file/MCRO_27-CR-20-693_Findings and Order_2022-02-01_20251126181139.pdf","MCRO_27-CR-20-693_Findings and Order_2022-02-01_20251126181139.pdf")</f>
        <v>MCRO_27-CR-20-693_Findings and Order_2022-02-01_20251126181139.pdf</v>
      </c>
      <c r="H720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720" s="1" t="s">
        <v>3413</v>
      </c>
      <c r="J720" s="2" t="s">
        <v>3414</v>
      </c>
      <c r="K720" s="2" t="s">
        <v>3414</v>
      </c>
      <c r="L720" s="2" t="s">
        <v>3415</v>
      </c>
      <c r="M720" s="2" t="n">
        <v>42332</v>
      </c>
    </row>
    <row r="721" customFormat="false" ht="18.7" hidden="false" customHeight="true" outlineLevel="0" collapsed="false">
      <c r="A721" s="1" t="n">
        <v>720</v>
      </c>
      <c r="B721" s="7" t="str">
        <f aca="false">HYPERLINK("https://mncourtfraud.com/file/27-CR-20-693.pdf","27-CR-20-693")</f>
        <v>27-CR-20-693</v>
      </c>
      <c r="C721" s="1" t="n">
        <v>1</v>
      </c>
      <c r="D721" s="2" t="s">
        <v>12</v>
      </c>
      <c r="E721" s="8" t="n">
        <v>44593</v>
      </c>
      <c r="F721" s="2" t="s">
        <v>19</v>
      </c>
      <c r="G721" s="7" t="str">
        <f aca="false">HYPERLINK("https://mncourtfraud.com/file/MCRO_27-CR-20-693_Findings and Order_2022-02-01_20251126181139.pdf","MCRO_27-CR-20-693_Findings and Order_2022-02-01_20251126181139.pdf")</f>
        <v>MCRO_27-CR-20-693_Findings and Order_2022-02-01_20251126181139.pdf</v>
      </c>
      <c r="H721" s="7" t="str">
        <f aca="false">HYPERLINK("https://mncourtfraud.com/file/d1e06f7a12c8d4ae1de62861dbfeadf4f6b52b1cfd6801e548bc1d08782c1451.ttf","d1e06f7a12c8d4ae1de62861dbfeadf4f6b52b1cfd6801e548bc1d08782c1451")</f>
        <v>d1e06f7a12c8d4ae1de62861dbfeadf4f6b52b1cfd6801e548bc1d08782c1451</v>
      </c>
      <c r="I721" s="1" t="s">
        <v>3413</v>
      </c>
      <c r="J721" s="2" t="s">
        <v>3414</v>
      </c>
      <c r="K721" s="2" t="s">
        <v>3416</v>
      </c>
      <c r="L721" s="2" t="s">
        <v>3415</v>
      </c>
      <c r="M721" s="2" t="n">
        <v>28584</v>
      </c>
    </row>
    <row r="722" customFormat="false" ht="18.7" hidden="false" customHeight="true" outlineLevel="0" collapsed="false">
      <c r="A722" s="1" t="n">
        <v>721</v>
      </c>
      <c r="B722" s="7" t="str">
        <f aca="false">HYPERLINK("https://mncourtfraud.com/file/27-CR-20-693.pdf","27-CR-20-693")</f>
        <v>27-CR-20-693</v>
      </c>
      <c r="C722" s="1" t="n">
        <v>1</v>
      </c>
      <c r="D722" s="2" t="s">
        <v>12</v>
      </c>
      <c r="E722" s="8" t="n">
        <v>44593</v>
      </c>
      <c r="F722" s="2" t="s">
        <v>19</v>
      </c>
      <c r="G722" s="7" t="str">
        <f aca="false">HYPERLINK("https://mncourtfraud.com/file/MCRO_27-CR-20-693_Findings and Order_2022-02-01_20251126181139.pdf","MCRO_27-CR-20-693_Findings and Order_2022-02-01_20251126181139.pdf")</f>
        <v>MCRO_27-CR-20-693_Findings and Order_2022-02-01_20251126181139.pdf</v>
      </c>
      <c r="H722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722" s="1" t="s">
        <v>3406</v>
      </c>
      <c r="K722" s="2" t="s">
        <v>3430</v>
      </c>
      <c r="L722" s="2" t="s">
        <v>3408</v>
      </c>
      <c r="M722" s="2" t="n">
        <v>28069</v>
      </c>
      <c r="O722" s="2" t="s">
        <v>3409</v>
      </c>
      <c r="P722" s="2" t="s">
        <v>3410</v>
      </c>
      <c r="S722" s="2" t="n">
        <v>448</v>
      </c>
      <c r="T722" s="2" t="n">
        <v>128</v>
      </c>
    </row>
    <row r="723" customFormat="false" ht="18.7" hidden="false" customHeight="true" outlineLevel="0" collapsed="false">
      <c r="A723" s="1" t="n">
        <v>722</v>
      </c>
      <c r="B723" s="7" t="str">
        <f aca="false">HYPERLINK("https://mncourtfraud.com/file/27-CR-20-693.pdf","27-CR-20-693")</f>
        <v>27-CR-20-693</v>
      </c>
      <c r="C723" s="1" t="n">
        <v>1</v>
      </c>
      <c r="D723" s="2" t="s">
        <v>12</v>
      </c>
      <c r="E723" s="8" t="n">
        <v>44692</v>
      </c>
      <c r="F723" s="2" t="s">
        <v>15</v>
      </c>
      <c r="G723" s="7" t="str">
        <f aca="false">HYPERLINK("https://mncourtfraud.com/file/MCRO_27-CR-20-693_Order-Evaluation for Competency to Proceed (Rule 20.01)_2022-05-11_20251126181315.pdf","MCRO_27-CR-20-693_Order-Evaluation for Competency to Proceed (Rule 20.01)_2022-05-11_20251126181315.pdf")</f>
        <v>MCRO_27-CR-20-693_Order-Evaluation for Competency to Proceed (Rule 20.01)_2022-05-11_20251126181315.pdf</v>
      </c>
      <c r="H723" s="7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723" s="1" t="s">
        <v>3406</v>
      </c>
      <c r="K723" s="2" t="s">
        <v>3432</v>
      </c>
      <c r="L723" s="2" t="s">
        <v>3408</v>
      </c>
      <c r="M723" s="2" t="n">
        <v>21121</v>
      </c>
      <c r="O723" s="2" t="s">
        <v>3409</v>
      </c>
      <c r="P723" s="2" t="s">
        <v>3410</v>
      </c>
      <c r="S723" s="2" t="n">
        <v>695</v>
      </c>
      <c r="T723" s="2" t="n">
        <v>233</v>
      </c>
    </row>
    <row r="724" customFormat="false" ht="18.7" hidden="false" customHeight="true" outlineLevel="0" collapsed="false">
      <c r="A724" s="1" t="n">
        <v>723</v>
      </c>
      <c r="B724" s="7" t="str">
        <f aca="false">HYPERLINK("https://mncourtfraud.com/file/27-CR-20-693.pdf","27-CR-20-693")</f>
        <v>27-CR-20-693</v>
      </c>
      <c r="C724" s="1" t="n">
        <v>1</v>
      </c>
      <c r="D724" s="2" t="s">
        <v>12</v>
      </c>
      <c r="E724" s="8" t="n">
        <v>44692</v>
      </c>
      <c r="F724" s="2" t="s">
        <v>15</v>
      </c>
      <c r="G724" s="7" t="str">
        <f aca="false">HYPERLINK("https://mncourtfraud.com/file/MCRO_27-CR-20-693_Order-Evaluation for Competency to Proceed (Rule 20.01)_2022-05-11_20251126181315.pdf","MCRO_27-CR-20-693_Order-Evaluation for Competency to Proceed (Rule 20.01)_2022-05-11_20251126181315.pdf")</f>
        <v>MCRO_27-CR-20-693_Order-Evaluation for Competency to Proceed (Rule 20.01)_2022-05-11_20251126181315.pdf</v>
      </c>
      <c r="H724" s="7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724" s="1" t="s">
        <v>3406</v>
      </c>
      <c r="K724" s="2" t="s">
        <v>3433</v>
      </c>
      <c r="L724" s="2" t="s">
        <v>3408</v>
      </c>
      <c r="M724" s="2" t="n">
        <v>53838</v>
      </c>
      <c r="O724" s="2" t="s">
        <v>3409</v>
      </c>
      <c r="P724" s="2" t="s">
        <v>3410</v>
      </c>
      <c r="S724" s="2" t="n">
        <v>695</v>
      </c>
      <c r="T724" s="2" t="n">
        <v>233</v>
      </c>
    </row>
    <row r="725" customFormat="false" ht="18.7" hidden="false" customHeight="true" outlineLevel="0" collapsed="false">
      <c r="A725" s="1" t="n">
        <v>724</v>
      </c>
      <c r="B725" s="7" t="str">
        <f aca="false">HYPERLINK("https://mncourtfraud.com/file/27-CR-20-693.pdf","27-CR-20-693")</f>
        <v>27-CR-20-693</v>
      </c>
      <c r="C725" s="1" t="n">
        <v>1</v>
      </c>
      <c r="D725" s="2" t="s">
        <v>12</v>
      </c>
      <c r="E725" s="8" t="n">
        <v>44692</v>
      </c>
      <c r="F725" s="2" t="s">
        <v>15</v>
      </c>
      <c r="G725" s="7" t="str">
        <f aca="false">HYPERLINK("https://mncourtfraud.com/file/MCRO_27-CR-20-693_Order-Evaluation for Competency to Proceed (Rule 20.01)_2022-05-11_20251126181315.pdf","MCRO_27-CR-20-693_Order-Evaluation for Competency to Proceed (Rule 20.01)_2022-05-11_20251126181315.pdf")</f>
        <v>MCRO_27-CR-20-693_Order-Evaluation for Competency to Proceed (Rule 20.01)_2022-05-11_20251126181315.pdf</v>
      </c>
      <c r="H725" s="7" t="str">
        <f aca="false">HYPERLINK("https://mncourtfraud.com/file/322fe0e9595a4df4693edf307e5f8a42a470721d59f006a7b0e86def92125a58.ttf","322fe0e9595a4df4693edf307e5f8a42a470721d59f006a7b0e86def92125a58")</f>
        <v>322fe0e9595a4df4693edf307e5f8a42a470721d59f006a7b0e86def92125a58</v>
      </c>
      <c r="I725" s="1" t="s">
        <v>3413</v>
      </c>
      <c r="J725" s="2" t="s">
        <v>3434</v>
      </c>
      <c r="K725" s="2" t="s">
        <v>3434</v>
      </c>
      <c r="L725" s="2" t="s">
        <v>3415</v>
      </c>
      <c r="M725" s="2" t="n">
        <v>46736</v>
      </c>
      <c r="N725" s="2" t="s">
        <v>3435</v>
      </c>
    </row>
    <row r="726" customFormat="false" ht="18.7" hidden="false" customHeight="true" outlineLevel="0" collapsed="false">
      <c r="A726" s="1" t="n">
        <v>725</v>
      </c>
      <c r="B726" s="7" t="str">
        <f aca="false">HYPERLINK("https://mncourtfraud.com/file/27-CR-20-693.pdf","27-CR-20-693")</f>
        <v>27-CR-20-693</v>
      </c>
      <c r="C726" s="1" t="n">
        <v>1</v>
      </c>
      <c r="D726" s="2" t="s">
        <v>12</v>
      </c>
      <c r="E726" s="8" t="n">
        <v>44692</v>
      </c>
      <c r="F726" s="2" t="s">
        <v>15</v>
      </c>
      <c r="G726" s="7" t="str">
        <f aca="false">HYPERLINK("https://mncourtfraud.com/file/MCRO_27-CR-20-693_Order-Evaluation for Competency to Proceed (Rule 20.01)_2022-05-11_20251126181315.pdf","MCRO_27-CR-20-693_Order-Evaluation for Competency to Proceed (Rule 20.01)_2022-05-11_20251126181315.pdf")</f>
        <v>MCRO_27-CR-20-693_Order-Evaluation for Competency to Proceed (Rule 20.01)_2022-05-11_20251126181315.pdf</v>
      </c>
      <c r="H726" s="7" t="str">
        <f aca="false">HYPERLINK("https://mncourtfraud.com/file/32ebada21768d6238e03c647b5e5acdf6ce656f0735d59c3fb698ce40418a709.ttf","32ebada21768d6238e03c647b5e5acdf6ce656f0735d59c3fb698ce40418a709")</f>
        <v>32ebada21768d6238e03c647b5e5acdf6ce656f0735d59c3fb698ce40418a709</v>
      </c>
      <c r="I726" s="1" t="s">
        <v>3413</v>
      </c>
      <c r="J726" s="2" t="s">
        <v>3436</v>
      </c>
      <c r="K726" s="2" t="s">
        <v>3436</v>
      </c>
      <c r="L726" s="2" t="s">
        <v>3415</v>
      </c>
      <c r="M726" s="2" t="n">
        <v>65744</v>
      </c>
      <c r="N726" s="2" t="s">
        <v>3437</v>
      </c>
    </row>
    <row r="727" customFormat="false" ht="18.7" hidden="false" customHeight="true" outlineLevel="0" collapsed="false">
      <c r="A727" s="1" t="n">
        <v>726</v>
      </c>
      <c r="B727" s="7" t="str">
        <f aca="false">HYPERLINK("https://mncourtfraud.com/file/27-CR-20-693.pdf","27-CR-20-693")</f>
        <v>27-CR-20-693</v>
      </c>
      <c r="C727" s="1" t="n">
        <v>1</v>
      </c>
      <c r="D727" s="2" t="s">
        <v>12</v>
      </c>
      <c r="E727" s="8" t="n">
        <v>44692</v>
      </c>
      <c r="F727" s="2" t="s">
        <v>15</v>
      </c>
      <c r="G727" s="7" t="str">
        <f aca="false">HYPERLINK("https://mncourtfraud.com/file/MCRO_27-CR-20-693_Order-Evaluation for Competency to Proceed (Rule 20.01)_2022-05-11_20251126181315.pdf","MCRO_27-CR-20-693_Order-Evaluation for Competency to Proceed (Rule 20.01)_2022-05-11_20251126181315.pdf")</f>
        <v>MCRO_27-CR-20-693_Order-Evaluation for Competency to Proceed (Rule 20.01)_2022-05-11_20251126181315.pdf</v>
      </c>
      <c r="H727" s="7" t="str">
        <f aca="false">HYPERLINK("https://mncourtfraud.com/file/694dcb82a5515430b7fddfbf16881b942820c8c41fee3eea3505a20c7d4e41e6.ttf","694dcb82a5515430b7fddfbf16881b942820c8c41fee3eea3505a20c7d4e41e6")</f>
        <v>694dcb82a5515430b7fddfbf16881b942820c8c41fee3eea3505a20c7d4e41e6</v>
      </c>
      <c r="I727" s="1" t="s">
        <v>3413</v>
      </c>
      <c r="J727" s="2" t="s">
        <v>3438</v>
      </c>
      <c r="K727" s="2" t="s">
        <v>3438</v>
      </c>
      <c r="L727" s="2" t="s">
        <v>3415</v>
      </c>
      <c r="M727" s="2" t="n">
        <v>72828</v>
      </c>
      <c r="N727" s="2" t="s">
        <v>3439</v>
      </c>
    </row>
    <row r="728" customFormat="false" ht="18.7" hidden="false" customHeight="true" outlineLevel="0" collapsed="false">
      <c r="A728" s="1" t="n">
        <v>727</v>
      </c>
      <c r="B728" s="7" t="str">
        <f aca="false">HYPERLINK("https://mncourtfraud.com/file/27-CR-20-693.pdf","27-CR-20-693")</f>
        <v>27-CR-20-693</v>
      </c>
      <c r="C728" s="1" t="n">
        <v>1</v>
      </c>
      <c r="D728" s="2" t="s">
        <v>12</v>
      </c>
      <c r="E728" s="8" t="n">
        <v>44692</v>
      </c>
      <c r="F728" s="2" t="s">
        <v>15</v>
      </c>
      <c r="G728" s="7" t="str">
        <f aca="false">HYPERLINK("https://mncourtfraud.com/file/MCRO_27-CR-20-693_Order-Evaluation for Competency to Proceed (Rule 20.01)_2022-05-11_20251126181315.pdf","MCRO_27-CR-20-693_Order-Evaluation for Competency to Proceed (Rule 20.01)_2022-05-11_20251126181315.pdf")</f>
        <v>MCRO_27-CR-20-693_Order-Evaluation for Competency to Proceed (Rule 20.01)_2022-05-11_20251126181315.pdf</v>
      </c>
      <c r="H728" s="7" t="str">
        <f aca="false">HYPERLINK("https://mncourtfraud.com/file/87764021d6d62f7c396208d3f1fa8113e5ad5f90bd03c35e7200536389af4e6a.ttf","87764021d6d62f7c396208d3f1fa8113e5ad5f90bd03c35e7200536389af4e6a")</f>
        <v>87764021d6d62f7c396208d3f1fa8113e5ad5f90bd03c35e7200536389af4e6a</v>
      </c>
      <c r="I728" s="1" t="s">
        <v>3413</v>
      </c>
      <c r="J728" s="2" t="s">
        <v>3440</v>
      </c>
      <c r="K728" s="2" t="s">
        <v>3440</v>
      </c>
      <c r="L728" s="2" t="s">
        <v>3415</v>
      </c>
      <c r="M728" s="2" t="n">
        <v>6280</v>
      </c>
      <c r="N728" s="2" t="s">
        <v>3441</v>
      </c>
    </row>
    <row r="729" customFormat="false" ht="18.7" hidden="false" customHeight="true" outlineLevel="0" collapsed="false">
      <c r="A729" s="1" t="n">
        <v>728</v>
      </c>
      <c r="B729" s="7" t="str">
        <f aca="false">HYPERLINK("https://mncourtfraud.com/file/27-CR-20-693.pdf","27-CR-20-693")</f>
        <v>27-CR-20-693</v>
      </c>
      <c r="C729" s="1" t="n">
        <v>1</v>
      </c>
      <c r="D729" s="2" t="s">
        <v>12</v>
      </c>
      <c r="E729" s="8" t="n">
        <v>44692</v>
      </c>
      <c r="F729" s="2" t="s">
        <v>15</v>
      </c>
      <c r="G729" s="7" t="str">
        <f aca="false">HYPERLINK("https://mncourtfraud.com/file/MCRO_27-CR-20-693_Order-Evaluation for Competency to Proceed (Rule 20.01)_2022-05-11_20251126181315.pdf","MCRO_27-CR-20-693_Order-Evaluation for Competency to Proceed (Rule 20.01)_2022-05-11_20251126181315.pdf")</f>
        <v>MCRO_27-CR-20-693_Order-Evaluation for Competency to Proceed (Rule 20.01)_2022-05-11_20251126181315.pdf</v>
      </c>
      <c r="H729" s="7" t="str">
        <f aca="false">HYPERLINK("https://mncourtfraud.com/file/a1ad71f465be26cf6bb430c59ae6133d3c381ada339ba3c6b2eadf32a9b4096b.ttf","a1ad71f465be26cf6bb430c59ae6133d3c381ada339ba3c6b2eadf32a9b4096b")</f>
        <v>a1ad71f465be26cf6bb430c59ae6133d3c381ada339ba3c6b2eadf32a9b4096b</v>
      </c>
      <c r="I729" s="1" t="s">
        <v>3413</v>
      </c>
      <c r="J729" s="2" t="s">
        <v>3442</v>
      </c>
      <c r="K729" s="2" t="s">
        <v>3442</v>
      </c>
      <c r="L729" s="2" t="s">
        <v>3415</v>
      </c>
      <c r="M729" s="2" t="n">
        <v>5988</v>
      </c>
      <c r="N729" s="2" t="s">
        <v>3443</v>
      </c>
    </row>
    <row r="730" customFormat="false" ht="18.7" hidden="false" customHeight="true" outlineLevel="0" collapsed="false">
      <c r="A730" s="1" t="n">
        <v>729</v>
      </c>
      <c r="B730" s="7" t="str">
        <f aca="false">HYPERLINK("https://mncourtfraud.com/file/27-CR-20-693.pdf","27-CR-20-693")</f>
        <v>27-CR-20-693</v>
      </c>
      <c r="C730" s="1" t="n">
        <v>1</v>
      </c>
      <c r="D730" s="2" t="s">
        <v>12</v>
      </c>
      <c r="E730" s="8" t="n">
        <v>44692</v>
      </c>
      <c r="F730" s="2" t="s">
        <v>15</v>
      </c>
      <c r="G730" s="7" t="str">
        <f aca="false">HYPERLINK("https://mncourtfraud.com/file/MCRO_27-CR-20-693_Order-Evaluation for Competency to Proceed (Rule 20.01)_2022-05-11_20251126181315.pdf","MCRO_27-CR-20-693_Order-Evaluation for Competency to Proceed (Rule 20.01)_2022-05-11_20251126181315.pdf")</f>
        <v>MCRO_27-CR-20-693_Order-Evaluation for Competency to Proceed (Rule 20.01)_2022-05-11_20251126181315.pdf</v>
      </c>
      <c r="H730" s="7" t="str">
        <f aca="false">HYPERLINK("https://mncourtfraud.com/file/e1befe23dc5d05be4c8e965e6fc9e74e95400600e0da0c86dd389645355f3ad1.ttf","e1befe23dc5d05be4c8e965e6fc9e74e95400600e0da0c86dd389645355f3ad1")</f>
        <v>e1befe23dc5d05be4c8e965e6fc9e74e95400600e0da0c86dd389645355f3ad1</v>
      </c>
      <c r="I730" s="1" t="s">
        <v>3413</v>
      </c>
      <c r="J730" s="2" t="s">
        <v>3444</v>
      </c>
      <c r="K730" s="2" t="s">
        <v>3444</v>
      </c>
      <c r="L730" s="2" t="s">
        <v>3415</v>
      </c>
      <c r="M730" s="2" t="n">
        <v>94308</v>
      </c>
      <c r="N730" s="2" t="s">
        <v>3445</v>
      </c>
    </row>
    <row r="731" customFormat="false" ht="18.7" hidden="false" customHeight="true" outlineLevel="0" collapsed="false">
      <c r="A731" s="1" t="n">
        <v>730</v>
      </c>
      <c r="B731" s="7" t="str">
        <f aca="false">HYPERLINK("https://mncourtfraud.com/file/27-CR-20-693.pdf","27-CR-20-693")</f>
        <v>27-CR-20-693</v>
      </c>
      <c r="C731" s="1" t="n">
        <v>1</v>
      </c>
      <c r="D731" s="2" t="s">
        <v>12</v>
      </c>
      <c r="E731" s="8" t="n">
        <v>44895</v>
      </c>
      <c r="F731" s="2" t="s">
        <v>15</v>
      </c>
      <c r="G731" s="7" t="str">
        <f aca="false">HYPERLINK("https://mncourtfraud.com/file/MCRO_27-CR-20-693_Order-Evaluation for Competency to Proceed (Rule 20.01)_2022-11-30_20251126181327.pdf","MCRO_27-CR-20-693_Order-Evaluation for Competency to Proceed (Rule 20.01)_2022-11-30_20251126181327.pdf")</f>
        <v>MCRO_27-CR-20-693_Order-Evaluation for Competency to Proceed (Rule 20.01)_2022-11-30_20251126181327.pdf</v>
      </c>
      <c r="H731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731" s="1" t="s">
        <v>3413</v>
      </c>
      <c r="J731" s="2" t="s">
        <v>3423</v>
      </c>
      <c r="K731" s="2" t="s">
        <v>3423</v>
      </c>
      <c r="L731" s="2" t="s">
        <v>3415</v>
      </c>
      <c r="M731" s="2" t="n">
        <v>11088</v>
      </c>
    </row>
    <row r="732" customFormat="false" ht="18.7" hidden="false" customHeight="true" outlineLevel="0" collapsed="false">
      <c r="A732" s="1" t="n">
        <v>731</v>
      </c>
      <c r="B732" s="7" t="str">
        <f aca="false">HYPERLINK("https://mncourtfraud.com/file/27-CR-20-693.pdf","27-CR-20-693")</f>
        <v>27-CR-20-693</v>
      </c>
      <c r="C732" s="1" t="n">
        <v>1</v>
      </c>
      <c r="D732" s="2" t="s">
        <v>12</v>
      </c>
      <c r="E732" s="8" t="n">
        <v>44895</v>
      </c>
      <c r="F732" s="2" t="s">
        <v>15</v>
      </c>
      <c r="G732" s="7" t="str">
        <f aca="false">HYPERLINK("https://mncourtfraud.com/file/MCRO_27-CR-20-693_Order-Evaluation for Competency to Proceed (Rule 20.01)_2022-11-30_20251126181327.pdf","MCRO_27-CR-20-693_Order-Evaluation for Competency to Proceed (Rule 20.01)_2022-11-30_20251126181327.pdf")</f>
        <v>MCRO_27-CR-20-693_Order-Evaluation for Competency to Proceed (Rule 20.01)_2022-11-30_20251126181327.pdf</v>
      </c>
      <c r="H732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732" s="1" t="s">
        <v>3413</v>
      </c>
      <c r="J732" s="2" t="s">
        <v>3446</v>
      </c>
      <c r="K732" s="2" t="s">
        <v>3446</v>
      </c>
      <c r="L732" s="2" t="s">
        <v>3415</v>
      </c>
      <c r="M732" s="2" t="n">
        <v>55072</v>
      </c>
      <c r="N732" s="2" t="s">
        <v>3447</v>
      </c>
    </row>
    <row r="733" customFormat="false" ht="18.7" hidden="false" customHeight="true" outlineLevel="0" collapsed="false">
      <c r="A733" s="1" t="n">
        <v>732</v>
      </c>
      <c r="B733" s="7" t="str">
        <f aca="false">HYPERLINK("https://mncourtfraud.com/file/27-CR-20-693.pdf","27-CR-20-693")</f>
        <v>27-CR-20-693</v>
      </c>
      <c r="C733" s="1" t="n">
        <v>1</v>
      </c>
      <c r="D733" s="2" t="s">
        <v>12</v>
      </c>
      <c r="E733" s="8" t="n">
        <v>44895</v>
      </c>
      <c r="F733" s="2" t="s">
        <v>15</v>
      </c>
      <c r="G733" s="7" t="str">
        <f aca="false">HYPERLINK("https://mncourtfraud.com/file/MCRO_27-CR-20-693_Order-Evaluation for Competency to Proceed (Rule 20.01)_2022-11-30_20251126181327.pdf","MCRO_27-CR-20-693_Order-Evaluation for Competency to Proceed (Rule 20.01)_2022-11-30_20251126181327.pdf")</f>
        <v>MCRO_27-CR-20-693_Order-Evaluation for Competency to Proceed (Rule 20.01)_2022-11-30_20251126181327.pdf</v>
      </c>
      <c r="H733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733" s="1" t="s">
        <v>3413</v>
      </c>
      <c r="J733" s="2" t="s">
        <v>3424</v>
      </c>
      <c r="K733" s="2" t="s">
        <v>3424</v>
      </c>
      <c r="L733" s="2" t="s">
        <v>3415</v>
      </c>
      <c r="M733" s="2" t="n">
        <v>14252</v>
      </c>
    </row>
    <row r="734" customFormat="false" ht="18.7" hidden="false" customHeight="true" outlineLevel="0" collapsed="false">
      <c r="A734" s="1" t="n">
        <v>733</v>
      </c>
      <c r="B734" s="7" t="str">
        <f aca="false">HYPERLINK("https://mncourtfraud.com/file/27-CR-20-693.pdf","27-CR-20-693")</f>
        <v>27-CR-20-693</v>
      </c>
      <c r="C734" s="1" t="n">
        <v>1</v>
      </c>
      <c r="D734" s="2" t="s">
        <v>12</v>
      </c>
      <c r="E734" s="8" t="n">
        <v>44895</v>
      </c>
      <c r="F734" s="2" t="s">
        <v>15</v>
      </c>
      <c r="G734" s="7" t="str">
        <f aca="false">HYPERLINK("https://mncourtfraud.com/file/MCRO_27-CR-20-693_Order-Evaluation for Competency to Proceed (Rule 20.01)_2022-11-30_20251126181327.pdf","MCRO_27-CR-20-693_Order-Evaluation for Competency to Proceed (Rule 20.01)_2022-11-30_20251126181327.pdf")</f>
        <v>MCRO_27-CR-20-693_Order-Evaluation for Competency to Proceed (Rule 20.01)_2022-11-30_20251126181327.pdf</v>
      </c>
      <c r="H734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734" s="1" t="s">
        <v>3406</v>
      </c>
      <c r="K734" s="2" t="s">
        <v>3420</v>
      </c>
      <c r="L734" s="2" t="s">
        <v>3408</v>
      </c>
      <c r="M734" s="2" t="n">
        <v>7306</v>
      </c>
      <c r="O734" s="2" t="s">
        <v>3409</v>
      </c>
      <c r="P734" s="2" t="s">
        <v>3410</v>
      </c>
      <c r="S734" s="2" t="n">
        <v>319</v>
      </c>
      <c r="T734" s="2" t="n">
        <v>105</v>
      </c>
    </row>
    <row r="735" customFormat="false" ht="18.7" hidden="false" customHeight="true" outlineLevel="0" collapsed="false">
      <c r="A735" s="1" t="n">
        <v>734</v>
      </c>
      <c r="B735" s="7" t="str">
        <f aca="false">HYPERLINK("https://mncourtfraud.com/file/27-CR-20-693.pdf","27-CR-20-693")</f>
        <v>27-CR-20-693</v>
      </c>
      <c r="C735" s="1" t="n">
        <v>1</v>
      </c>
      <c r="D735" s="2" t="s">
        <v>12</v>
      </c>
      <c r="E735" s="8" t="n">
        <v>44895</v>
      </c>
      <c r="F735" s="2" t="s">
        <v>15</v>
      </c>
      <c r="G735" s="7" t="str">
        <f aca="false">HYPERLINK("https://mncourtfraud.com/file/MCRO_27-CR-20-693_Order-Evaluation for Competency to Proceed (Rule 20.01)_2022-11-30_20251126181327.pdf","MCRO_27-CR-20-693_Order-Evaluation for Competency to Proceed (Rule 20.01)_2022-11-30_20251126181327.pdf")</f>
        <v>MCRO_27-CR-20-693_Order-Evaluation for Competency to Proceed (Rule 20.01)_2022-11-30_20251126181327.pdf</v>
      </c>
      <c r="H735" s="7" t="str">
        <f aca="false">HYPERLINK("https://mncourtfraud.com/file/677e52a3b8403ce87e338b0a2e31e6f8e5ddf03fb0ca7043a341135cf0255eaa.ttf","677e52a3b8403ce87e338b0a2e31e6f8e5ddf03fb0ca7043a341135cf0255eaa")</f>
        <v>677e52a3b8403ce87e338b0a2e31e6f8e5ddf03fb0ca7043a341135cf0255eaa</v>
      </c>
      <c r="I735" s="1" t="s">
        <v>3413</v>
      </c>
      <c r="J735" s="2" t="s">
        <v>3422</v>
      </c>
      <c r="K735" s="2" t="s">
        <v>3422</v>
      </c>
      <c r="L735" s="2" t="s">
        <v>3415</v>
      </c>
      <c r="M735" s="2" t="n">
        <v>149960</v>
      </c>
    </row>
    <row r="736" customFormat="false" ht="18.7" hidden="false" customHeight="true" outlineLevel="0" collapsed="false">
      <c r="A736" s="1" t="n">
        <v>735</v>
      </c>
      <c r="B736" s="7" t="str">
        <f aca="false">HYPERLINK("https://mncourtfraud.com/file/27-CR-20-693.pdf","27-CR-20-693")</f>
        <v>27-CR-20-693</v>
      </c>
      <c r="C736" s="1" t="n">
        <v>1</v>
      </c>
      <c r="D736" s="2" t="s">
        <v>12</v>
      </c>
      <c r="E736" s="8" t="n">
        <v>44895</v>
      </c>
      <c r="F736" s="2" t="s">
        <v>15</v>
      </c>
      <c r="G736" s="7" t="str">
        <f aca="false">HYPERLINK("https://mncourtfraud.com/file/MCRO_27-CR-20-693_Order-Evaluation for Competency to Proceed (Rule 20.01)_2022-11-30_20251126181327.pdf","MCRO_27-CR-20-693_Order-Evaluation for Competency to Proceed (Rule 20.01)_2022-11-30_20251126181327.pdf")</f>
        <v>MCRO_27-CR-20-693_Order-Evaluation for Competency to Proceed (Rule 20.01)_2022-11-30_20251126181327.pdf</v>
      </c>
      <c r="H736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736" s="1" t="s">
        <v>3413</v>
      </c>
      <c r="J736" s="2" t="s">
        <v>3448</v>
      </c>
      <c r="K736" s="2" t="s">
        <v>3448</v>
      </c>
      <c r="L736" s="2" t="s">
        <v>3415</v>
      </c>
      <c r="M736" s="2" t="n">
        <v>916684</v>
      </c>
    </row>
    <row r="737" customFormat="false" ht="18.7" hidden="false" customHeight="true" outlineLevel="0" collapsed="false">
      <c r="A737" s="1" t="n">
        <v>736</v>
      </c>
      <c r="B737" s="7" t="str">
        <f aca="false">HYPERLINK("https://mncourtfraud.com/file/27-CR-20-693.pdf","27-CR-20-693")</f>
        <v>27-CR-20-693</v>
      </c>
      <c r="C737" s="1" t="n">
        <v>1</v>
      </c>
      <c r="D737" s="2" t="s">
        <v>12</v>
      </c>
      <c r="E737" s="8" t="n">
        <v>44895</v>
      </c>
      <c r="F737" s="2" t="s">
        <v>15</v>
      </c>
      <c r="G737" s="7" t="str">
        <f aca="false">HYPERLINK("https://mncourtfraud.com/file/MCRO_27-CR-20-693_Order-Evaluation for Competency to Proceed (Rule 20.01)_2022-11-30_20251126181327.pdf","MCRO_27-CR-20-693_Order-Evaluation for Competency to Proceed (Rule 20.01)_2022-11-30_20251126181327.pdf")</f>
        <v>MCRO_27-CR-20-693_Order-Evaluation for Competency to Proceed (Rule 20.01)_2022-11-30_20251126181327.pdf</v>
      </c>
      <c r="H737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737" s="1" t="s">
        <v>3406</v>
      </c>
      <c r="K737" s="2" t="s">
        <v>3425</v>
      </c>
      <c r="L737" s="2" t="s">
        <v>3408</v>
      </c>
      <c r="M737" s="2" t="n">
        <v>21225</v>
      </c>
      <c r="O737" s="2" t="s">
        <v>3409</v>
      </c>
      <c r="P737" s="2" t="s">
        <v>3410</v>
      </c>
      <c r="S737" s="2" t="n">
        <v>319</v>
      </c>
      <c r="T737" s="2" t="n">
        <v>105</v>
      </c>
    </row>
    <row r="738" customFormat="false" ht="18.7" hidden="false" customHeight="true" outlineLevel="0" collapsed="false">
      <c r="A738" s="1" t="n">
        <v>737</v>
      </c>
      <c r="B738" s="7" t="str">
        <f aca="false">HYPERLINK("https://mncourtfraud.com/file/27-CR-20-693.pdf","27-CR-20-693")</f>
        <v>27-CR-20-693</v>
      </c>
      <c r="C738" s="1" t="n">
        <v>1</v>
      </c>
      <c r="D738" s="2" t="s">
        <v>12</v>
      </c>
      <c r="E738" s="8" t="n">
        <v>44895</v>
      </c>
      <c r="F738" s="2" t="s">
        <v>15</v>
      </c>
      <c r="G738" s="7" t="str">
        <f aca="false">HYPERLINK("https://mncourtfraud.com/file/MCRO_27-CR-20-693_Order-Evaluation for Competency to Proceed (Rule 20.01)_2022-11-30_20251126181327.pdf","MCRO_27-CR-20-693_Order-Evaluation for Competency to Proceed (Rule 20.01)_2022-11-30_20251126181327.pdf")</f>
        <v>MCRO_27-CR-20-693_Order-Evaluation for Competency to Proceed (Rule 20.01)_2022-11-30_20251126181327.pdf</v>
      </c>
      <c r="H738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738" s="1" t="s">
        <v>3413</v>
      </c>
      <c r="J738" s="2" t="s">
        <v>3449</v>
      </c>
      <c r="K738" s="2" t="s">
        <v>3449</v>
      </c>
      <c r="L738" s="2" t="s">
        <v>3415</v>
      </c>
      <c r="M738" s="2" t="n">
        <v>124664</v>
      </c>
    </row>
    <row r="739" customFormat="false" ht="18.7" hidden="false" customHeight="true" outlineLevel="0" collapsed="false">
      <c r="A739" s="1" t="n">
        <v>738</v>
      </c>
      <c r="B739" s="7" t="str">
        <f aca="false">HYPERLINK("https://mncourtfraud.com/file/27-CR-20-693.pdf","27-CR-20-693")</f>
        <v>27-CR-20-693</v>
      </c>
      <c r="C739" s="1" t="n">
        <v>1</v>
      </c>
      <c r="D739" s="2" t="s">
        <v>12</v>
      </c>
      <c r="E739" s="8" t="n">
        <v>44895</v>
      </c>
      <c r="F739" s="2" t="s">
        <v>15</v>
      </c>
      <c r="G739" s="7" t="str">
        <f aca="false">HYPERLINK("https://mncourtfraud.com/file/MCRO_27-CR-20-693_Order-Evaluation for Competency to Proceed (Rule 20.01)_2022-11-30_20251126181327.pdf","MCRO_27-CR-20-693_Order-Evaluation for Competency to Proceed (Rule 20.01)_2022-11-30_20251126181327.pdf")</f>
        <v>MCRO_27-CR-20-693_Order-Evaluation for Competency to Proceed (Rule 20.01)_2022-11-30_20251126181327.pdf</v>
      </c>
      <c r="H739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739" s="1" t="s">
        <v>3413</v>
      </c>
      <c r="J739" s="2" t="s">
        <v>3449</v>
      </c>
      <c r="K739" s="2" t="s">
        <v>3449</v>
      </c>
      <c r="L739" s="2" t="s">
        <v>3415</v>
      </c>
      <c r="M739" s="2" t="n">
        <v>124664</v>
      </c>
    </row>
    <row r="740" customFormat="false" ht="18.7" hidden="false" customHeight="true" outlineLevel="0" collapsed="false">
      <c r="A740" s="1" t="n">
        <v>739</v>
      </c>
      <c r="B740" s="7" t="str">
        <f aca="false">HYPERLINK("https://mncourtfraud.com/file/27-CR-21-10185.pdf","27-CR-21-10185")</f>
        <v>27-CR-21-10185</v>
      </c>
      <c r="C740" s="1" t="n">
        <v>1</v>
      </c>
      <c r="D740" s="2" t="s">
        <v>12</v>
      </c>
      <c r="E740" s="8" t="n">
        <v>44396</v>
      </c>
      <c r="F740" s="2" t="s">
        <v>15</v>
      </c>
      <c r="G740" s="7" t="str">
        <f aca="false">HYPERLINK("https://mncourtfraud.com/file/MCRO_27-CR-21-10185_Order-Evaluation for Competency to Proceed (Rule 20.01)_2021-07-19_20251126181524.pdf","MCRO_27-CR-21-10185_Order-Evaluation for Competency to Proceed (Rule 20.01)_2021-07-19_20251126181524.pdf")</f>
        <v>MCRO_27-CR-21-10185_Order-Evaluation for Competency to Proceed (Rule 20.01)_2021-07-19_20251126181524.pdf</v>
      </c>
      <c r="H740" s="7" t="str">
        <f aca="false">HYPERLINK("https://mncourtfraud.com/file/436f92433f68646cece02c155da203c02bd804338ed4fb667822e82d717fb4aa.ttf","436f92433f68646cece02c155da203c02bd804338ed4fb667822e82d717fb4aa")</f>
        <v>436f92433f68646cece02c155da203c02bd804338ed4fb667822e82d717fb4aa</v>
      </c>
      <c r="I740" s="1" t="s">
        <v>3413</v>
      </c>
      <c r="L740" s="2" t="s">
        <v>3415</v>
      </c>
      <c r="M740" s="2" t="n">
        <v>333584</v>
      </c>
    </row>
    <row r="741" customFormat="false" ht="18.7" hidden="false" customHeight="true" outlineLevel="0" collapsed="false">
      <c r="A741" s="1" t="n">
        <v>740</v>
      </c>
      <c r="B741" s="7" t="str">
        <f aca="false">HYPERLINK("https://mncourtfraud.com/file/27-CR-21-10185.pdf","27-CR-21-10185")</f>
        <v>27-CR-21-10185</v>
      </c>
      <c r="C741" s="1" t="n">
        <v>1</v>
      </c>
      <c r="D741" s="2" t="s">
        <v>12</v>
      </c>
      <c r="E741" s="8" t="n">
        <v>44396</v>
      </c>
      <c r="F741" s="2" t="s">
        <v>15</v>
      </c>
      <c r="G741" s="7" t="str">
        <f aca="false">HYPERLINK("https://mncourtfraud.com/file/MCRO_27-CR-21-10185_Order-Evaluation for Competency to Proceed (Rule 20.01)_2021-07-19_20251126181524.pdf","MCRO_27-CR-21-10185_Order-Evaluation for Competency to Proceed (Rule 20.01)_2021-07-19_20251126181524.pdf")</f>
        <v>MCRO_27-CR-21-10185_Order-Evaluation for Competency to Proceed (Rule 20.01)_2021-07-19_20251126181524.pdf</v>
      </c>
      <c r="H741" s="7" t="str">
        <f aca="false">HYPERLINK("https://mncourtfraud.com/file/7b90eb15d102cf501afd12c923b37b905a27a2522d308686200fa5acb1103503.png","7b90eb15d102cf501afd12c923b37b905a27a2522d308686200fa5acb1103503")</f>
        <v>7b90eb15d102cf501afd12c923b37b905a27a2522d308686200fa5acb1103503</v>
      </c>
      <c r="I741" s="1" t="s">
        <v>3406</v>
      </c>
      <c r="L741" s="2" t="s">
        <v>3412</v>
      </c>
      <c r="M741" s="2" t="n">
        <v>156341</v>
      </c>
      <c r="S741" s="2" t="n">
        <v>2550</v>
      </c>
      <c r="T741" s="2" t="n">
        <v>3300</v>
      </c>
    </row>
    <row r="742" customFormat="false" ht="18.7" hidden="false" customHeight="true" outlineLevel="0" collapsed="false">
      <c r="A742" s="1" t="n">
        <v>741</v>
      </c>
      <c r="B742" s="7" t="str">
        <f aca="false">HYPERLINK("https://mncourtfraud.com/file/27-CR-21-10185.pdf","27-CR-21-10185")</f>
        <v>27-CR-21-10185</v>
      </c>
      <c r="C742" s="1" t="n">
        <v>1</v>
      </c>
      <c r="D742" s="2" t="s">
        <v>12</v>
      </c>
      <c r="E742" s="8" t="n">
        <v>44396</v>
      </c>
      <c r="F742" s="2" t="s">
        <v>15</v>
      </c>
      <c r="G742" s="7" t="str">
        <f aca="false">HYPERLINK("https://mncourtfraud.com/file/MCRO_27-CR-21-10185_Order-Evaluation for Competency to Proceed (Rule 20.01)_2021-07-19_20251126181524.pdf","MCRO_27-CR-21-10185_Order-Evaluation for Competency to Proceed (Rule 20.01)_2021-07-19_20251126181524.pdf")</f>
        <v>MCRO_27-CR-21-10185_Order-Evaluation for Competency to Proceed (Rule 20.01)_2021-07-19_20251126181524.pdf</v>
      </c>
      <c r="H742" s="7" t="str">
        <f aca="false">HYPERLINK("https://mncourtfraud.com/file/c044deb6f7aeba5454aa8091091c8c94aa2ba2592fd4d85513d631c4decb2b38.png","c044deb6f7aeba5454aa8091091c8c94aa2ba2592fd4d85513d631c4decb2b38")</f>
        <v>c044deb6f7aeba5454aa8091091c8c94aa2ba2592fd4d85513d631c4decb2b38</v>
      </c>
      <c r="I742" s="1" t="s">
        <v>3406</v>
      </c>
      <c r="L742" s="2" t="s">
        <v>3412</v>
      </c>
      <c r="M742" s="2" t="n">
        <v>144540</v>
      </c>
      <c r="S742" s="2" t="n">
        <v>2550</v>
      </c>
      <c r="T742" s="2" t="n">
        <v>3300</v>
      </c>
    </row>
    <row r="743" customFormat="false" ht="18.7" hidden="false" customHeight="true" outlineLevel="0" collapsed="false">
      <c r="A743" s="1" t="n">
        <v>742</v>
      </c>
      <c r="B743" s="7" t="str">
        <f aca="false">HYPERLINK("https://mncourtfraud.com/file/27-CR-21-10185.pdf","27-CR-21-10185")</f>
        <v>27-CR-21-10185</v>
      </c>
      <c r="C743" s="1" t="n">
        <v>1</v>
      </c>
      <c r="D743" s="2" t="s">
        <v>12</v>
      </c>
      <c r="E743" s="8" t="n">
        <v>44439</v>
      </c>
      <c r="F743" s="2" t="s">
        <v>19</v>
      </c>
      <c r="G743" s="7" t="str">
        <f aca="false">HYPERLINK("https://mncourtfraud.com/file/MCRO_27-CR-21-10185_Findings and Order_2021-08-31_20251126181437.pdf","MCRO_27-CR-21-10185_Findings and Order_2021-08-31_20251126181437.pdf")</f>
        <v>MCRO_27-CR-21-10185_Findings and Order_2021-08-31_20251126181437.pdf</v>
      </c>
      <c r="H743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743" s="1" t="s">
        <v>3413</v>
      </c>
      <c r="J743" s="2" t="s">
        <v>3426</v>
      </c>
      <c r="K743" s="2" t="s">
        <v>3426</v>
      </c>
      <c r="L743" s="2" t="s">
        <v>3415</v>
      </c>
      <c r="M743" s="2" t="n">
        <v>74997</v>
      </c>
      <c r="N743" s="2" t="s">
        <v>3427</v>
      </c>
    </row>
    <row r="744" customFormat="false" ht="18.7" hidden="false" customHeight="true" outlineLevel="0" collapsed="false">
      <c r="A744" s="1" t="n">
        <v>743</v>
      </c>
      <c r="B744" s="7" t="str">
        <f aca="false">HYPERLINK("https://mncourtfraud.com/file/27-CR-21-10185.pdf","27-CR-21-10185")</f>
        <v>27-CR-21-10185</v>
      </c>
      <c r="C744" s="1" t="n">
        <v>1</v>
      </c>
      <c r="D744" s="2" t="s">
        <v>12</v>
      </c>
      <c r="E744" s="8" t="n">
        <v>44439</v>
      </c>
      <c r="F744" s="2" t="s">
        <v>19</v>
      </c>
      <c r="G744" s="7" t="str">
        <f aca="false">HYPERLINK("https://mncourtfraud.com/file/MCRO_27-CR-21-10185_Findings and Order_2021-08-31_20251126181437.pdf","MCRO_27-CR-21-10185_Findings and Order_2021-08-31_20251126181437.pdf")</f>
        <v>MCRO_27-CR-21-10185_Findings and Order_2021-08-31_20251126181437.pdf</v>
      </c>
      <c r="H744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744" s="1" t="s">
        <v>3413</v>
      </c>
      <c r="J744" s="2" t="s">
        <v>3414</v>
      </c>
      <c r="K744" s="2" t="s">
        <v>3414</v>
      </c>
      <c r="L744" s="2" t="s">
        <v>3415</v>
      </c>
      <c r="M744" s="2" t="n">
        <v>65384</v>
      </c>
    </row>
    <row r="745" customFormat="false" ht="18.7" hidden="false" customHeight="true" outlineLevel="0" collapsed="false">
      <c r="A745" s="1" t="n">
        <v>744</v>
      </c>
      <c r="B745" s="7" t="str">
        <f aca="false">HYPERLINK("https://mncourtfraud.com/file/27-CR-21-10185.pdf","27-CR-21-10185")</f>
        <v>27-CR-21-10185</v>
      </c>
      <c r="C745" s="1" t="n">
        <v>1</v>
      </c>
      <c r="D745" s="2" t="s">
        <v>12</v>
      </c>
      <c r="E745" s="8" t="n">
        <v>44439</v>
      </c>
      <c r="F745" s="2" t="s">
        <v>19</v>
      </c>
      <c r="G745" s="7" t="str">
        <f aca="false">HYPERLINK("https://mncourtfraud.com/file/MCRO_27-CR-21-10185_Findings and Order_2021-08-31_20251126181437.pdf","MCRO_27-CR-21-10185_Findings and Order_2021-08-31_20251126181437.pdf")</f>
        <v>MCRO_27-CR-21-10185_Findings and Order_2021-08-31_20251126181437.pdf</v>
      </c>
      <c r="H745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745" s="1" t="s">
        <v>3413</v>
      </c>
      <c r="J745" s="2" t="s">
        <v>3414</v>
      </c>
      <c r="K745" s="2" t="s">
        <v>3414</v>
      </c>
      <c r="L745" s="2" t="s">
        <v>3415</v>
      </c>
      <c r="M745" s="2" t="n">
        <v>65384</v>
      </c>
    </row>
    <row r="746" customFormat="false" ht="18.7" hidden="false" customHeight="true" outlineLevel="0" collapsed="false">
      <c r="A746" s="1" t="n">
        <v>745</v>
      </c>
      <c r="B746" s="7" t="str">
        <f aca="false">HYPERLINK("https://mncourtfraud.com/file/27-CR-21-10185.pdf","27-CR-21-10185")</f>
        <v>27-CR-21-10185</v>
      </c>
      <c r="C746" s="1" t="n">
        <v>1</v>
      </c>
      <c r="D746" s="2" t="s">
        <v>12</v>
      </c>
      <c r="E746" s="8" t="n">
        <v>44439</v>
      </c>
      <c r="F746" s="2" t="s">
        <v>19</v>
      </c>
      <c r="G746" s="7" t="str">
        <f aca="false">HYPERLINK("https://mncourtfraud.com/file/MCRO_27-CR-21-10185_Findings and Order_2021-08-31_20251126181437.pdf","MCRO_27-CR-21-10185_Findings and Order_2021-08-31_20251126181437.pdf")</f>
        <v>MCRO_27-CR-21-10185_Findings and Order_2021-08-31_20251126181437.pdf</v>
      </c>
      <c r="H746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746" s="1" t="s">
        <v>3428</v>
      </c>
      <c r="J746" s="2" t="s">
        <v>3429</v>
      </c>
      <c r="K746" s="2" t="s">
        <v>3429</v>
      </c>
      <c r="L746" s="2" t="s">
        <v>3415</v>
      </c>
      <c r="M746" s="2" t="n">
        <v>86093</v>
      </c>
    </row>
    <row r="747" customFormat="false" ht="18.7" hidden="false" customHeight="true" outlineLevel="0" collapsed="false">
      <c r="A747" s="1" t="n">
        <v>746</v>
      </c>
      <c r="B747" s="7" t="str">
        <f aca="false">HYPERLINK("https://mncourtfraud.com/file/27-CR-21-10185.pdf","27-CR-21-10185")</f>
        <v>27-CR-21-10185</v>
      </c>
      <c r="C747" s="1" t="n">
        <v>1</v>
      </c>
      <c r="D747" s="2" t="s">
        <v>12</v>
      </c>
      <c r="E747" s="8" t="n">
        <v>44439</v>
      </c>
      <c r="F747" s="2" t="s">
        <v>134</v>
      </c>
      <c r="G747" s="7" t="str">
        <f aca="false">HYPERLINK("https://mncourtfraud.com/file/MCRO_27-CR-21-10185_Notice of Intent to Prosecute_2021-08-31_20251126181452.pdf","MCRO_27-CR-21-10185_Notice of Intent to Prosecute_2021-08-31_20251126181452.pdf")</f>
        <v>MCRO_27-CR-21-10185_Notice of Intent to Prosecute_2021-08-31_20251126181452.pdf</v>
      </c>
      <c r="H747" s="7" t="str">
        <f aca="false">HYPERLINK("https://mncourtfraud.com/file/9c2bac604d83aff89a4530b9a376d3ea3c030d424403611b68a09163fb5eb74a.ttf","9c2bac604d83aff89a4530b9a376d3ea3c030d424403611b68a09163fb5eb74a")</f>
        <v>9c2bac604d83aff89a4530b9a376d3ea3c030d424403611b68a09163fb5eb74a</v>
      </c>
      <c r="I747" s="1" t="s">
        <v>3413</v>
      </c>
      <c r="J747" s="2" t="s">
        <v>3461</v>
      </c>
      <c r="K747" s="2" t="s">
        <v>3461</v>
      </c>
      <c r="L747" s="2" t="s">
        <v>3415</v>
      </c>
      <c r="M747" s="2" t="n">
        <v>62408</v>
      </c>
      <c r="N747" s="2" t="s">
        <v>3462</v>
      </c>
    </row>
    <row r="748" customFormat="false" ht="18.7" hidden="false" customHeight="true" outlineLevel="0" collapsed="false">
      <c r="A748" s="1" t="n">
        <v>747</v>
      </c>
      <c r="B748" s="7" t="str">
        <f aca="false">HYPERLINK("https://mncourtfraud.com/file/27-CR-21-10185.pdf","27-CR-21-10185")</f>
        <v>27-CR-21-10185</v>
      </c>
      <c r="C748" s="1" t="n">
        <v>1</v>
      </c>
      <c r="D748" s="2" t="s">
        <v>12</v>
      </c>
      <c r="E748" s="8" t="n">
        <v>44439</v>
      </c>
      <c r="F748" s="2" t="s">
        <v>19</v>
      </c>
      <c r="G748" s="7" t="str">
        <f aca="false">HYPERLINK("https://mncourtfraud.com/file/MCRO_27-CR-21-10185_Findings and Order_2021-08-31_20251126181437.pdf","MCRO_27-CR-21-10185_Findings and Order_2021-08-31_20251126181437.pdf")</f>
        <v>MCRO_27-CR-21-10185_Findings and Order_2021-08-31_20251126181437.pdf</v>
      </c>
      <c r="H748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748" s="1" t="s">
        <v>3406</v>
      </c>
      <c r="K748" s="2" t="s">
        <v>3430</v>
      </c>
      <c r="L748" s="2" t="s">
        <v>3408</v>
      </c>
      <c r="M748" s="2" t="n">
        <v>28069</v>
      </c>
      <c r="O748" s="2" t="s">
        <v>3409</v>
      </c>
      <c r="P748" s="2" t="s">
        <v>3410</v>
      </c>
      <c r="S748" s="2" t="n">
        <v>448</v>
      </c>
      <c r="T748" s="2" t="n">
        <v>128</v>
      </c>
    </row>
    <row r="749" customFormat="false" ht="18.7" hidden="false" customHeight="true" outlineLevel="0" collapsed="false">
      <c r="A749" s="1" t="n">
        <v>748</v>
      </c>
      <c r="B749" s="7" t="str">
        <f aca="false">HYPERLINK("https://mncourtfraud.com/file/27-CR-21-10185.pdf","27-CR-21-10185")</f>
        <v>27-CR-21-10185</v>
      </c>
      <c r="C749" s="1" t="n">
        <v>1</v>
      </c>
      <c r="D749" s="2" t="s">
        <v>12</v>
      </c>
      <c r="E749" s="8" t="n">
        <v>44439</v>
      </c>
      <c r="F749" s="2" t="s">
        <v>19</v>
      </c>
      <c r="G749" s="7" t="str">
        <f aca="false">HYPERLINK("https://mncourtfraud.com/file/MCRO_27-CR-21-10185_Findings and Order_2021-08-31_20251126181437.pdf","MCRO_27-CR-21-10185_Findings and Order_2021-08-31_20251126181437.pdf")</f>
        <v>MCRO_27-CR-21-10185_Findings and Order_2021-08-31_20251126181437.pdf</v>
      </c>
      <c r="H749" s="7" t="str">
        <f aca="false">HYPERLINK("https://mncourtfraud.com/file/d85226137c53579f37f2c87321a4ff209a309a82330591d9457774d7d697befc.ttf","d85226137c53579f37f2c87321a4ff209a309a82330591d9457774d7d697befc")</f>
        <v>d85226137c53579f37f2c87321a4ff209a309a82330591d9457774d7d697befc</v>
      </c>
      <c r="I749" s="1" t="s">
        <v>3413</v>
      </c>
      <c r="J749" s="2" t="s">
        <v>3414</v>
      </c>
      <c r="K749" s="2" t="s">
        <v>3416</v>
      </c>
      <c r="L749" s="2" t="s">
        <v>3415</v>
      </c>
      <c r="M749" s="2" t="n">
        <v>49992</v>
      </c>
    </row>
    <row r="750" customFormat="false" ht="18.7" hidden="false" customHeight="true" outlineLevel="0" collapsed="false">
      <c r="A750" s="1" t="n">
        <v>749</v>
      </c>
      <c r="B750" s="7" t="str">
        <f aca="false">HYPERLINK("https://mncourtfraud.com/file/27-CR-21-10185.pdf","27-CR-21-10185")</f>
        <v>27-CR-21-10185</v>
      </c>
      <c r="C750" s="1" t="n">
        <v>1</v>
      </c>
      <c r="D750" s="2" t="s">
        <v>12</v>
      </c>
      <c r="E750" s="8" t="n">
        <v>44439</v>
      </c>
      <c r="F750" s="2" t="s">
        <v>134</v>
      </c>
      <c r="G750" s="7" t="str">
        <f aca="false">HYPERLINK("https://mncourtfraud.com/file/MCRO_27-CR-21-10185_Notice of Intent to Prosecute_2021-08-31_20251126181452.pdf","MCRO_27-CR-21-10185_Notice of Intent to Prosecute_2021-08-31_20251126181452.pdf")</f>
        <v>MCRO_27-CR-21-10185_Notice of Intent to Prosecute_2021-08-31_20251126181452.pdf</v>
      </c>
      <c r="H750" s="7" t="str">
        <f aca="false">HYPERLINK("https://mncourtfraud.com/file/e64bffa7fe7d80318c9a0ff66dc2dc43a08dcc638a31d75e1ce08e63e3f20b73.ttf","e64bffa7fe7d80318c9a0ff66dc2dc43a08dcc638a31d75e1ce08e63e3f20b73")</f>
        <v>e64bffa7fe7d80318c9a0ff66dc2dc43a08dcc638a31d75e1ce08e63e3f20b73</v>
      </c>
      <c r="I750" s="1" t="s">
        <v>3413</v>
      </c>
      <c r="J750" s="2" t="s">
        <v>3463</v>
      </c>
      <c r="K750" s="2" t="s">
        <v>3463</v>
      </c>
      <c r="L750" s="2" t="s">
        <v>3415</v>
      </c>
      <c r="M750" s="2" t="n">
        <v>95686</v>
      </c>
      <c r="N750" s="2" t="s">
        <v>3464</v>
      </c>
    </row>
    <row r="751" customFormat="false" ht="18.7" hidden="false" customHeight="true" outlineLevel="0" collapsed="false">
      <c r="A751" s="1" t="n">
        <v>750</v>
      </c>
      <c r="B751" s="7" t="str">
        <f aca="false">HYPERLINK("https://mncourtfraud.com/file/27-CR-21-10185.pdf","27-CR-21-10185")</f>
        <v>27-CR-21-10185</v>
      </c>
      <c r="C751" s="1" t="n">
        <v>1</v>
      </c>
      <c r="D751" s="2" t="s">
        <v>12</v>
      </c>
      <c r="E751" s="8" t="n">
        <v>44460</v>
      </c>
      <c r="F751" s="2" t="s">
        <v>24</v>
      </c>
      <c r="G751" s="7" t="str">
        <f aca="false">HYPERLINK("https://mncourtfraud.com/file/MCRO_27-CR-21-10185_Order for Conditional Release_2021-09-21_20251126181510.pdf","MCRO_27-CR-21-10185_Order for Conditional Release_2021-09-21_20251126181510.pdf")</f>
        <v>MCRO_27-CR-21-10185_Order for Conditional Release_2021-09-21_20251126181510.pdf</v>
      </c>
      <c r="H751" s="7" t="str">
        <f aca="false">HYPERLINK("https://mncourtfraud.com/file/02dfb6e08fd11b3563d1b9b621b56dbf2dc11acbd85e42bfd83f728fb300bef2.ttf","02dfb6e08fd11b3563d1b9b621b56dbf2dc11acbd85e42bfd83f728fb300bef2")</f>
        <v>02dfb6e08fd11b3563d1b9b621b56dbf2dc11acbd85e42bfd83f728fb300bef2</v>
      </c>
      <c r="I751" s="1" t="s">
        <v>3413</v>
      </c>
      <c r="L751" s="2" t="s">
        <v>3415</v>
      </c>
      <c r="M751" s="2" t="n">
        <v>333576</v>
      </c>
    </row>
    <row r="752" customFormat="false" ht="18.7" hidden="false" customHeight="true" outlineLevel="0" collapsed="false">
      <c r="A752" s="1" t="n">
        <v>751</v>
      </c>
      <c r="B752" s="7" t="str">
        <f aca="false">HYPERLINK("https://mncourtfraud.com/file/27-CR-21-10185.pdf","27-CR-21-10185")</f>
        <v>27-CR-21-10185</v>
      </c>
      <c r="C752" s="1" t="n">
        <v>1</v>
      </c>
      <c r="D752" s="2" t="s">
        <v>12</v>
      </c>
      <c r="E752" s="8" t="n">
        <v>44460</v>
      </c>
      <c r="F752" s="2" t="s">
        <v>24</v>
      </c>
      <c r="G752" s="7" t="str">
        <f aca="false">HYPERLINK("https://mncourtfraud.com/file/MCRO_27-CR-21-10185_Order for Conditional Release_2021-09-21_20251126181510.pdf","MCRO_27-CR-21-10185_Order for Conditional Release_2021-09-21_20251126181510.pdf")</f>
        <v>MCRO_27-CR-21-10185_Order for Conditional Release_2021-09-21_20251126181510.pdf</v>
      </c>
      <c r="H752" s="7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752" s="1" t="s">
        <v>3406</v>
      </c>
      <c r="L752" s="2" t="s">
        <v>3412</v>
      </c>
      <c r="M752" s="2" t="n">
        <v>152962</v>
      </c>
      <c r="S752" s="2" t="n">
        <v>2560</v>
      </c>
      <c r="T752" s="2" t="n">
        <v>3300</v>
      </c>
    </row>
    <row r="753" customFormat="false" ht="18.7" hidden="false" customHeight="true" outlineLevel="0" collapsed="false">
      <c r="A753" s="1" t="n">
        <v>752</v>
      </c>
      <c r="B753" s="7" t="str">
        <f aca="false">HYPERLINK("https://mncourtfraud.com/file/27-CR-21-10185.pdf","27-CR-21-10185")</f>
        <v>27-CR-21-10185</v>
      </c>
      <c r="C753" s="1" t="n">
        <v>1</v>
      </c>
      <c r="D753" s="2" t="s">
        <v>12</v>
      </c>
      <c r="E753" s="8" t="n">
        <v>44468</v>
      </c>
      <c r="F753" s="2" t="s">
        <v>24</v>
      </c>
      <c r="G753" s="7" t="str">
        <f aca="false">HYPERLINK("https://mncourtfraud.com/file/MCRO_27-CR-21-10185_Order for Conditional Release_2021-09-29_20251126181506.pdf","MCRO_27-CR-21-10185_Order for Conditional Release_2021-09-29_20251126181506.pdf")</f>
        <v>MCRO_27-CR-21-10185_Order for Conditional Release_2021-09-29_20251126181506.pdf</v>
      </c>
      <c r="H753" s="7" t="str">
        <f aca="false">HYPERLINK("https://mncourtfraud.com/file/29d541cb6920f2a0815a72232c8164e19ffda7ff89f025261d343aef97d55c23.png","29d541cb6920f2a0815a72232c8164e19ffda7ff89f025261d343aef97d55c23")</f>
        <v>29d541cb6920f2a0815a72232c8164e19ffda7ff89f025261d343aef97d55c23</v>
      </c>
      <c r="I753" s="1" t="s">
        <v>3406</v>
      </c>
      <c r="L753" s="2" t="s">
        <v>3412</v>
      </c>
      <c r="M753" s="2" t="n">
        <v>104</v>
      </c>
      <c r="S753" s="2" t="n">
        <v>5</v>
      </c>
      <c r="T753" s="2" t="n">
        <v>75</v>
      </c>
    </row>
    <row r="754" customFormat="false" ht="18.7" hidden="false" customHeight="true" outlineLevel="0" collapsed="false">
      <c r="A754" s="1" t="n">
        <v>753</v>
      </c>
      <c r="B754" s="7" t="str">
        <f aca="false">HYPERLINK("https://mncourtfraud.com/file/27-CR-21-10185.pdf","27-CR-21-10185")</f>
        <v>27-CR-21-10185</v>
      </c>
      <c r="C754" s="1" t="n">
        <v>1</v>
      </c>
      <c r="D754" s="2" t="s">
        <v>12</v>
      </c>
      <c r="E754" s="8" t="n">
        <v>44468</v>
      </c>
      <c r="F754" s="2" t="s">
        <v>24</v>
      </c>
      <c r="G754" s="7" t="str">
        <f aca="false">HYPERLINK("https://mncourtfraud.com/file/MCRO_27-CR-21-10185_Order for Conditional Release_2021-09-29_20251126181506.pdf","MCRO_27-CR-21-10185_Order for Conditional Release_2021-09-29_20251126181506.pdf")</f>
        <v>MCRO_27-CR-21-10185_Order for Conditional Release_2021-09-29_20251126181506.pdf</v>
      </c>
      <c r="H754" s="7" t="str">
        <f aca="false">HYPERLINK("https://mncourtfraud.com/file/3d978c70f8a4a91fd25d0f653c2931516767fdd837fcadff75a8c3cd2ba3a28e.png","3d978c70f8a4a91fd25d0f653c2931516767fdd837fcadff75a8c3cd2ba3a28e")</f>
        <v>3d978c70f8a4a91fd25d0f653c2931516767fdd837fcadff75a8c3cd2ba3a28e</v>
      </c>
      <c r="I754" s="1" t="s">
        <v>3406</v>
      </c>
      <c r="L754" s="2" t="s">
        <v>3412</v>
      </c>
      <c r="M754" s="2" t="n">
        <v>2435</v>
      </c>
      <c r="S754" s="2" t="n">
        <v>1069</v>
      </c>
      <c r="T754" s="2" t="n">
        <v>679</v>
      </c>
    </row>
    <row r="755" customFormat="false" ht="18.7" hidden="false" customHeight="true" outlineLevel="0" collapsed="false">
      <c r="A755" s="1" t="n">
        <v>754</v>
      </c>
      <c r="B755" s="7" t="str">
        <f aca="false">HYPERLINK("https://mncourtfraud.com/file/27-CR-21-10185.pdf","27-CR-21-10185")</f>
        <v>27-CR-21-10185</v>
      </c>
      <c r="C755" s="1" t="n">
        <v>1</v>
      </c>
      <c r="D755" s="2" t="s">
        <v>12</v>
      </c>
      <c r="E755" s="8" t="n">
        <v>44468</v>
      </c>
      <c r="F755" s="2" t="s">
        <v>24</v>
      </c>
      <c r="G755" s="7" t="str">
        <f aca="false">HYPERLINK("https://mncourtfraud.com/file/MCRO_27-CR-21-10185_Order for Conditional Release_2021-09-29_20251126181506.pdf","MCRO_27-CR-21-10185_Order for Conditional Release_2021-09-29_20251126181506.pdf")</f>
        <v>MCRO_27-CR-21-10185_Order for Conditional Release_2021-09-29_20251126181506.pdf</v>
      </c>
      <c r="H755" s="7" t="str">
        <f aca="false">HYPERLINK("https://mncourtfraud.com/file/3f202249d41f264cabf7a4fd2c634829df7886c25cb759658f06c1a8bca28360.cid","3f202249d41f264cabf7a4fd2c634829df7886c25cb759658f06c1a8bca28360")</f>
        <v>3f202249d41f264cabf7a4fd2c634829df7886c25cb759658f06c1a8bca28360</v>
      </c>
      <c r="I755" s="1" t="s">
        <v>3431</v>
      </c>
      <c r="L755" s="2" t="s">
        <v>3415</v>
      </c>
      <c r="M755" s="2" t="n">
        <v>1397</v>
      </c>
    </row>
    <row r="756" customFormat="false" ht="18.7" hidden="false" customHeight="true" outlineLevel="0" collapsed="false">
      <c r="A756" s="1" t="n">
        <v>755</v>
      </c>
      <c r="B756" s="7" t="str">
        <f aca="false">HYPERLINK("https://mncourtfraud.com/file/27-CR-21-10185.pdf","27-CR-21-10185")</f>
        <v>27-CR-21-10185</v>
      </c>
      <c r="C756" s="1" t="n">
        <v>1</v>
      </c>
      <c r="D756" s="2" t="s">
        <v>12</v>
      </c>
      <c r="E756" s="8" t="n">
        <v>44468</v>
      </c>
      <c r="F756" s="2" t="s">
        <v>24</v>
      </c>
      <c r="G756" s="7" t="str">
        <f aca="false">HYPERLINK("https://mncourtfraud.com/file/MCRO_27-CR-21-10185_Order for Conditional Release_2021-09-29_20251126181506.pdf","MCRO_27-CR-21-10185_Order for Conditional Release_2021-09-29_20251126181506.pdf")</f>
        <v>MCRO_27-CR-21-10185_Order for Conditional Release_2021-09-29_20251126181506.pdf</v>
      </c>
      <c r="H756" s="7" t="str">
        <f aca="false">HYPERLINK("https://mncourtfraud.com/file/425a64ecdc19aa0c86b927b2be8980d179c92ac4af2a49d3c3ad0aa278728c52.png","425a64ecdc19aa0c86b927b2be8980d179c92ac4af2a49d3c3ad0aa278728c52")</f>
        <v>425a64ecdc19aa0c86b927b2be8980d179c92ac4af2a49d3c3ad0aa278728c52</v>
      </c>
      <c r="I756" s="1" t="s">
        <v>3406</v>
      </c>
      <c r="L756" s="2" t="s">
        <v>3412</v>
      </c>
      <c r="M756" s="2" t="n">
        <v>520</v>
      </c>
      <c r="S756" s="2" t="n">
        <v>126</v>
      </c>
      <c r="T756" s="2" t="n">
        <v>150</v>
      </c>
    </row>
    <row r="757" customFormat="false" ht="18.7" hidden="false" customHeight="true" outlineLevel="0" collapsed="false">
      <c r="A757" s="1" t="n">
        <v>756</v>
      </c>
      <c r="B757" s="7" t="str">
        <f aca="false">HYPERLINK("https://mncourtfraud.com/file/27-CR-21-10185.pdf","27-CR-21-10185")</f>
        <v>27-CR-21-10185</v>
      </c>
      <c r="C757" s="1" t="n">
        <v>1</v>
      </c>
      <c r="D757" s="2" t="s">
        <v>12</v>
      </c>
      <c r="E757" s="8" t="n">
        <v>44468</v>
      </c>
      <c r="F757" s="2" t="s">
        <v>24</v>
      </c>
      <c r="G757" s="7" t="str">
        <f aca="false">HYPERLINK("https://mncourtfraud.com/file/MCRO_27-CR-21-10185_Order for Conditional Release_2021-09-29_20251126181506.pdf","MCRO_27-CR-21-10185_Order for Conditional Release_2021-09-29_20251126181506.pdf")</f>
        <v>MCRO_27-CR-21-10185_Order for Conditional Release_2021-09-29_20251126181506.pdf</v>
      </c>
      <c r="H757" s="7" t="str">
        <f aca="false">HYPERLINK("https://mncourtfraud.com/file/4458a2b033c8132fd890227750c1df180ec4563b9dc0a6394b3691240425c9b3.cid","4458a2b033c8132fd890227750c1df180ec4563b9dc0a6394b3691240425c9b3")</f>
        <v>4458a2b033c8132fd890227750c1df180ec4563b9dc0a6394b3691240425c9b3</v>
      </c>
      <c r="I757" s="1" t="s">
        <v>3431</v>
      </c>
      <c r="L757" s="2" t="s">
        <v>3415</v>
      </c>
      <c r="M757" s="2" t="n">
        <v>3580</v>
      </c>
    </row>
    <row r="758" customFormat="false" ht="18.7" hidden="false" customHeight="true" outlineLevel="0" collapsed="false">
      <c r="A758" s="1" t="n">
        <v>757</v>
      </c>
      <c r="B758" s="7" t="str">
        <f aca="false">HYPERLINK("https://mncourtfraud.com/file/27-CR-21-10185.pdf","27-CR-21-10185")</f>
        <v>27-CR-21-10185</v>
      </c>
      <c r="C758" s="1" t="n">
        <v>1</v>
      </c>
      <c r="D758" s="2" t="s">
        <v>12</v>
      </c>
      <c r="E758" s="8" t="n">
        <v>44468</v>
      </c>
      <c r="F758" s="2" t="s">
        <v>24</v>
      </c>
      <c r="G758" s="7" t="str">
        <f aca="false">HYPERLINK("https://mncourtfraud.com/file/MCRO_27-CR-21-10185_Order for Conditional Release_2021-09-29_20251126181506.pdf","MCRO_27-CR-21-10185_Order for Conditional Release_2021-09-29_20251126181506.pdf")</f>
        <v>MCRO_27-CR-21-10185_Order for Conditional Release_2021-09-29_20251126181506.pdf</v>
      </c>
      <c r="H758" s="7" t="str">
        <f aca="false">HYPERLINK("https://mncourtfraud.com/file/45a9f49ddf96d4a4dcf4561d2702204f448986045babf3fdd52fa18200557e31.png","45a9f49ddf96d4a4dcf4561d2702204f448986045babf3fdd52fa18200557e31")</f>
        <v>45a9f49ddf96d4a4dcf4561d2702204f448986045babf3fdd52fa18200557e31</v>
      </c>
      <c r="I758" s="1" t="s">
        <v>3406</v>
      </c>
      <c r="L758" s="2" t="s">
        <v>3412</v>
      </c>
      <c r="M758" s="2" t="n">
        <v>97</v>
      </c>
      <c r="S758" s="2" t="n">
        <v>3</v>
      </c>
      <c r="T758" s="2" t="n">
        <v>4</v>
      </c>
    </row>
    <row r="759" customFormat="false" ht="18.7" hidden="false" customHeight="true" outlineLevel="0" collapsed="false">
      <c r="A759" s="1" t="n">
        <v>758</v>
      </c>
      <c r="B759" s="7" t="str">
        <f aca="false">HYPERLINK("https://mncourtfraud.com/file/27-CR-21-10185.pdf","27-CR-21-10185")</f>
        <v>27-CR-21-10185</v>
      </c>
      <c r="C759" s="1" t="n">
        <v>1</v>
      </c>
      <c r="D759" s="2" t="s">
        <v>12</v>
      </c>
      <c r="E759" s="8" t="n">
        <v>44468</v>
      </c>
      <c r="F759" s="2" t="s">
        <v>24</v>
      </c>
      <c r="G759" s="7" t="str">
        <f aca="false">HYPERLINK("https://mncourtfraud.com/file/MCRO_27-CR-21-10185_Order for Conditional Release_2021-09-29_20251126181506.pdf","MCRO_27-CR-21-10185_Order for Conditional Release_2021-09-29_20251126181506.pdf")</f>
        <v>MCRO_27-CR-21-10185_Order for Conditional Release_2021-09-29_20251126181506.pdf</v>
      </c>
      <c r="H759" s="7" t="str">
        <f aca="false">HYPERLINK("https://mncourtfraud.com/file/50457dc3e0bb6204f128f3222c76884dffaf132a86395902e3967a44a5d511ed.cid","50457dc3e0bb6204f128f3222c76884dffaf132a86395902e3967a44a5d511ed")</f>
        <v>50457dc3e0bb6204f128f3222c76884dffaf132a86395902e3967a44a5d511ed</v>
      </c>
      <c r="I759" s="1" t="s">
        <v>3431</v>
      </c>
      <c r="L759" s="2" t="s">
        <v>3415</v>
      </c>
      <c r="M759" s="2" t="n">
        <v>2839</v>
      </c>
    </row>
    <row r="760" customFormat="false" ht="18.7" hidden="false" customHeight="true" outlineLevel="0" collapsed="false">
      <c r="A760" s="1" t="n">
        <v>759</v>
      </c>
      <c r="B760" s="7" t="str">
        <f aca="false">HYPERLINK("https://mncourtfraud.com/file/27-CR-21-10185.pdf","27-CR-21-10185")</f>
        <v>27-CR-21-10185</v>
      </c>
      <c r="C760" s="1" t="n">
        <v>1</v>
      </c>
      <c r="D760" s="2" t="s">
        <v>12</v>
      </c>
      <c r="E760" s="8" t="n">
        <v>44468</v>
      </c>
      <c r="F760" s="2" t="s">
        <v>24</v>
      </c>
      <c r="G760" s="7" t="str">
        <f aca="false">HYPERLINK("https://mncourtfraud.com/file/MCRO_27-CR-21-10185_Order for Conditional Release_2021-09-29_20251126181506.pdf","MCRO_27-CR-21-10185_Order for Conditional Release_2021-09-29_20251126181506.pdf")</f>
        <v>MCRO_27-CR-21-10185_Order for Conditional Release_2021-09-29_20251126181506.pdf</v>
      </c>
      <c r="H760" s="7" t="str">
        <f aca="false">HYPERLINK("https://mncourtfraud.com/file/52f2827f81e9a21813e5089396a7afa6accf4023998e877d3b9460283e0bb9a5.cid","52f2827f81e9a21813e5089396a7afa6accf4023998e877d3b9460283e0bb9a5")</f>
        <v>52f2827f81e9a21813e5089396a7afa6accf4023998e877d3b9460283e0bb9a5</v>
      </c>
      <c r="I760" s="1" t="s">
        <v>3431</v>
      </c>
      <c r="L760" s="2" t="s">
        <v>3415</v>
      </c>
      <c r="M760" s="2" t="n">
        <v>381</v>
      </c>
    </row>
    <row r="761" customFormat="false" ht="18.7" hidden="false" customHeight="true" outlineLevel="0" collapsed="false">
      <c r="A761" s="1" t="n">
        <v>760</v>
      </c>
      <c r="B761" s="7" t="str">
        <f aca="false">HYPERLINK("https://mncourtfraud.com/file/27-CR-21-10185.pdf","27-CR-21-10185")</f>
        <v>27-CR-21-10185</v>
      </c>
      <c r="C761" s="1" t="n">
        <v>1</v>
      </c>
      <c r="D761" s="2" t="s">
        <v>12</v>
      </c>
      <c r="E761" s="8" t="n">
        <v>44468</v>
      </c>
      <c r="F761" s="2" t="s">
        <v>24</v>
      </c>
      <c r="G761" s="7" t="str">
        <f aca="false">HYPERLINK("https://mncourtfraud.com/file/MCRO_27-CR-21-10185_Order for Conditional Release_2021-09-29_20251126181506.pdf","MCRO_27-CR-21-10185_Order for Conditional Release_2021-09-29_20251126181506.pdf")</f>
        <v>MCRO_27-CR-21-10185_Order for Conditional Release_2021-09-29_20251126181506.pdf</v>
      </c>
      <c r="H761" s="7" t="str">
        <f aca="false">HYPERLINK("https://mncourtfraud.com/file/5bf127b8427f0831bc8864aa549643604be6b63d8ca96ff1ba7182ccec9bc2ad.cid","5bf127b8427f0831bc8864aa549643604be6b63d8ca96ff1ba7182ccec9bc2ad")</f>
        <v>5bf127b8427f0831bc8864aa549643604be6b63d8ca96ff1ba7182ccec9bc2ad</v>
      </c>
      <c r="I761" s="1" t="s">
        <v>3431</v>
      </c>
      <c r="L761" s="2" t="s">
        <v>3415</v>
      </c>
      <c r="M761" s="2" t="n">
        <v>7990</v>
      </c>
    </row>
    <row r="762" customFormat="false" ht="18.7" hidden="false" customHeight="true" outlineLevel="0" collapsed="false">
      <c r="A762" s="1" t="n">
        <v>761</v>
      </c>
      <c r="B762" s="7" t="str">
        <f aca="false">HYPERLINK("https://mncourtfraud.com/file/27-CR-21-10185.pdf","27-CR-21-10185")</f>
        <v>27-CR-21-10185</v>
      </c>
      <c r="C762" s="1" t="n">
        <v>1</v>
      </c>
      <c r="D762" s="2" t="s">
        <v>12</v>
      </c>
      <c r="E762" s="8" t="n">
        <v>44468</v>
      </c>
      <c r="F762" s="2" t="s">
        <v>24</v>
      </c>
      <c r="G762" s="7" t="str">
        <f aca="false">HYPERLINK("https://mncourtfraud.com/file/MCRO_27-CR-21-10185_Order for Conditional Release_2021-09-29_20251126181506.pdf","MCRO_27-CR-21-10185_Order for Conditional Release_2021-09-29_20251126181506.pdf")</f>
        <v>MCRO_27-CR-21-10185_Order for Conditional Release_2021-09-29_20251126181506.pdf</v>
      </c>
      <c r="H762" s="7" t="str">
        <f aca="false">HYPERLINK("https://mncourtfraud.com/file/614121b29b009262816a5b70532c1a04ec73c5d83786c4500719e9e7d614a562.cid","614121b29b009262816a5b70532c1a04ec73c5d83786c4500719e9e7d614a562")</f>
        <v>614121b29b009262816a5b70532c1a04ec73c5d83786c4500719e9e7d614a562</v>
      </c>
      <c r="I762" s="1" t="s">
        <v>3431</v>
      </c>
      <c r="L762" s="2" t="s">
        <v>3415</v>
      </c>
      <c r="M762" s="2" t="n">
        <v>5970</v>
      </c>
    </row>
    <row r="763" customFormat="false" ht="18.7" hidden="false" customHeight="true" outlineLevel="0" collapsed="false">
      <c r="A763" s="1" t="n">
        <v>762</v>
      </c>
      <c r="B763" s="7" t="str">
        <f aca="false">HYPERLINK("https://mncourtfraud.com/file/27-CR-21-10185.pdf","27-CR-21-10185")</f>
        <v>27-CR-21-10185</v>
      </c>
      <c r="C763" s="1" t="n">
        <v>1</v>
      </c>
      <c r="D763" s="2" t="s">
        <v>12</v>
      </c>
      <c r="E763" s="8" t="n">
        <v>44468</v>
      </c>
      <c r="F763" s="2" t="s">
        <v>24</v>
      </c>
      <c r="G763" s="7" t="str">
        <f aca="false">HYPERLINK("https://mncourtfraud.com/file/MCRO_27-CR-21-10185_Order for Conditional Release_2021-09-29_20251126181506.pdf","MCRO_27-CR-21-10185_Order for Conditional Release_2021-09-29_20251126181506.pdf")</f>
        <v>MCRO_27-CR-21-10185_Order for Conditional Release_2021-09-29_20251126181506.pdf</v>
      </c>
      <c r="H763" s="7" t="str">
        <f aca="false">HYPERLINK("https://mncourtfraud.com/file/7e14169e8fd6eddddd43bc2fc14557202f527587078dd29e867ad63570714e07.png","7e14169e8fd6eddddd43bc2fc14557202f527587078dd29e867ad63570714e07")</f>
        <v>7e14169e8fd6eddddd43bc2fc14557202f527587078dd29e867ad63570714e07</v>
      </c>
      <c r="I763" s="1" t="s">
        <v>3406</v>
      </c>
      <c r="L763" s="2" t="s">
        <v>3412</v>
      </c>
      <c r="M763" s="2" t="n">
        <v>100</v>
      </c>
      <c r="S763" s="2" t="n">
        <v>5</v>
      </c>
      <c r="T763" s="2" t="n">
        <v>5</v>
      </c>
    </row>
    <row r="764" customFormat="false" ht="18.7" hidden="false" customHeight="true" outlineLevel="0" collapsed="false">
      <c r="A764" s="1" t="n">
        <v>763</v>
      </c>
      <c r="B764" s="7" t="str">
        <f aca="false">HYPERLINK("https://mncourtfraud.com/file/27-CR-21-10185.pdf","27-CR-21-10185")</f>
        <v>27-CR-21-10185</v>
      </c>
      <c r="C764" s="1" t="n">
        <v>1</v>
      </c>
      <c r="D764" s="2" t="s">
        <v>12</v>
      </c>
      <c r="E764" s="8" t="n">
        <v>44468</v>
      </c>
      <c r="F764" s="2" t="s">
        <v>24</v>
      </c>
      <c r="G764" s="7" t="str">
        <f aca="false">HYPERLINK("https://mncourtfraud.com/file/MCRO_27-CR-21-10185_Order for Conditional Release_2021-09-29_20251126181506.pdf","MCRO_27-CR-21-10185_Order for Conditional Release_2021-09-29_20251126181506.pdf")</f>
        <v>MCRO_27-CR-21-10185_Order for Conditional Release_2021-09-29_20251126181506.pdf</v>
      </c>
      <c r="H764" s="7" t="str">
        <f aca="false">HYPERLINK("https://mncourtfraud.com/file/8198df5372238cac138bb64883627cf42bfc08ac483ff14b35858ae098fa3e09.cid","8198df5372238cac138bb64883627cf42bfc08ac483ff14b35858ae098fa3e09")</f>
        <v>8198df5372238cac138bb64883627cf42bfc08ac483ff14b35858ae098fa3e09</v>
      </c>
      <c r="I764" s="1" t="s">
        <v>3431</v>
      </c>
      <c r="L764" s="2" t="s">
        <v>3415</v>
      </c>
      <c r="M764" s="2" t="n">
        <v>3966</v>
      </c>
    </row>
    <row r="765" customFormat="false" ht="18.7" hidden="false" customHeight="true" outlineLevel="0" collapsed="false">
      <c r="A765" s="1" t="n">
        <v>764</v>
      </c>
      <c r="B765" s="7" t="str">
        <f aca="false">HYPERLINK("https://mncourtfraud.com/file/27-CR-21-10185.pdf","27-CR-21-10185")</f>
        <v>27-CR-21-10185</v>
      </c>
      <c r="C765" s="1" t="n">
        <v>1</v>
      </c>
      <c r="D765" s="2" t="s">
        <v>12</v>
      </c>
      <c r="E765" s="8" t="n">
        <v>44468</v>
      </c>
      <c r="F765" s="2" t="s">
        <v>24</v>
      </c>
      <c r="G765" s="7" t="str">
        <f aca="false">HYPERLINK("https://mncourtfraud.com/file/MCRO_27-CR-21-10185_Order for Conditional Release_2021-09-29_20251126181506.pdf","MCRO_27-CR-21-10185_Order for Conditional Release_2021-09-29_20251126181506.pdf")</f>
        <v>MCRO_27-CR-21-10185_Order for Conditional Release_2021-09-29_20251126181506.pdf</v>
      </c>
      <c r="H765" s="7" t="str">
        <f aca="false">HYPERLINK("https://mncourtfraud.com/file/8793bfb8eeebb59de729b22461b75a010eda532097214bf8285117449fae5b3c.png","8793bfb8eeebb59de729b22461b75a010eda532097214bf8285117449fae5b3c")</f>
        <v>8793bfb8eeebb59de729b22461b75a010eda532097214bf8285117449fae5b3c</v>
      </c>
      <c r="I765" s="1" t="s">
        <v>3406</v>
      </c>
      <c r="L765" s="2" t="s">
        <v>3412</v>
      </c>
      <c r="M765" s="2" t="n">
        <v>104</v>
      </c>
      <c r="S765" s="2" t="n">
        <v>6</v>
      </c>
      <c r="T765" s="2" t="n">
        <v>4</v>
      </c>
    </row>
    <row r="766" customFormat="false" ht="18.7" hidden="false" customHeight="true" outlineLevel="0" collapsed="false">
      <c r="A766" s="1" t="n">
        <v>765</v>
      </c>
      <c r="B766" s="7" t="str">
        <f aca="false">HYPERLINK("https://mncourtfraud.com/file/27-CR-21-10185.pdf","27-CR-21-10185")</f>
        <v>27-CR-21-10185</v>
      </c>
      <c r="C766" s="1" t="n">
        <v>1</v>
      </c>
      <c r="D766" s="2" t="s">
        <v>12</v>
      </c>
      <c r="E766" s="8" t="n">
        <v>44468</v>
      </c>
      <c r="F766" s="2" t="s">
        <v>24</v>
      </c>
      <c r="G766" s="7" t="str">
        <f aca="false">HYPERLINK("https://mncourtfraud.com/file/MCRO_27-CR-21-10185_Order for Conditional Release_2021-09-29_20251126181506.pdf","MCRO_27-CR-21-10185_Order for Conditional Release_2021-09-29_20251126181506.pdf")</f>
        <v>MCRO_27-CR-21-10185_Order for Conditional Release_2021-09-29_20251126181506.pdf</v>
      </c>
      <c r="H766" s="7" t="str">
        <f aca="false">HYPERLINK("https://mncourtfraud.com/file/8c2e00c7a4e8974eff73eba397a59d5f5f25d249433535298973d70a9f79dec8.png","8c2e00c7a4e8974eff73eba397a59d5f5f25d249433535298973d70a9f79dec8")</f>
        <v>8c2e00c7a4e8974eff73eba397a59d5f5f25d249433535298973d70a9f79dec8</v>
      </c>
      <c r="I766" s="1" t="s">
        <v>3406</v>
      </c>
      <c r="L766" s="2" t="s">
        <v>3412</v>
      </c>
      <c r="M766" s="2" t="n">
        <v>810</v>
      </c>
      <c r="S766" s="2" t="n">
        <v>519</v>
      </c>
      <c r="T766" s="2" t="n">
        <v>231</v>
      </c>
    </row>
    <row r="767" customFormat="false" ht="18.7" hidden="false" customHeight="true" outlineLevel="0" collapsed="false">
      <c r="A767" s="1" t="n">
        <v>766</v>
      </c>
      <c r="B767" s="7" t="str">
        <f aca="false">HYPERLINK("https://mncourtfraud.com/file/27-CR-21-10185.pdf","27-CR-21-10185")</f>
        <v>27-CR-21-10185</v>
      </c>
      <c r="C767" s="1" t="n">
        <v>1</v>
      </c>
      <c r="D767" s="2" t="s">
        <v>12</v>
      </c>
      <c r="E767" s="8" t="n">
        <v>44468</v>
      </c>
      <c r="F767" s="2" t="s">
        <v>24</v>
      </c>
      <c r="G767" s="7" t="str">
        <f aca="false">HYPERLINK("https://mncourtfraud.com/file/MCRO_27-CR-21-10185_Order for Conditional Release_2021-09-29_20251126181506.pdf","MCRO_27-CR-21-10185_Order for Conditional Release_2021-09-29_20251126181506.pdf")</f>
        <v>MCRO_27-CR-21-10185_Order for Conditional Release_2021-09-29_20251126181506.pdf</v>
      </c>
      <c r="H767" s="7" t="str">
        <f aca="false">HYPERLINK("https://mncourtfraud.com/file/a431b1b5f48186b4c98851d84352c1573e22c0e9b97117edbc0ad8603da3c307.png","a431b1b5f48186b4c98851d84352c1573e22c0e9b97117edbc0ad8603da3c307")</f>
        <v>a431b1b5f48186b4c98851d84352c1573e22c0e9b97117edbc0ad8603da3c307</v>
      </c>
      <c r="I767" s="1" t="s">
        <v>3406</v>
      </c>
      <c r="L767" s="2" t="s">
        <v>3412</v>
      </c>
      <c r="M767" s="2" t="n">
        <v>157</v>
      </c>
      <c r="S767" s="2" t="n">
        <v>7</v>
      </c>
      <c r="T767" s="2" t="n">
        <v>284</v>
      </c>
    </row>
    <row r="768" customFormat="false" ht="18.7" hidden="false" customHeight="true" outlineLevel="0" collapsed="false">
      <c r="A768" s="1" t="n">
        <v>767</v>
      </c>
      <c r="B768" s="7" t="str">
        <f aca="false">HYPERLINK("https://mncourtfraud.com/file/27-CR-21-10185.pdf","27-CR-21-10185")</f>
        <v>27-CR-21-10185</v>
      </c>
      <c r="C768" s="1" t="n">
        <v>1</v>
      </c>
      <c r="D768" s="2" t="s">
        <v>12</v>
      </c>
      <c r="E768" s="8" t="n">
        <v>44468</v>
      </c>
      <c r="F768" s="2" t="s">
        <v>24</v>
      </c>
      <c r="G768" s="7" t="str">
        <f aca="false">HYPERLINK("https://mncourtfraud.com/file/MCRO_27-CR-21-10185_Order for Conditional Release_2021-09-29_20251126181506.pdf","MCRO_27-CR-21-10185_Order for Conditional Release_2021-09-29_20251126181506.pdf")</f>
        <v>MCRO_27-CR-21-10185_Order for Conditional Release_2021-09-29_20251126181506.pdf</v>
      </c>
      <c r="H768" s="7" t="str">
        <f aca="false">HYPERLINK("https://mncourtfraud.com/file/ac369f378e3fbed88e7c1c71d7e27d3af59d79c8d2f8338a6182f69d0e17a2ef.cid","ac369f378e3fbed88e7c1c71d7e27d3af59d79c8d2f8338a6182f69d0e17a2ef")</f>
        <v>ac369f378e3fbed88e7c1c71d7e27d3af59d79c8d2f8338a6182f69d0e17a2ef</v>
      </c>
      <c r="I768" s="1" t="s">
        <v>3431</v>
      </c>
      <c r="L768" s="2" t="s">
        <v>3415</v>
      </c>
      <c r="M768" s="2" t="n">
        <v>14113</v>
      </c>
    </row>
    <row r="769" customFormat="false" ht="18.7" hidden="false" customHeight="true" outlineLevel="0" collapsed="false">
      <c r="A769" s="1" t="n">
        <v>768</v>
      </c>
      <c r="B769" s="7" t="str">
        <f aca="false">HYPERLINK("https://mncourtfraud.com/file/27-CR-21-10185.pdf","27-CR-21-10185")</f>
        <v>27-CR-21-10185</v>
      </c>
      <c r="C769" s="1" t="n">
        <v>1</v>
      </c>
      <c r="D769" s="2" t="s">
        <v>12</v>
      </c>
      <c r="E769" s="8" t="n">
        <v>44468</v>
      </c>
      <c r="F769" s="2" t="s">
        <v>24</v>
      </c>
      <c r="G769" s="7" t="str">
        <f aca="false">HYPERLINK("https://mncourtfraud.com/file/MCRO_27-CR-21-10185_Order for Conditional Release_2021-09-29_20251126181506.pdf","MCRO_27-CR-21-10185_Order for Conditional Release_2021-09-29_20251126181506.pdf")</f>
        <v>MCRO_27-CR-21-10185_Order for Conditional Release_2021-09-29_20251126181506.pdf</v>
      </c>
      <c r="H769" s="7" t="str">
        <f aca="false">HYPERLINK("https://mncourtfraud.com/file/b1c38e97038ce898a189d377f1fa9f4b673ae497ef07cd779e6d54764f350895.cid","b1c38e97038ce898a189d377f1fa9f4b673ae497ef07cd779e6d54764f350895")</f>
        <v>b1c38e97038ce898a189d377f1fa9f4b673ae497ef07cd779e6d54764f350895</v>
      </c>
      <c r="I769" s="1" t="s">
        <v>3431</v>
      </c>
      <c r="L769" s="2" t="s">
        <v>3415</v>
      </c>
      <c r="M769" s="2" t="n">
        <v>3783</v>
      </c>
    </row>
    <row r="770" customFormat="false" ht="18.7" hidden="false" customHeight="true" outlineLevel="0" collapsed="false">
      <c r="A770" s="1" t="n">
        <v>769</v>
      </c>
      <c r="B770" s="7" t="str">
        <f aca="false">HYPERLINK("https://mncourtfraud.com/file/27-CR-21-10185.pdf","27-CR-21-10185")</f>
        <v>27-CR-21-10185</v>
      </c>
      <c r="C770" s="1" t="n">
        <v>1</v>
      </c>
      <c r="D770" s="2" t="s">
        <v>12</v>
      </c>
      <c r="E770" s="8" t="n">
        <v>44468</v>
      </c>
      <c r="F770" s="2" t="s">
        <v>24</v>
      </c>
      <c r="G770" s="7" t="str">
        <f aca="false">HYPERLINK("https://mncourtfraud.com/file/MCRO_27-CR-21-10185_Order for Conditional Release_2021-09-29_20251126181506.pdf","MCRO_27-CR-21-10185_Order for Conditional Release_2021-09-29_20251126181506.pdf")</f>
        <v>MCRO_27-CR-21-10185_Order for Conditional Release_2021-09-29_20251126181506.pdf</v>
      </c>
      <c r="H770" s="7" t="str">
        <f aca="false">HYPERLINK("https://mncourtfraud.com/file/ba989ca65f54d43887ebbc930462a840e60360223cb0c16c223e7e9ed46afecb.cid","ba989ca65f54d43887ebbc930462a840e60360223cb0c16c223e7e9ed46afecb")</f>
        <v>ba989ca65f54d43887ebbc930462a840e60360223cb0c16c223e7e9ed46afecb</v>
      </c>
      <c r="I770" s="1" t="s">
        <v>3431</v>
      </c>
      <c r="L770" s="2" t="s">
        <v>3415</v>
      </c>
      <c r="M770" s="2" t="n">
        <v>444</v>
      </c>
    </row>
    <row r="771" customFormat="false" ht="18.7" hidden="false" customHeight="true" outlineLevel="0" collapsed="false">
      <c r="A771" s="1" t="n">
        <v>770</v>
      </c>
      <c r="B771" s="7" t="str">
        <f aca="false">HYPERLINK("https://mncourtfraud.com/file/27-CR-21-10185.pdf","27-CR-21-10185")</f>
        <v>27-CR-21-10185</v>
      </c>
      <c r="C771" s="1" t="n">
        <v>1</v>
      </c>
      <c r="D771" s="2" t="s">
        <v>12</v>
      </c>
      <c r="E771" s="8" t="n">
        <v>44468</v>
      </c>
      <c r="F771" s="2" t="s">
        <v>24</v>
      </c>
      <c r="G771" s="7" t="str">
        <f aca="false">HYPERLINK("https://mncourtfraud.com/file/MCRO_27-CR-21-10185_Order for Conditional Release_2021-09-29_20251126181506.pdf","MCRO_27-CR-21-10185_Order for Conditional Release_2021-09-29_20251126181506.pdf")</f>
        <v>MCRO_27-CR-21-10185_Order for Conditional Release_2021-09-29_20251126181506.pdf</v>
      </c>
      <c r="H771" s="7" t="str">
        <f aca="false">HYPERLINK("https://mncourtfraud.com/file/db9c8118091788c7a0a30157e363f5dd281f7a35fb525fad58599ee6371079a5.cid","db9c8118091788c7a0a30157e363f5dd281f7a35fb525fad58599ee6371079a5")</f>
        <v>db9c8118091788c7a0a30157e363f5dd281f7a35fb525fad58599ee6371079a5</v>
      </c>
      <c r="I771" s="1" t="s">
        <v>3431</v>
      </c>
      <c r="L771" s="2" t="s">
        <v>3415</v>
      </c>
      <c r="M771" s="2" t="n">
        <v>848</v>
      </c>
    </row>
    <row r="772" customFormat="false" ht="18.7" hidden="false" customHeight="true" outlineLevel="0" collapsed="false">
      <c r="A772" s="1" t="n">
        <v>771</v>
      </c>
      <c r="B772" s="7" t="str">
        <f aca="false">HYPERLINK("https://mncourtfraud.com/file/27-CR-21-10185.pdf","27-CR-21-10185")</f>
        <v>27-CR-21-10185</v>
      </c>
      <c r="C772" s="1" t="n">
        <v>1</v>
      </c>
      <c r="D772" s="2" t="s">
        <v>12</v>
      </c>
      <c r="E772" s="8" t="n">
        <v>44468</v>
      </c>
      <c r="F772" s="2" t="s">
        <v>24</v>
      </c>
      <c r="G772" s="7" t="str">
        <f aca="false">HYPERLINK("https://mncourtfraud.com/file/MCRO_27-CR-21-10185_Order for Conditional Release_2021-09-29_20251126181506.pdf","MCRO_27-CR-21-10185_Order for Conditional Release_2021-09-29_20251126181506.pdf")</f>
        <v>MCRO_27-CR-21-10185_Order for Conditional Release_2021-09-29_20251126181506.pdf</v>
      </c>
      <c r="H772" s="7" t="str">
        <f aca="false">HYPERLINK("https://mncourtfraud.com/file/e04b4db843c4bf02679b586bdc06323c2777cf59091b22718210a1dd2a0badc7.png","e04b4db843c4bf02679b586bdc06323c2777cf59091b22718210a1dd2a0badc7")</f>
        <v>e04b4db843c4bf02679b586bdc06323c2777cf59091b22718210a1dd2a0badc7</v>
      </c>
      <c r="I772" s="1" t="s">
        <v>3406</v>
      </c>
      <c r="L772" s="2" t="s">
        <v>3412</v>
      </c>
      <c r="M772" s="2" t="n">
        <v>199</v>
      </c>
      <c r="S772" s="2" t="n">
        <v>7</v>
      </c>
      <c r="T772" s="2" t="n">
        <v>347</v>
      </c>
    </row>
    <row r="773" customFormat="false" ht="18.7" hidden="false" customHeight="true" outlineLevel="0" collapsed="false">
      <c r="A773" s="1" t="n">
        <v>772</v>
      </c>
      <c r="B773" s="7" t="str">
        <f aca="false">HYPERLINK("https://mncourtfraud.com/file/27-CR-21-10185.pdf","27-CR-21-10185")</f>
        <v>27-CR-21-10185</v>
      </c>
      <c r="C773" s="1" t="n">
        <v>1</v>
      </c>
      <c r="D773" s="2" t="s">
        <v>12</v>
      </c>
      <c r="E773" s="8" t="n">
        <v>44468</v>
      </c>
      <c r="F773" s="2" t="s">
        <v>24</v>
      </c>
      <c r="G773" s="7" t="str">
        <f aca="false">HYPERLINK("https://mncourtfraud.com/file/MCRO_27-CR-21-10185_Order for Conditional Release_2021-09-29_20251126181506.pdf","MCRO_27-CR-21-10185_Order for Conditional Release_2021-09-29_20251126181506.pdf")</f>
        <v>MCRO_27-CR-21-10185_Order for Conditional Release_2021-09-29_20251126181506.pdf</v>
      </c>
      <c r="H773" s="7" t="str">
        <f aca="false">HYPERLINK("https://mncourtfraud.com/file/edbae421bba147262ba26ef60780ca6dfd5bedce23be39a1f883da7c23dae35f.cid","edbae421bba147262ba26ef60780ca6dfd5bedce23be39a1f883da7c23dae35f")</f>
        <v>edbae421bba147262ba26ef60780ca6dfd5bedce23be39a1f883da7c23dae35f</v>
      </c>
      <c r="I773" s="1" t="s">
        <v>3431</v>
      </c>
      <c r="L773" s="2" t="s">
        <v>3415</v>
      </c>
      <c r="M773" s="2" t="n">
        <v>21348</v>
      </c>
    </row>
    <row r="774" customFormat="false" ht="18.7" hidden="false" customHeight="true" outlineLevel="0" collapsed="false">
      <c r="A774" s="1" t="n">
        <v>773</v>
      </c>
      <c r="B774" s="7" t="str">
        <f aca="false">HYPERLINK("https://mncourtfraud.com/file/27-CR-21-10185.pdf","27-CR-21-10185")</f>
        <v>27-CR-21-10185</v>
      </c>
      <c r="C774" s="1" t="n">
        <v>1</v>
      </c>
      <c r="D774" s="2" t="s">
        <v>12</v>
      </c>
      <c r="E774" s="8" t="n">
        <v>44468</v>
      </c>
      <c r="F774" s="2" t="s">
        <v>24</v>
      </c>
      <c r="G774" s="7" t="str">
        <f aca="false">HYPERLINK("https://mncourtfraud.com/file/MCRO_27-CR-21-10185_Order for Conditional Release_2021-09-29_20251126181506.pdf","MCRO_27-CR-21-10185_Order for Conditional Release_2021-09-29_20251126181506.pdf")</f>
        <v>MCRO_27-CR-21-10185_Order for Conditional Release_2021-09-29_20251126181506.pdf</v>
      </c>
      <c r="H774" s="7" t="str">
        <f aca="false">HYPERLINK("https://mncourtfraud.com/file/efd944d517e9b552a77a910c5203f04540cf1249b7304a04f4907f542ec53c17.cid","efd944d517e9b552a77a910c5203f04540cf1249b7304a04f4907f542ec53c17")</f>
        <v>efd944d517e9b552a77a910c5203f04540cf1249b7304a04f4907f542ec53c17</v>
      </c>
      <c r="I774" s="1" t="s">
        <v>3431</v>
      </c>
      <c r="L774" s="2" t="s">
        <v>3415</v>
      </c>
      <c r="M774" s="2" t="n">
        <v>5521</v>
      </c>
    </row>
    <row r="775" customFormat="false" ht="18.7" hidden="false" customHeight="true" outlineLevel="0" collapsed="false">
      <c r="A775" s="1" t="n">
        <v>774</v>
      </c>
      <c r="B775" s="7" t="str">
        <f aca="false">HYPERLINK("https://mncourtfraud.com/file/27-CR-21-10185.pdf","27-CR-21-10185")</f>
        <v>27-CR-21-10185</v>
      </c>
      <c r="C775" s="1" t="n">
        <v>1</v>
      </c>
      <c r="D775" s="2" t="s">
        <v>12</v>
      </c>
      <c r="E775" s="8" t="n">
        <v>44468</v>
      </c>
      <c r="F775" s="2" t="s">
        <v>24</v>
      </c>
      <c r="G775" s="7" t="str">
        <f aca="false">HYPERLINK("https://mncourtfraud.com/file/MCRO_27-CR-21-10185_Order for Conditional Release_2021-09-29_20251126181506.pdf","MCRO_27-CR-21-10185_Order for Conditional Release_2021-09-29_20251126181506.pdf")</f>
        <v>MCRO_27-CR-21-10185_Order for Conditional Release_2021-09-29_20251126181506.pdf</v>
      </c>
      <c r="H775" s="7" t="str">
        <f aca="false">HYPERLINK("https://mncourtfraud.com/file/fe1965a60cba51fe144ad80b55474d56106539ec2835ed039f2e68d2691deed0.cid","fe1965a60cba51fe144ad80b55474d56106539ec2835ed039f2e68d2691deed0")</f>
        <v>fe1965a60cba51fe144ad80b55474d56106539ec2835ed039f2e68d2691deed0</v>
      </c>
      <c r="I775" s="1" t="s">
        <v>3431</v>
      </c>
      <c r="L775" s="2" t="s">
        <v>3415</v>
      </c>
      <c r="M775" s="2" t="n">
        <v>4323</v>
      </c>
    </row>
    <row r="776" customFormat="false" ht="18.7" hidden="false" customHeight="true" outlineLevel="0" collapsed="false">
      <c r="A776" s="1" t="n">
        <v>775</v>
      </c>
      <c r="B776" s="7" t="str">
        <f aca="false">HYPERLINK("https://mncourtfraud.com/file/27-CR-21-10185.pdf","27-CR-21-10185")</f>
        <v>27-CR-21-10185</v>
      </c>
      <c r="C776" s="1" t="n">
        <v>1</v>
      </c>
      <c r="D776" s="2" t="s">
        <v>12</v>
      </c>
      <c r="E776" s="8" t="n">
        <v>44468</v>
      </c>
      <c r="F776" s="2" t="s">
        <v>24</v>
      </c>
      <c r="G776" s="7" t="str">
        <f aca="false">HYPERLINK("https://mncourtfraud.com/file/MCRO_27-CR-21-10185_Order for Conditional Release_2021-09-29_20251126181506.pdf","MCRO_27-CR-21-10185_Order for Conditional Release_2021-09-29_20251126181506.pdf")</f>
        <v>MCRO_27-CR-21-10185_Order for Conditional Release_2021-09-29_20251126181506.pdf</v>
      </c>
      <c r="H776" s="7" t="str">
        <f aca="false">HYPERLINK("https://mncourtfraud.com/file/ff78f82f1ff3b9436a8d65df586b0bef19dd8fcf1b27941145ca7e723b37620b.cid","ff78f82f1ff3b9436a8d65df586b0bef19dd8fcf1b27941145ca7e723b37620b")</f>
        <v>ff78f82f1ff3b9436a8d65df586b0bef19dd8fcf1b27941145ca7e723b37620b</v>
      </c>
      <c r="I776" s="1" t="s">
        <v>3431</v>
      </c>
      <c r="L776" s="2" t="s">
        <v>3415</v>
      </c>
      <c r="M776" s="2" t="n">
        <v>339</v>
      </c>
    </row>
    <row r="777" customFormat="false" ht="18.7" hidden="false" customHeight="true" outlineLevel="0" collapsed="false">
      <c r="A777" s="1" t="n">
        <v>776</v>
      </c>
      <c r="B777" s="7" t="str">
        <f aca="false">HYPERLINK("https://mncourtfraud.com/file/27-CR-21-10185.pdf","27-CR-21-10185")</f>
        <v>27-CR-21-10185</v>
      </c>
      <c r="C777" s="1" t="n">
        <v>1</v>
      </c>
      <c r="D777" s="2" t="s">
        <v>12</v>
      </c>
      <c r="E777" s="8" t="n">
        <v>44543</v>
      </c>
      <c r="F777" s="2" t="s">
        <v>15</v>
      </c>
      <c r="G777" s="7" t="str">
        <f aca="false">HYPERLINK("https://mncourtfraud.com/file/MCRO_27-CR-21-10185_Order-Evaluation for Competency to Proceed (Rule 20.01)_2021-12-13_20251126181536.pdf","MCRO_27-CR-21-10185_Order-Evaluation for Competency to Proceed (Rule 20.01)_2021-12-13_20251126181536.pdf")</f>
        <v>MCRO_27-CR-21-10185_Order-Evaluation for Competency to Proceed (Rule 20.01)_2021-12-13_20251126181536.pdf</v>
      </c>
      <c r="H777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777" s="1" t="s">
        <v>3413</v>
      </c>
      <c r="J777" s="2" t="s">
        <v>3423</v>
      </c>
      <c r="K777" s="2" t="s">
        <v>3423</v>
      </c>
      <c r="L777" s="2" t="s">
        <v>3415</v>
      </c>
      <c r="M777" s="2" t="n">
        <v>11088</v>
      </c>
    </row>
    <row r="778" customFormat="false" ht="18.7" hidden="false" customHeight="true" outlineLevel="0" collapsed="false">
      <c r="A778" s="1" t="n">
        <v>777</v>
      </c>
      <c r="B778" s="7" t="str">
        <f aca="false">HYPERLINK("https://mncourtfraud.com/file/27-CR-21-10185.pdf","27-CR-21-10185")</f>
        <v>27-CR-21-10185</v>
      </c>
      <c r="C778" s="1" t="n">
        <v>1</v>
      </c>
      <c r="D778" s="2" t="s">
        <v>12</v>
      </c>
      <c r="E778" s="8" t="n">
        <v>44543</v>
      </c>
      <c r="F778" s="2" t="s">
        <v>15</v>
      </c>
      <c r="G778" s="7" t="str">
        <f aca="false">HYPERLINK("https://mncourtfraud.com/file/MCRO_27-CR-21-10185_Order-Evaluation for Competency to Proceed (Rule 20.01)_2021-12-13_20251126181536.pdf","MCRO_27-CR-21-10185_Order-Evaluation for Competency to Proceed (Rule 20.01)_2021-12-13_20251126181536.pdf")</f>
        <v>MCRO_27-CR-21-10185_Order-Evaluation for Competency to Proceed (Rule 20.01)_2021-12-13_20251126181536.pdf</v>
      </c>
      <c r="H778" s="7" t="str">
        <f aca="false">HYPERLINK("https://mncourtfraud.com/file/22be6394304ce5b678311fefb19c39c8cb0a49d25f23150f1efe21ad14b99c7b.ttf","22be6394304ce5b678311fefb19c39c8cb0a49d25f23150f1efe21ad14b99c7b")</f>
        <v>22be6394304ce5b678311fefb19c39c8cb0a49d25f23150f1efe21ad14b99c7b</v>
      </c>
      <c r="I778" s="1" t="s">
        <v>3413</v>
      </c>
      <c r="J778" s="2" t="s">
        <v>3421</v>
      </c>
      <c r="K778" s="2" t="s">
        <v>3421</v>
      </c>
      <c r="L778" s="2" t="s">
        <v>3415</v>
      </c>
      <c r="M778" s="2" t="n">
        <v>117192</v>
      </c>
    </row>
    <row r="779" customFormat="false" ht="18.7" hidden="false" customHeight="true" outlineLevel="0" collapsed="false">
      <c r="A779" s="1" t="n">
        <v>778</v>
      </c>
      <c r="B779" s="7" t="str">
        <f aca="false">HYPERLINK("https://mncourtfraud.com/file/27-CR-21-10185.pdf","27-CR-21-10185")</f>
        <v>27-CR-21-10185</v>
      </c>
      <c r="C779" s="1" t="n">
        <v>1</v>
      </c>
      <c r="D779" s="2" t="s">
        <v>12</v>
      </c>
      <c r="E779" s="8" t="n">
        <v>44543</v>
      </c>
      <c r="F779" s="2" t="s">
        <v>15</v>
      </c>
      <c r="G779" s="7" t="str">
        <f aca="false">HYPERLINK("https://mncourtfraud.com/file/MCRO_27-CR-21-10185_Order-Evaluation for Competency to Proceed (Rule 20.01)_2021-12-13_20251126181536.pdf","MCRO_27-CR-21-10185_Order-Evaluation for Competency to Proceed (Rule 20.01)_2021-12-13_20251126181536.pdf")</f>
        <v>MCRO_27-CR-21-10185_Order-Evaluation for Competency to Proceed (Rule 20.01)_2021-12-13_20251126181536.pdf</v>
      </c>
      <c r="H779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779" s="1" t="s">
        <v>3413</v>
      </c>
      <c r="J779" s="2" t="s">
        <v>3424</v>
      </c>
      <c r="K779" s="2" t="s">
        <v>3424</v>
      </c>
      <c r="L779" s="2" t="s">
        <v>3415</v>
      </c>
      <c r="M779" s="2" t="n">
        <v>14252</v>
      </c>
    </row>
    <row r="780" customFormat="false" ht="18.7" hidden="false" customHeight="true" outlineLevel="0" collapsed="false">
      <c r="A780" s="1" t="n">
        <v>779</v>
      </c>
      <c r="B780" s="7" t="str">
        <f aca="false">HYPERLINK("https://mncourtfraud.com/file/27-CR-21-10185.pdf","27-CR-21-10185")</f>
        <v>27-CR-21-10185</v>
      </c>
      <c r="C780" s="1" t="n">
        <v>1</v>
      </c>
      <c r="D780" s="2" t="s">
        <v>12</v>
      </c>
      <c r="E780" s="8" t="n">
        <v>44543</v>
      </c>
      <c r="F780" s="2" t="s">
        <v>15</v>
      </c>
      <c r="G780" s="7" t="str">
        <f aca="false">HYPERLINK("https://mncourtfraud.com/file/MCRO_27-CR-21-10185_Order-Evaluation for Competency to Proceed (Rule 20.01)_2021-12-13_20251126181536.pdf","MCRO_27-CR-21-10185_Order-Evaluation for Competency to Proceed (Rule 20.01)_2021-12-13_20251126181536.pdf")</f>
        <v>MCRO_27-CR-21-10185_Order-Evaluation for Competency to Proceed (Rule 20.01)_2021-12-13_20251126181536.pdf</v>
      </c>
      <c r="H780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780" s="1" t="s">
        <v>3406</v>
      </c>
      <c r="K780" s="2" t="s">
        <v>3420</v>
      </c>
      <c r="L780" s="2" t="s">
        <v>3408</v>
      </c>
      <c r="M780" s="2" t="n">
        <v>7306</v>
      </c>
      <c r="O780" s="2" t="s">
        <v>3409</v>
      </c>
      <c r="P780" s="2" t="s">
        <v>3410</v>
      </c>
      <c r="S780" s="2" t="n">
        <v>319</v>
      </c>
      <c r="T780" s="2" t="n">
        <v>105</v>
      </c>
    </row>
    <row r="781" customFormat="false" ht="18.7" hidden="false" customHeight="true" outlineLevel="0" collapsed="false">
      <c r="A781" s="1" t="n">
        <v>780</v>
      </c>
      <c r="B781" s="7" t="str">
        <f aca="false">HYPERLINK("https://mncourtfraud.com/file/27-CR-21-10185.pdf","27-CR-21-10185")</f>
        <v>27-CR-21-10185</v>
      </c>
      <c r="C781" s="1" t="n">
        <v>1</v>
      </c>
      <c r="D781" s="2" t="s">
        <v>12</v>
      </c>
      <c r="E781" s="8" t="n">
        <v>44543</v>
      </c>
      <c r="F781" s="2" t="s">
        <v>15</v>
      </c>
      <c r="G781" s="7" t="str">
        <f aca="false">HYPERLINK("https://mncourtfraud.com/file/MCRO_27-CR-21-10185_Order-Evaluation for Competency to Proceed (Rule 20.01)_2021-12-13_20251126181536.pdf","MCRO_27-CR-21-10185_Order-Evaluation for Competency to Proceed (Rule 20.01)_2021-12-13_20251126181536.pdf")</f>
        <v>MCRO_27-CR-21-10185_Order-Evaluation for Competency to Proceed (Rule 20.01)_2021-12-13_20251126181536.pdf</v>
      </c>
      <c r="H781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781" s="1" t="s">
        <v>3406</v>
      </c>
      <c r="K781" s="2" t="s">
        <v>3425</v>
      </c>
      <c r="L781" s="2" t="s">
        <v>3408</v>
      </c>
      <c r="M781" s="2" t="n">
        <v>21225</v>
      </c>
      <c r="O781" s="2" t="s">
        <v>3409</v>
      </c>
      <c r="P781" s="2" t="s">
        <v>3410</v>
      </c>
      <c r="S781" s="2" t="n">
        <v>319</v>
      </c>
      <c r="T781" s="2" t="n">
        <v>105</v>
      </c>
    </row>
    <row r="782" customFormat="false" ht="18.7" hidden="false" customHeight="true" outlineLevel="0" collapsed="false">
      <c r="A782" s="1" t="n">
        <v>781</v>
      </c>
      <c r="B782" s="7" t="str">
        <f aca="false">HYPERLINK("https://mncourtfraud.com/file/27-CR-21-10185.pdf","27-CR-21-10185")</f>
        <v>27-CR-21-10185</v>
      </c>
      <c r="C782" s="1" t="n">
        <v>1</v>
      </c>
      <c r="D782" s="2" t="s">
        <v>12</v>
      </c>
      <c r="E782" s="8" t="n">
        <v>44543</v>
      </c>
      <c r="F782" s="2" t="s">
        <v>15</v>
      </c>
      <c r="G782" s="7" t="str">
        <f aca="false">HYPERLINK("https://mncourtfraud.com/file/MCRO_27-CR-21-10185_Order-Evaluation for Competency to Proceed (Rule 20.01)_2021-12-13_20251126181536.pdf","MCRO_27-CR-21-10185_Order-Evaluation for Competency to Proceed (Rule 20.01)_2021-12-13_20251126181536.pdf")</f>
        <v>MCRO_27-CR-21-10185_Order-Evaluation for Competency to Proceed (Rule 20.01)_2021-12-13_20251126181536.pdf</v>
      </c>
      <c r="H782" s="7" t="str">
        <f aca="false">HYPERLINK("https://mncourtfraud.com/file/f942eca43ffd6bdbf3ee942fee873a73c8baea7707298295b91918b6d8b6d6ee.ttf","f942eca43ffd6bdbf3ee942fee873a73c8baea7707298295b91918b6d8b6d6ee")</f>
        <v>f942eca43ffd6bdbf3ee942fee873a73c8baea7707298295b91918b6d8b6d6ee</v>
      </c>
      <c r="I782" s="1" t="s">
        <v>3413</v>
      </c>
      <c r="J782" s="2" t="s">
        <v>3422</v>
      </c>
      <c r="K782" s="2" t="s">
        <v>3422</v>
      </c>
      <c r="L782" s="2" t="s">
        <v>3415</v>
      </c>
      <c r="M782" s="2" t="n">
        <v>125444</v>
      </c>
    </row>
    <row r="783" customFormat="false" ht="18.7" hidden="false" customHeight="true" outlineLevel="0" collapsed="false">
      <c r="A783" s="1" t="n">
        <v>782</v>
      </c>
      <c r="B783" s="7" t="str">
        <f aca="false">HYPERLINK("https://mncourtfraud.com/file/27-CR-21-10185.pdf","27-CR-21-10185")</f>
        <v>27-CR-21-10185</v>
      </c>
      <c r="C783" s="1" t="n">
        <v>1</v>
      </c>
      <c r="D783" s="2" t="s">
        <v>12</v>
      </c>
      <c r="E783" s="8" t="n">
        <v>44558</v>
      </c>
      <c r="F783" s="2" t="s">
        <v>15</v>
      </c>
      <c r="G783" s="7" t="str">
        <f aca="false">HYPERLINK("https://mncourtfraud.com/file/MCRO_27-CR-21-10185_Order-Evaluation for Competency to Proceed (Rule 20.01)_2021-12-28_20251126181546.pdf","MCRO_27-CR-21-10185_Order-Evaluation for Competency to Proceed (Rule 20.01)_2021-12-28_20251126181546.pdf")</f>
        <v>MCRO_27-CR-21-10185_Order-Evaluation for Competency to Proceed (Rule 20.01)_2021-12-28_20251126181546.pdf</v>
      </c>
      <c r="H783" s="7" t="str">
        <f aca="false">HYPERLINK("https://mncourtfraud.com/file/06e315e677c42d524bf48b3d6fedf90d91923e987939b0c36ca4430a11f93497.png","06e315e677c42d524bf48b3d6fedf90d91923e987939b0c36ca4430a11f93497")</f>
        <v>06e315e677c42d524bf48b3d6fedf90d91923e987939b0c36ca4430a11f93497</v>
      </c>
      <c r="I783" s="1" t="s">
        <v>3406</v>
      </c>
      <c r="L783" s="2" t="s">
        <v>3412</v>
      </c>
      <c r="M783" s="2" t="n">
        <v>131017</v>
      </c>
      <c r="S783" s="2" t="n">
        <v>2550</v>
      </c>
      <c r="T783" s="2" t="n">
        <v>3300</v>
      </c>
    </row>
    <row r="784" customFormat="false" ht="18.7" hidden="false" customHeight="true" outlineLevel="0" collapsed="false">
      <c r="A784" s="1" t="n">
        <v>783</v>
      </c>
      <c r="B784" s="7" t="str">
        <f aca="false">HYPERLINK("https://mncourtfraud.com/file/27-CR-21-10185.pdf","27-CR-21-10185")</f>
        <v>27-CR-21-10185</v>
      </c>
      <c r="C784" s="1" t="n">
        <v>1</v>
      </c>
      <c r="D784" s="2" t="s">
        <v>12</v>
      </c>
      <c r="E784" s="8" t="n">
        <v>44558</v>
      </c>
      <c r="F784" s="2" t="s">
        <v>15</v>
      </c>
      <c r="G784" s="7" t="str">
        <f aca="false">HYPERLINK("https://mncourtfraud.com/file/MCRO_27-CR-21-10185_Order-Evaluation for Competency to Proceed (Rule 20.01)_2021-12-28_20251126181546.pdf","MCRO_27-CR-21-10185_Order-Evaluation for Competency to Proceed (Rule 20.01)_2021-12-28_20251126181546.pdf")</f>
        <v>MCRO_27-CR-21-10185_Order-Evaluation for Competency to Proceed (Rule 20.01)_2021-12-28_20251126181546.pdf</v>
      </c>
      <c r="H784" s="7" t="str">
        <f aca="false">HYPERLINK("https://mncourtfraud.com/file/1a3818c8d0ee37fd23f75e37eeabfbb8b92354493d4e06d373b7d222685e3c5c.ttf","1a3818c8d0ee37fd23f75e37eeabfbb8b92354493d4e06d373b7d222685e3c5c")</f>
        <v>1a3818c8d0ee37fd23f75e37eeabfbb8b92354493d4e06d373b7d222685e3c5c</v>
      </c>
      <c r="I784" s="1" t="s">
        <v>3413</v>
      </c>
      <c r="L784" s="2" t="s">
        <v>3415</v>
      </c>
      <c r="M784" s="2" t="n">
        <v>333576</v>
      </c>
    </row>
    <row r="785" customFormat="false" ht="18.7" hidden="false" customHeight="true" outlineLevel="0" collapsed="false">
      <c r="A785" s="1" t="n">
        <v>784</v>
      </c>
      <c r="B785" s="7" t="str">
        <f aca="false">HYPERLINK("https://mncourtfraud.com/file/27-CR-21-10185.pdf","27-CR-21-10185")</f>
        <v>27-CR-21-10185</v>
      </c>
      <c r="C785" s="1" t="n">
        <v>1</v>
      </c>
      <c r="D785" s="2" t="s">
        <v>12</v>
      </c>
      <c r="E785" s="8" t="n">
        <v>44558</v>
      </c>
      <c r="F785" s="2" t="s">
        <v>15</v>
      </c>
      <c r="G785" s="7" t="str">
        <f aca="false">HYPERLINK("https://mncourtfraud.com/file/MCRO_27-CR-21-10185_Order-Evaluation for Competency to Proceed (Rule 20.01)_2021-12-28_20251126181546.pdf","MCRO_27-CR-21-10185_Order-Evaluation for Competency to Proceed (Rule 20.01)_2021-12-28_20251126181546.pdf")</f>
        <v>MCRO_27-CR-21-10185_Order-Evaluation for Competency to Proceed (Rule 20.01)_2021-12-28_20251126181546.pdf</v>
      </c>
      <c r="H785" s="7" t="str">
        <f aca="false">HYPERLINK("https://mncourtfraud.com/file/b3b3d29f37de1b7b48378e37bd0d89d25f112cc2923f06860d6dc4bd57611f3b.png","b3b3d29f37de1b7b48378e37bd0d89d25f112cc2923f06860d6dc4bd57611f3b")</f>
        <v>b3b3d29f37de1b7b48378e37bd0d89d25f112cc2923f06860d6dc4bd57611f3b</v>
      </c>
      <c r="I785" s="1" t="s">
        <v>3406</v>
      </c>
      <c r="L785" s="2" t="s">
        <v>3412</v>
      </c>
      <c r="M785" s="2" t="n">
        <v>99310</v>
      </c>
      <c r="S785" s="2" t="n">
        <v>2550</v>
      </c>
      <c r="T785" s="2" t="n">
        <v>3300</v>
      </c>
    </row>
    <row r="786" customFormat="false" ht="18.7" hidden="false" customHeight="true" outlineLevel="0" collapsed="false">
      <c r="A786" s="1" t="n">
        <v>785</v>
      </c>
      <c r="B786" s="7" t="str">
        <f aca="false">HYPERLINK("https://mncourtfraud.com/file/27-CR-21-10185.pdf","27-CR-21-10185")</f>
        <v>27-CR-21-10185</v>
      </c>
      <c r="C786" s="1" t="n">
        <v>1</v>
      </c>
      <c r="D786" s="2" t="s">
        <v>12</v>
      </c>
      <c r="E786" s="8" t="n">
        <v>44558</v>
      </c>
      <c r="F786" s="2" t="s">
        <v>15</v>
      </c>
      <c r="G786" s="7" t="str">
        <f aca="false">HYPERLINK("https://mncourtfraud.com/file/MCRO_27-CR-21-10185_Order-Evaluation for Competency to Proceed (Rule 20.01)_2021-12-28_20251126181546.pdf","MCRO_27-CR-21-10185_Order-Evaluation for Competency to Proceed (Rule 20.01)_2021-12-28_20251126181546.pdf")</f>
        <v>MCRO_27-CR-21-10185_Order-Evaluation for Competency to Proceed (Rule 20.01)_2021-12-28_20251126181546.pdf</v>
      </c>
      <c r="H786" s="7" t="str">
        <f aca="false">HYPERLINK("https://mncourtfraud.com/file/d16d4bd4e9dd7c0fc98f6a24aa0dfe4132baac833c70ab054c616f9999022fac.png","d16d4bd4e9dd7c0fc98f6a24aa0dfe4132baac833c70ab054c616f9999022fac")</f>
        <v>d16d4bd4e9dd7c0fc98f6a24aa0dfe4132baac833c70ab054c616f9999022fac</v>
      </c>
      <c r="I786" s="1" t="s">
        <v>3406</v>
      </c>
      <c r="L786" s="2" t="s">
        <v>3412</v>
      </c>
      <c r="M786" s="2" t="n">
        <v>156381</v>
      </c>
      <c r="S786" s="2" t="n">
        <v>2550</v>
      </c>
      <c r="T786" s="2" t="n">
        <v>3300</v>
      </c>
    </row>
    <row r="787" customFormat="false" ht="18.7" hidden="false" customHeight="true" outlineLevel="0" collapsed="false">
      <c r="A787" s="1" t="n">
        <v>786</v>
      </c>
      <c r="B787" s="7" t="str">
        <f aca="false">HYPERLINK("https://mncourtfraud.com/file/27-CR-21-10185.pdf","27-CR-21-10185")</f>
        <v>27-CR-21-10185</v>
      </c>
      <c r="C787" s="1" t="n">
        <v>1</v>
      </c>
      <c r="D787" s="2" t="s">
        <v>12</v>
      </c>
      <c r="E787" s="8" t="n">
        <v>44593</v>
      </c>
      <c r="F787" s="2" t="s">
        <v>19</v>
      </c>
      <c r="G787" s="7" t="str">
        <f aca="false">HYPERLINK("https://mncourtfraud.com/file/MCRO_27-CR-21-10185_Findings and Order_2022-02-01_20251126181428.pdf","MCRO_27-CR-21-10185_Findings and Order_2022-02-01_20251126181428.pdf")</f>
        <v>MCRO_27-CR-21-10185_Findings and Order_2022-02-01_20251126181428.pdf</v>
      </c>
      <c r="H787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787" s="1" t="s">
        <v>3413</v>
      </c>
      <c r="J787" s="2" t="s">
        <v>3426</v>
      </c>
      <c r="K787" s="2" t="s">
        <v>3426</v>
      </c>
      <c r="L787" s="2" t="s">
        <v>3415</v>
      </c>
      <c r="M787" s="2" t="n">
        <v>74997</v>
      </c>
      <c r="N787" s="2" t="s">
        <v>3427</v>
      </c>
    </row>
    <row r="788" customFormat="false" ht="18.7" hidden="false" customHeight="true" outlineLevel="0" collapsed="false">
      <c r="A788" s="1" t="n">
        <v>787</v>
      </c>
      <c r="B788" s="7" t="str">
        <f aca="false">HYPERLINK("https://mncourtfraud.com/file/27-CR-21-10185.pdf","27-CR-21-10185")</f>
        <v>27-CR-21-10185</v>
      </c>
      <c r="C788" s="1" t="n">
        <v>1</v>
      </c>
      <c r="D788" s="2" t="s">
        <v>12</v>
      </c>
      <c r="E788" s="8" t="n">
        <v>44593</v>
      </c>
      <c r="F788" s="2" t="s">
        <v>19</v>
      </c>
      <c r="G788" s="7" t="str">
        <f aca="false">HYPERLINK("https://mncourtfraud.com/file/MCRO_27-CR-21-10185_Findings and Order_2022-02-01_20251126181428.pdf","MCRO_27-CR-21-10185_Findings and Order_2022-02-01_20251126181428.pdf")</f>
        <v>MCRO_27-CR-21-10185_Findings and Order_2022-02-01_20251126181428.pdf</v>
      </c>
      <c r="H788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788" s="1" t="s">
        <v>3428</v>
      </c>
      <c r="J788" s="2" t="s">
        <v>3429</v>
      </c>
      <c r="K788" s="2" t="s">
        <v>3429</v>
      </c>
      <c r="L788" s="2" t="s">
        <v>3415</v>
      </c>
      <c r="M788" s="2" t="n">
        <v>86093</v>
      </c>
    </row>
    <row r="789" customFormat="false" ht="18.7" hidden="false" customHeight="true" outlineLevel="0" collapsed="false">
      <c r="A789" s="1" t="n">
        <v>788</v>
      </c>
      <c r="B789" s="7" t="str">
        <f aca="false">HYPERLINK("https://mncourtfraud.com/file/27-CR-21-10185.pdf","27-CR-21-10185")</f>
        <v>27-CR-21-10185</v>
      </c>
      <c r="C789" s="1" t="n">
        <v>1</v>
      </c>
      <c r="D789" s="2" t="s">
        <v>12</v>
      </c>
      <c r="E789" s="8" t="n">
        <v>44593</v>
      </c>
      <c r="F789" s="2" t="s">
        <v>19</v>
      </c>
      <c r="G789" s="7" t="str">
        <f aca="false">HYPERLINK("https://mncourtfraud.com/file/MCRO_27-CR-21-10185_Findings and Order_2022-02-01_20251126181428.pdf","MCRO_27-CR-21-10185_Findings and Order_2022-02-01_20251126181428.pdf")</f>
        <v>MCRO_27-CR-21-10185_Findings and Order_2022-02-01_20251126181428.pdf</v>
      </c>
      <c r="H789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789" s="1" t="s">
        <v>3413</v>
      </c>
      <c r="J789" s="2" t="s">
        <v>3414</v>
      </c>
      <c r="K789" s="2" t="s">
        <v>3414</v>
      </c>
      <c r="L789" s="2" t="s">
        <v>3415</v>
      </c>
      <c r="M789" s="2" t="n">
        <v>42332</v>
      </c>
    </row>
    <row r="790" customFormat="false" ht="18.7" hidden="false" customHeight="true" outlineLevel="0" collapsed="false">
      <c r="A790" s="1" t="n">
        <v>789</v>
      </c>
      <c r="B790" s="7" t="str">
        <f aca="false">HYPERLINK("https://mncourtfraud.com/file/27-CR-21-10185.pdf","27-CR-21-10185")</f>
        <v>27-CR-21-10185</v>
      </c>
      <c r="C790" s="1" t="n">
        <v>1</v>
      </c>
      <c r="D790" s="2" t="s">
        <v>12</v>
      </c>
      <c r="E790" s="8" t="n">
        <v>44593</v>
      </c>
      <c r="F790" s="2" t="s">
        <v>19</v>
      </c>
      <c r="G790" s="7" t="str">
        <f aca="false">HYPERLINK("https://mncourtfraud.com/file/MCRO_27-CR-21-10185_Findings and Order_2022-02-01_20251126181428.pdf","MCRO_27-CR-21-10185_Findings and Order_2022-02-01_20251126181428.pdf")</f>
        <v>MCRO_27-CR-21-10185_Findings and Order_2022-02-01_20251126181428.pdf</v>
      </c>
      <c r="H790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790" s="1" t="s">
        <v>3413</v>
      </c>
      <c r="J790" s="2" t="s">
        <v>3414</v>
      </c>
      <c r="K790" s="2" t="s">
        <v>3414</v>
      </c>
      <c r="L790" s="2" t="s">
        <v>3415</v>
      </c>
      <c r="M790" s="2" t="n">
        <v>42332</v>
      </c>
    </row>
    <row r="791" customFormat="false" ht="18.7" hidden="false" customHeight="true" outlineLevel="0" collapsed="false">
      <c r="A791" s="1" t="n">
        <v>790</v>
      </c>
      <c r="B791" s="7" t="str">
        <f aca="false">HYPERLINK("https://mncourtfraud.com/file/27-CR-21-10185.pdf","27-CR-21-10185")</f>
        <v>27-CR-21-10185</v>
      </c>
      <c r="C791" s="1" t="n">
        <v>1</v>
      </c>
      <c r="D791" s="2" t="s">
        <v>12</v>
      </c>
      <c r="E791" s="8" t="n">
        <v>44593</v>
      </c>
      <c r="F791" s="2" t="s">
        <v>19</v>
      </c>
      <c r="G791" s="7" t="str">
        <f aca="false">HYPERLINK("https://mncourtfraud.com/file/MCRO_27-CR-21-10185_Findings and Order_2022-02-01_20251126181428.pdf","MCRO_27-CR-21-10185_Findings and Order_2022-02-01_20251126181428.pdf")</f>
        <v>MCRO_27-CR-21-10185_Findings and Order_2022-02-01_20251126181428.pdf</v>
      </c>
      <c r="H791" s="7" t="str">
        <f aca="false">HYPERLINK("https://mncourtfraud.com/file/d1e06f7a12c8d4ae1de62861dbfeadf4f6b52b1cfd6801e548bc1d08782c1451.ttf","d1e06f7a12c8d4ae1de62861dbfeadf4f6b52b1cfd6801e548bc1d08782c1451")</f>
        <v>d1e06f7a12c8d4ae1de62861dbfeadf4f6b52b1cfd6801e548bc1d08782c1451</v>
      </c>
      <c r="I791" s="1" t="s">
        <v>3413</v>
      </c>
      <c r="J791" s="2" t="s">
        <v>3414</v>
      </c>
      <c r="K791" s="2" t="s">
        <v>3416</v>
      </c>
      <c r="L791" s="2" t="s">
        <v>3415</v>
      </c>
      <c r="M791" s="2" t="n">
        <v>28584</v>
      </c>
    </row>
    <row r="792" customFormat="false" ht="18.7" hidden="false" customHeight="true" outlineLevel="0" collapsed="false">
      <c r="A792" s="1" t="n">
        <v>791</v>
      </c>
      <c r="B792" s="7" t="str">
        <f aca="false">HYPERLINK("https://mncourtfraud.com/file/27-CR-21-10185.pdf","27-CR-21-10185")</f>
        <v>27-CR-21-10185</v>
      </c>
      <c r="C792" s="1" t="n">
        <v>1</v>
      </c>
      <c r="D792" s="2" t="s">
        <v>12</v>
      </c>
      <c r="E792" s="8" t="n">
        <v>44593</v>
      </c>
      <c r="F792" s="2" t="s">
        <v>19</v>
      </c>
      <c r="G792" s="7" t="str">
        <f aca="false">HYPERLINK("https://mncourtfraud.com/file/MCRO_27-CR-21-10185_Findings and Order_2022-02-01_20251126181428.pdf","MCRO_27-CR-21-10185_Findings and Order_2022-02-01_20251126181428.pdf")</f>
        <v>MCRO_27-CR-21-10185_Findings and Order_2022-02-01_20251126181428.pdf</v>
      </c>
      <c r="H792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792" s="1" t="s">
        <v>3406</v>
      </c>
      <c r="K792" s="2" t="s">
        <v>3430</v>
      </c>
      <c r="L792" s="2" t="s">
        <v>3408</v>
      </c>
      <c r="M792" s="2" t="n">
        <v>28069</v>
      </c>
      <c r="O792" s="2" t="s">
        <v>3409</v>
      </c>
      <c r="P792" s="2" t="s">
        <v>3410</v>
      </c>
      <c r="S792" s="2" t="n">
        <v>448</v>
      </c>
      <c r="T792" s="2" t="n">
        <v>128</v>
      </c>
    </row>
    <row r="793" customFormat="false" ht="18.7" hidden="false" customHeight="true" outlineLevel="0" collapsed="false">
      <c r="A793" s="1" t="n">
        <v>792</v>
      </c>
      <c r="B793" s="7" t="str">
        <f aca="false">HYPERLINK("https://mncourtfraud.com/file/27-CR-21-10185.pdf","27-CR-21-10185")</f>
        <v>27-CR-21-10185</v>
      </c>
      <c r="C793" s="1" t="n">
        <v>1</v>
      </c>
      <c r="D793" s="2" t="s">
        <v>12</v>
      </c>
      <c r="E793" s="8" t="n">
        <v>44692</v>
      </c>
      <c r="F793" s="2" t="s">
        <v>15</v>
      </c>
      <c r="G793" s="7" t="str">
        <f aca="false">HYPERLINK("https://mncourtfraud.com/file/MCRO_27-CR-21-10185_Order-Evaluation for Competency to Proceed (Rule 20.01)_2022-05-11_20251126181600.pdf","MCRO_27-CR-21-10185_Order-Evaluation for Competency to Proceed (Rule 20.01)_2022-05-11_20251126181600.pdf")</f>
        <v>MCRO_27-CR-21-10185_Order-Evaluation for Competency to Proceed (Rule 20.01)_2022-05-11_20251126181600.pdf</v>
      </c>
      <c r="H793" s="7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793" s="1" t="s">
        <v>3406</v>
      </c>
      <c r="K793" s="2" t="s">
        <v>3432</v>
      </c>
      <c r="L793" s="2" t="s">
        <v>3408</v>
      </c>
      <c r="M793" s="2" t="n">
        <v>21121</v>
      </c>
      <c r="O793" s="2" t="s">
        <v>3409</v>
      </c>
      <c r="P793" s="2" t="s">
        <v>3410</v>
      </c>
      <c r="S793" s="2" t="n">
        <v>695</v>
      </c>
      <c r="T793" s="2" t="n">
        <v>233</v>
      </c>
    </row>
    <row r="794" customFormat="false" ht="18.7" hidden="false" customHeight="true" outlineLevel="0" collapsed="false">
      <c r="A794" s="1" t="n">
        <v>793</v>
      </c>
      <c r="B794" s="7" t="str">
        <f aca="false">HYPERLINK("https://mncourtfraud.com/file/27-CR-21-10185.pdf","27-CR-21-10185")</f>
        <v>27-CR-21-10185</v>
      </c>
      <c r="C794" s="1" t="n">
        <v>1</v>
      </c>
      <c r="D794" s="2" t="s">
        <v>12</v>
      </c>
      <c r="E794" s="8" t="n">
        <v>44692</v>
      </c>
      <c r="F794" s="2" t="s">
        <v>15</v>
      </c>
      <c r="G794" s="7" t="str">
        <f aca="false">HYPERLINK("https://mncourtfraud.com/file/MCRO_27-CR-21-10185_Order-Evaluation for Competency to Proceed (Rule 20.01)_2022-05-11_20251126181600.pdf","MCRO_27-CR-21-10185_Order-Evaluation for Competency to Proceed (Rule 20.01)_2022-05-11_20251126181600.pdf")</f>
        <v>MCRO_27-CR-21-10185_Order-Evaluation for Competency to Proceed (Rule 20.01)_2022-05-11_20251126181600.pdf</v>
      </c>
      <c r="H794" s="7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794" s="1" t="s">
        <v>3406</v>
      </c>
      <c r="K794" s="2" t="s">
        <v>3433</v>
      </c>
      <c r="L794" s="2" t="s">
        <v>3408</v>
      </c>
      <c r="M794" s="2" t="n">
        <v>53838</v>
      </c>
      <c r="O794" s="2" t="s">
        <v>3409</v>
      </c>
      <c r="P794" s="2" t="s">
        <v>3410</v>
      </c>
      <c r="S794" s="2" t="n">
        <v>695</v>
      </c>
      <c r="T794" s="2" t="n">
        <v>233</v>
      </c>
    </row>
    <row r="795" customFormat="false" ht="18.7" hidden="false" customHeight="true" outlineLevel="0" collapsed="false">
      <c r="A795" s="1" t="n">
        <v>794</v>
      </c>
      <c r="B795" s="7" t="str">
        <f aca="false">HYPERLINK("https://mncourtfraud.com/file/27-CR-21-10185.pdf","27-CR-21-10185")</f>
        <v>27-CR-21-10185</v>
      </c>
      <c r="C795" s="1" t="n">
        <v>1</v>
      </c>
      <c r="D795" s="2" t="s">
        <v>12</v>
      </c>
      <c r="E795" s="8" t="n">
        <v>44692</v>
      </c>
      <c r="F795" s="2" t="s">
        <v>15</v>
      </c>
      <c r="G795" s="7" t="str">
        <f aca="false">HYPERLINK("https://mncourtfraud.com/file/MCRO_27-CR-21-10185_Order-Evaluation for Competency to Proceed (Rule 20.01)_2022-05-11_20251126181600.pdf","MCRO_27-CR-21-10185_Order-Evaluation for Competency to Proceed (Rule 20.01)_2022-05-11_20251126181600.pdf")</f>
        <v>MCRO_27-CR-21-10185_Order-Evaluation for Competency to Proceed (Rule 20.01)_2022-05-11_20251126181600.pdf</v>
      </c>
      <c r="H795" s="7" t="str">
        <f aca="false">HYPERLINK("https://mncourtfraud.com/file/322fe0e9595a4df4693edf307e5f8a42a470721d59f006a7b0e86def92125a58.ttf","322fe0e9595a4df4693edf307e5f8a42a470721d59f006a7b0e86def92125a58")</f>
        <v>322fe0e9595a4df4693edf307e5f8a42a470721d59f006a7b0e86def92125a58</v>
      </c>
      <c r="I795" s="1" t="s">
        <v>3413</v>
      </c>
      <c r="J795" s="2" t="s">
        <v>3434</v>
      </c>
      <c r="K795" s="2" t="s">
        <v>3434</v>
      </c>
      <c r="L795" s="2" t="s">
        <v>3415</v>
      </c>
      <c r="M795" s="2" t="n">
        <v>46736</v>
      </c>
      <c r="N795" s="2" t="s">
        <v>3435</v>
      </c>
    </row>
    <row r="796" customFormat="false" ht="18.7" hidden="false" customHeight="true" outlineLevel="0" collapsed="false">
      <c r="A796" s="1" t="n">
        <v>795</v>
      </c>
      <c r="B796" s="7" t="str">
        <f aca="false">HYPERLINK("https://mncourtfraud.com/file/27-CR-21-10185.pdf","27-CR-21-10185")</f>
        <v>27-CR-21-10185</v>
      </c>
      <c r="C796" s="1" t="n">
        <v>1</v>
      </c>
      <c r="D796" s="2" t="s">
        <v>12</v>
      </c>
      <c r="E796" s="8" t="n">
        <v>44692</v>
      </c>
      <c r="F796" s="2" t="s">
        <v>15</v>
      </c>
      <c r="G796" s="7" t="str">
        <f aca="false">HYPERLINK("https://mncourtfraud.com/file/MCRO_27-CR-21-10185_Order-Evaluation for Competency to Proceed (Rule 20.01)_2022-05-11_20251126181600.pdf","MCRO_27-CR-21-10185_Order-Evaluation for Competency to Proceed (Rule 20.01)_2022-05-11_20251126181600.pdf")</f>
        <v>MCRO_27-CR-21-10185_Order-Evaluation for Competency to Proceed (Rule 20.01)_2022-05-11_20251126181600.pdf</v>
      </c>
      <c r="H796" s="7" t="str">
        <f aca="false">HYPERLINK("https://mncourtfraud.com/file/32ebada21768d6238e03c647b5e5acdf6ce656f0735d59c3fb698ce40418a709.ttf","32ebada21768d6238e03c647b5e5acdf6ce656f0735d59c3fb698ce40418a709")</f>
        <v>32ebada21768d6238e03c647b5e5acdf6ce656f0735d59c3fb698ce40418a709</v>
      </c>
      <c r="I796" s="1" t="s">
        <v>3413</v>
      </c>
      <c r="J796" s="2" t="s">
        <v>3436</v>
      </c>
      <c r="K796" s="2" t="s">
        <v>3436</v>
      </c>
      <c r="L796" s="2" t="s">
        <v>3415</v>
      </c>
      <c r="M796" s="2" t="n">
        <v>65744</v>
      </c>
      <c r="N796" s="2" t="s">
        <v>3437</v>
      </c>
    </row>
    <row r="797" customFormat="false" ht="18.7" hidden="false" customHeight="true" outlineLevel="0" collapsed="false">
      <c r="A797" s="1" t="n">
        <v>796</v>
      </c>
      <c r="B797" s="7" t="str">
        <f aca="false">HYPERLINK("https://mncourtfraud.com/file/27-CR-21-10185.pdf","27-CR-21-10185")</f>
        <v>27-CR-21-10185</v>
      </c>
      <c r="C797" s="1" t="n">
        <v>1</v>
      </c>
      <c r="D797" s="2" t="s">
        <v>12</v>
      </c>
      <c r="E797" s="8" t="n">
        <v>44692</v>
      </c>
      <c r="F797" s="2" t="s">
        <v>15</v>
      </c>
      <c r="G797" s="7" t="str">
        <f aca="false">HYPERLINK("https://mncourtfraud.com/file/MCRO_27-CR-21-10185_Order-Evaluation for Competency to Proceed (Rule 20.01)_2022-05-11_20251126181600.pdf","MCRO_27-CR-21-10185_Order-Evaluation for Competency to Proceed (Rule 20.01)_2022-05-11_20251126181600.pdf")</f>
        <v>MCRO_27-CR-21-10185_Order-Evaluation for Competency to Proceed (Rule 20.01)_2022-05-11_20251126181600.pdf</v>
      </c>
      <c r="H797" s="7" t="str">
        <f aca="false">HYPERLINK("https://mncourtfraud.com/file/694dcb82a5515430b7fddfbf16881b942820c8c41fee3eea3505a20c7d4e41e6.ttf","694dcb82a5515430b7fddfbf16881b942820c8c41fee3eea3505a20c7d4e41e6")</f>
        <v>694dcb82a5515430b7fddfbf16881b942820c8c41fee3eea3505a20c7d4e41e6</v>
      </c>
      <c r="I797" s="1" t="s">
        <v>3413</v>
      </c>
      <c r="J797" s="2" t="s">
        <v>3438</v>
      </c>
      <c r="K797" s="2" t="s">
        <v>3438</v>
      </c>
      <c r="L797" s="2" t="s">
        <v>3415</v>
      </c>
      <c r="M797" s="2" t="n">
        <v>72828</v>
      </c>
      <c r="N797" s="2" t="s">
        <v>3439</v>
      </c>
    </row>
    <row r="798" customFormat="false" ht="18.7" hidden="false" customHeight="true" outlineLevel="0" collapsed="false">
      <c r="A798" s="1" t="n">
        <v>797</v>
      </c>
      <c r="B798" s="7" t="str">
        <f aca="false">HYPERLINK("https://mncourtfraud.com/file/27-CR-21-10185.pdf","27-CR-21-10185")</f>
        <v>27-CR-21-10185</v>
      </c>
      <c r="C798" s="1" t="n">
        <v>1</v>
      </c>
      <c r="D798" s="2" t="s">
        <v>12</v>
      </c>
      <c r="E798" s="8" t="n">
        <v>44692</v>
      </c>
      <c r="F798" s="2" t="s">
        <v>15</v>
      </c>
      <c r="G798" s="7" t="str">
        <f aca="false">HYPERLINK("https://mncourtfraud.com/file/MCRO_27-CR-21-10185_Order-Evaluation for Competency to Proceed (Rule 20.01)_2022-05-11_20251126181600.pdf","MCRO_27-CR-21-10185_Order-Evaluation for Competency to Proceed (Rule 20.01)_2022-05-11_20251126181600.pdf")</f>
        <v>MCRO_27-CR-21-10185_Order-Evaluation for Competency to Proceed (Rule 20.01)_2022-05-11_20251126181600.pdf</v>
      </c>
      <c r="H798" s="7" t="str">
        <f aca="false">HYPERLINK("https://mncourtfraud.com/file/87764021d6d62f7c396208d3f1fa8113e5ad5f90bd03c35e7200536389af4e6a.ttf","87764021d6d62f7c396208d3f1fa8113e5ad5f90bd03c35e7200536389af4e6a")</f>
        <v>87764021d6d62f7c396208d3f1fa8113e5ad5f90bd03c35e7200536389af4e6a</v>
      </c>
      <c r="I798" s="1" t="s">
        <v>3413</v>
      </c>
      <c r="J798" s="2" t="s">
        <v>3440</v>
      </c>
      <c r="K798" s="2" t="s">
        <v>3440</v>
      </c>
      <c r="L798" s="2" t="s">
        <v>3415</v>
      </c>
      <c r="M798" s="2" t="n">
        <v>6280</v>
      </c>
      <c r="N798" s="2" t="s">
        <v>3441</v>
      </c>
    </row>
    <row r="799" customFormat="false" ht="18.7" hidden="false" customHeight="true" outlineLevel="0" collapsed="false">
      <c r="A799" s="1" t="n">
        <v>798</v>
      </c>
      <c r="B799" s="7" t="str">
        <f aca="false">HYPERLINK("https://mncourtfraud.com/file/27-CR-21-10185.pdf","27-CR-21-10185")</f>
        <v>27-CR-21-10185</v>
      </c>
      <c r="C799" s="1" t="n">
        <v>1</v>
      </c>
      <c r="D799" s="2" t="s">
        <v>12</v>
      </c>
      <c r="E799" s="8" t="n">
        <v>44692</v>
      </c>
      <c r="F799" s="2" t="s">
        <v>15</v>
      </c>
      <c r="G799" s="7" t="str">
        <f aca="false">HYPERLINK("https://mncourtfraud.com/file/MCRO_27-CR-21-10185_Order-Evaluation for Competency to Proceed (Rule 20.01)_2022-05-11_20251126181600.pdf","MCRO_27-CR-21-10185_Order-Evaluation for Competency to Proceed (Rule 20.01)_2022-05-11_20251126181600.pdf")</f>
        <v>MCRO_27-CR-21-10185_Order-Evaluation for Competency to Proceed (Rule 20.01)_2022-05-11_20251126181600.pdf</v>
      </c>
      <c r="H799" s="7" t="str">
        <f aca="false">HYPERLINK("https://mncourtfraud.com/file/a1ad71f465be26cf6bb430c59ae6133d3c381ada339ba3c6b2eadf32a9b4096b.ttf","a1ad71f465be26cf6bb430c59ae6133d3c381ada339ba3c6b2eadf32a9b4096b")</f>
        <v>a1ad71f465be26cf6bb430c59ae6133d3c381ada339ba3c6b2eadf32a9b4096b</v>
      </c>
      <c r="I799" s="1" t="s">
        <v>3413</v>
      </c>
      <c r="J799" s="2" t="s">
        <v>3442</v>
      </c>
      <c r="K799" s="2" t="s">
        <v>3442</v>
      </c>
      <c r="L799" s="2" t="s">
        <v>3415</v>
      </c>
      <c r="M799" s="2" t="n">
        <v>5988</v>
      </c>
      <c r="N799" s="2" t="s">
        <v>3443</v>
      </c>
    </row>
    <row r="800" customFormat="false" ht="18.7" hidden="false" customHeight="true" outlineLevel="0" collapsed="false">
      <c r="A800" s="1" t="n">
        <v>799</v>
      </c>
      <c r="B800" s="7" t="str">
        <f aca="false">HYPERLINK("https://mncourtfraud.com/file/27-CR-21-10185.pdf","27-CR-21-10185")</f>
        <v>27-CR-21-10185</v>
      </c>
      <c r="C800" s="1" t="n">
        <v>1</v>
      </c>
      <c r="D800" s="2" t="s">
        <v>12</v>
      </c>
      <c r="E800" s="8" t="n">
        <v>44692</v>
      </c>
      <c r="F800" s="2" t="s">
        <v>15</v>
      </c>
      <c r="G800" s="7" t="str">
        <f aca="false">HYPERLINK("https://mncourtfraud.com/file/MCRO_27-CR-21-10185_Order-Evaluation for Competency to Proceed (Rule 20.01)_2022-05-11_20251126181600.pdf","MCRO_27-CR-21-10185_Order-Evaluation for Competency to Proceed (Rule 20.01)_2022-05-11_20251126181600.pdf")</f>
        <v>MCRO_27-CR-21-10185_Order-Evaluation for Competency to Proceed (Rule 20.01)_2022-05-11_20251126181600.pdf</v>
      </c>
      <c r="H800" s="7" t="str">
        <f aca="false">HYPERLINK("https://mncourtfraud.com/file/e1befe23dc5d05be4c8e965e6fc9e74e95400600e0da0c86dd389645355f3ad1.ttf","e1befe23dc5d05be4c8e965e6fc9e74e95400600e0da0c86dd389645355f3ad1")</f>
        <v>e1befe23dc5d05be4c8e965e6fc9e74e95400600e0da0c86dd389645355f3ad1</v>
      </c>
      <c r="I800" s="1" t="s">
        <v>3413</v>
      </c>
      <c r="J800" s="2" t="s">
        <v>3444</v>
      </c>
      <c r="K800" s="2" t="s">
        <v>3444</v>
      </c>
      <c r="L800" s="2" t="s">
        <v>3415</v>
      </c>
      <c r="M800" s="2" t="n">
        <v>94308</v>
      </c>
      <c r="N800" s="2" t="s">
        <v>3445</v>
      </c>
    </row>
    <row r="801" customFormat="false" ht="18.7" hidden="false" customHeight="true" outlineLevel="0" collapsed="false">
      <c r="A801" s="1" t="n">
        <v>800</v>
      </c>
      <c r="B801" s="7" t="str">
        <f aca="false">HYPERLINK("https://mncourtfraud.com/file/27-CR-21-10185.pdf","27-CR-21-10185")</f>
        <v>27-CR-21-10185</v>
      </c>
      <c r="C801" s="1" t="n">
        <v>1</v>
      </c>
      <c r="D801" s="2" t="s">
        <v>12</v>
      </c>
      <c r="E801" s="8" t="n">
        <v>44895</v>
      </c>
      <c r="F801" s="2" t="s">
        <v>15</v>
      </c>
      <c r="G801" s="7" t="str">
        <f aca="false">HYPERLINK("https://mncourtfraud.com/file/MCRO_27-CR-21-10185_Order-Evaluation for Competency to Proceed (Rule 20.01)_2022-11-30_20251126181610.pdf","MCRO_27-CR-21-10185_Order-Evaluation for Competency to Proceed (Rule 20.01)_2022-11-30_20251126181610.pdf")</f>
        <v>MCRO_27-CR-21-10185_Order-Evaluation for Competency to Proceed (Rule 20.01)_2022-11-30_20251126181610.pdf</v>
      </c>
      <c r="H801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801" s="1" t="s">
        <v>3413</v>
      </c>
      <c r="J801" s="2" t="s">
        <v>3423</v>
      </c>
      <c r="K801" s="2" t="s">
        <v>3423</v>
      </c>
      <c r="L801" s="2" t="s">
        <v>3415</v>
      </c>
      <c r="M801" s="2" t="n">
        <v>11088</v>
      </c>
    </row>
    <row r="802" customFormat="false" ht="18.7" hidden="false" customHeight="true" outlineLevel="0" collapsed="false">
      <c r="A802" s="1" t="n">
        <v>801</v>
      </c>
      <c r="B802" s="7" t="str">
        <f aca="false">HYPERLINK("https://mncourtfraud.com/file/27-CR-21-10185.pdf","27-CR-21-10185")</f>
        <v>27-CR-21-10185</v>
      </c>
      <c r="C802" s="1" t="n">
        <v>1</v>
      </c>
      <c r="D802" s="2" t="s">
        <v>12</v>
      </c>
      <c r="E802" s="8" t="n">
        <v>44895</v>
      </c>
      <c r="F802" s="2" t="s">
        <v>15</v>
      </c>
      <c r="G802" s="7" t="str">
        <f aca="false">HYPERLINK("https://mncourtfraud.com/file/MCRO_27-CR-21-10185_Order-Evaluation for Competency to Proceed (Rule 20.01)_2022-11-30_20251126181610.pdf","MCRO_27-CR-21-10185_Order-Evaluation for Competency to Proceed (Rule 20.01)_2022-11-30_20251126181610.pdf")</f>
        <v>MCRO_27-CR-21-10185_Order-Evaluation for Competency to Proceed (Rule 20.01)_2022-11-30_20251126181610.pdf</v>
      </c>
      <c r="H802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802" s="1" t="s">
        <v>3413</v>
      </c>
      <c r="J802" s="2" t="s">
        <v>3446</v>
      </c>
      <c r="K802" s="2" t="s">
        <v>3446</v>
      </c>
      <c r="L802" s="2" t="s">
        <v>3415</v>
      </c>
      <c r="M802" s="2" t="n">
        <v>55072</v>
      </c>
      <c r="N802" s="2" t="s">
        <v>3447</v>
      </c>
    </row>
    <row r="803" customFormat="false" ht="18.7" hidden="false" customHeight="true" outlineLevel="0" collapsed="false">
      <c r="A803" s="1" t="n">
        <v>802</v>
      </c>
      <c r="B803" s="7" t="str">
        <f aca="false">HYPERLINK("https://mncourtfraud.com/file/27-CR-21-10185.pdf","27-CR-21-10185")</f>
        <v>27-CR-21-10185</v>
      </c>
      <c r="C803" s="1" t="n">
        <v>1</v>
      </c>
      <c r="D803" s="2" t="s">
        <v>12</v>
      </c>
      <c r="E803" s="8" t="n">
        <v>44895</v>
      </c>
      <c r="F803" s="2" t="s">
        <v>15</v>
      </c>
      <c r="G803" s="7" t="str">
        <f aca="false">HYPERLINK("https://mncourtfraud.com/file/MCRO_27-CR-21-10185_Order-Evaluation for Competency to Proceed (Rule 20.01)_2022-11-30_20251126181610.pdf","MCRO_27-CR-21-10185_Order-Evaluation for Competency to Proceed (Rule 20.01)_2022-11-30_20251126181610.pdf")</f>
        <v>MCRO_27-CR-21-10185_Order-Evaluation for Competency to Proceed (Rule 20.01)_2022-11-30_20251126181610.pdf</v>
      </c>
      <c r="H803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803" s="1" t="s">
        <v>3413</v>
      </c>
      <c r="J803" s="2" t="s">
        <v>3424</v>
      </c>
      <c r="K803" s="2" t="s">
        <v>3424</v>
      </c>
      <c r="L803" s="2" t="s">
        <v>3415</v>
      </c>
      <c r="M803" s="2" t="n">
        <v>14252</v>
      </c>
    </row>
    <row r="804" customFormat="false" ht="18.7" hidden="false" customHeight="true" outlineLevel="0" collapsed="false">
      <c r="A804" s="1" t="n">
        <v>803</v>
      </c>
      <c r="B804" s="7" t="str">
        <f aca="false">HYPERLINK("https://mncourtfraud.com/file/27-CR-21-10185.pdf","27-CR-21-10185")</f>
        <v>27-CR-21-10185</v>
      </c>
      <c r="C804" s="1" t="n">
        <v>1</v>
      </c>
      <c r="D804" s="2" t="s">
        <v>12</v>
      </c>
      <c r="E804" s="8" t="n">
        <v>44895</v>
      </c>
      <c r="F804" s="2" t="s">
        <v>15</v>
      </c>
      <c r="G804" s="7" t="str">
        <f aca="false">HYPERLINK("https://mncourtfraud.com/file/MCRO_27-CR-21-10185_Order-Evaluation for Competency to Proceed (Rule 20.01)_2022-11-30_20251126181610.pdf","MCRO_27-CR-21-10185_Order-Evaluation for Competency to Proceed (Rule 20.01)_2022-11-30_20251126181610.pdf")</f>
        <v>MCRO_27-CR-21-10185_Order-Evaluation for Competency to Proceed (Rule 20.01)_2022-11-30_20251126181610.pdf</v>
      </c>
      <c r="H804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804" s="1" t="s">
        <v>3406</v>
      </c>
      <c r="K804" s="2" t="s">
        <v>3420</v>
      </c>
      <c r="L804" s="2" t="s">
        <v>3408</v>
      </c>
      <c r="M804" s="2" t="n">
        <v>7306</v>
      </c>
      <c r="O804" s="2" t="s">
        <v>3409</v>
      </c>
      <c r="P804" s="2" t="s">
        <v>3410</v>
      </c>
      <c r="S804" s="2" t="n">
        <v>319</v>
      </c>
      <c r="T804" s="2" t="n">
        <v>105</v>
      </c>
    </row>
    <row r="805" customFormat="false" ht="18.7" hidden="false" customHeight="true" outlineLevel="0" collapsed="false">
      <c r="A805" s="1" t="n">
        <v>804</v>
      </c>
      <c r="B805" s="7" t="str">
        <f aca="false">HYPERLINK("https://mncourtfraud.com/file/27-CR-21-10185.pdf","27-CR-21-10185")</f>
        <v>27-CR-21-10185</v>
      </c>
      <c r="C805" s="1" t="n">
        <v>1</v>
      </c>
      <c r="D805" s="2" t="s">
        <v>12</v>
      </c>
      <c r="E805" s="8" t="n">
        <v>44895</v>
      </c>
      <c r="F805" s="2" t="s">
        <v>15</v>
      </c>
      <c r="G805" s="7" t="str">
        <f aca="false">HYPERLINK("https://mncourtfraud.com/file/MCRO_27-CR-21-10185_Order-Evaluation for Competency to Proceed (Rule 20.01)_2022-11-30_20251126181610.pdf","MCRO_27-CR-21-10185_Order-Evaluation for Competency to Proceed (Rule 20.01)_2022-11-30_20251126181610.pdf")</f>
        <v>MCRO_27-CR-21-10185_Order-Evaluation for Competency to Proceed (Rule 20.01)_2022-11-30_20251126181610.pdf</v>
      </c>
      <c r="H805" s="7" t="str">
        <f aca="false">HYPERLINK("https://mncourtfraud.com/file/677e52a3b8403ce87e338b0a2e31e6f8e5ddf03fb0ca7043a341135cf0255eaa.ttf","677e52a3b8403ce87e338b0a2e31e6f8e5ddf03fb0ca7043a341135cf0255eaa")</f>
        <v>677e52a3b8403ce87e338b0a2e31e6f8e5ddf03fb0ca7043a341135cf0255eaa</v>
      </c>
      <c r="I805" s="1" t="s">
        <v>3413</v>
      </c>
      <c r="J805" s="2" t="s">
        <v>3422</v>
      </c>
      <c r="K805" s="2" t="s">
        <v>3422</v>
      </c>
      <c r="L805" s="2" t="s">
        <v>3415</v>
      </c>
      <c r="M805" s="2" t="n">
        <v>149960</v>
      </c>
    </row>
    <row r="806" customFormat="false" ht="18.7" hidden="false" customHeight="true" outlineLevel="0" collapsed="false">
      <c r="A806" s="1" t="n">
        <v>805</v>
      </c>
      <c r="B806" s="7" t="str">
        <f aca="false">HYPERLINK("https://mncourtfraud.com/file/27-CR-21-10185.pdf","27-CR-21-10185")</f>
        <v>27-CR-21-10185</v>
      </c>
      <c r="C806" s="1" t="n">
        <v>1</v>
      </c>
      <c r="D806" s="2" t="s">
        <v>12</v>
      </c>
      <c r="E806" s="8" t="n">
        <v>44895</v>
      </c>
      <c r="F806" s="2" t="s">
        <v>15</v>
      </c>
      <c r="G806" s="7" t="str">
        <f aca="false">HYPERLINK("https://mncourtfraud.com/file/MCRO_27-CR-21-10185_Order-Evaluation for Competency to Proceed (Rule 20.01)_2022-11-30_20251126181610.pdf","MCRO_27-CR-21-10185_Order-Evaluation for Competency to Proceed (Rule 20.01)_2022-11-30_20251126181610.pdf")</f>
        <v>MCRO_27-CR-21-10185_Order-Evaluation for Competency to Proceed (Rule 20.01)_2022-11-30_20251126181610.pdf</v>
      </c>
      <c r="H806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806" s="1" t="s">
        <v>3413</v>
      </c>
      <c r="J806" s="2" t="s">
        <v>3448</v>
      </c>
      <c r="K806" s="2" t="s">
        <v>3448</v>
      </c>
      <c r="L806" s="2" t="s">
        <v>3415</v>
      </c>
      <c r="M806" s="2" t="n">
        <v>916684</v>
      </c>
    </row>
    <row r="807" customFormat="false" ht="18.7" hidden="false" customHeight="true" outlineLevel="0" collapsed="false">
      <c r="A807" s="1" t="n">
        <v>806</v>
      </c>
      <c r="B807" s="7" t="str">
        <f aca="false">HYPERLINK("https://mncourtfraud.com/file/27-CR-21-10185.pdf","27-CR-21-10185")</f>
        <v>27-CR-21-10185</v>
      </c>
      <c r="C807" s="1" t="n">
        <v>1</v>
      </c>
      <c r="D807" s="2" t="s">
        <v>12</v>
      </c>
      <c r="E807" s="8" t="n">
        <v>44895</v>
      </c>
      <c r="F807" s="2" t="s">
        <v>15</v>
      </c>
      <c r="G807" s="7" t="str">
        <f aca="false">HYPERLINK("https://mncourtfraud.com/file/MCRO_27-CR-21-10185_Order-Evaluation for Competency to Proceed (Rule 20.01)_2022-11-30_20251126181610.pdf","MCRO_27-CR-21-10185_Order-Evaluation for Competency to Proceed (Rule 20.01)_2022-11-30_20251126181610.pdf")</f>
        <v>MCRO_27-CR-21-10185_Order-Evaluation for Competency to Proceed (Rule 20.01)_2022-11-30_20251126181610.pdf</v>
      </c>
      <c r="H807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807" s="1" t="s">
        <v>3406</v>
      </c>
      <c r="K807" s="2" t="s">
        <v>3425</v>
      </c>
      <c r="L807" s="2" t="s">
        <v>3408</v>
      </c>
      <c r="M807" s="2" t="n">
        <v>21225</v>
      </c>
      <c r="O807" s="2" t="s">
        <v>3409</v>
      </c>
      <c r="P807" s="2" t="s">
        <v>3410</v>
      </c>
      <c r="S807" s="2" t="n">
        <v>319</v>
      </c>
      <c r="T807" s="2" t="n">
        <v>105</v>
      </c>
    </row>
    <row r="808" customFormat="false" ht="18.7" hidden="false" customHeight="true" outlineLevel="0" collapsed="false">
      <c r="A808" s="1" t="n">
        <v>807</v>
      </c>
      <c r="B808" s="7" t="str">
        <f aca="false">HYPERLINK("https://mncourtfraud.com/file/27-CR-21-10185.pdf","27-CR-21-10185")</f>
        <v>27-CR-21-10185</v>
      </c>
      <c r="C808" s="1" t="n">
        <v>1</v>
      </c>
      <c r="D808" s="2" t="s">
        <v>12</v>
      </c>
      <c r="E808" s="8" t="n">
        <v>44895</v>
      </c>
      <c r="F808" s="2" t="s">
        <v>15</v>
      </c>
      <c r="G808" s="7" t="str">
        <f aca="false">HYPERLINK("https://mncourtfraud.com/file/MCRO_27-CR-21-10185_Order-Evaluation for Competency to Proceed (Rule 20.01)_2022-11-30_20251126181610.pdf","MCRO_27-CR-21-10185_Order-Evaluation for Competency to Proceed (Rule 20.01)_2022-11-30_20251126181610.pdf")</f>
        <v>MCRO_27-CR-21-10185_Order-Evaluation for Competency to Proceed (Rule 20.01)_2022-11-30_20251126181610.pdf</v>
      </c>
      <c r="H808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808" s="1" t="s">
        <v>3413</v>
      </c>
      <c r="J808" s="2" t="s">
        <v>3449</v>
      </c>
      <c r="K808" s="2" t="s">
        <v>3449</v>
      </c>
      <c r="L808" s="2" t="s">
        <v>3415</v>
      </c>
      <c r="M808" s="2" t="n">
        <v>124664</v>
      </c>
    </row>
    <row r="809" customFormat="false" ht="18.7" hidden="false" customHeight="true" outlineLevel="0" collapsed="false">
      <c r="A809" s="1" t="n">
        <v>808</v>
      </c>
      <c r="B809" s="7" t="str">
        <f aca="false">HYPERLINK("https://mncourtfraud.com/file/27-CR-21-10185.pdf","27-CR-21-10185")</f>
        <v>27-CR-21-10185</v>
      </c>
      <c r="C809" s="1" t="n">
        <v>1</v>
      </c>
      <c r="D809" s="2" t="s">
        <v>12</v>
      </c>
      <c r="E809" s="8" t="n">
        <v>44895</v>
      </c>
      <c r="F809" s="2" t="s">
        <v>15</v>
      </c>
      <c r="G809" s="7" t="str">
        <f aca="false">HYPERLINK("https://mncourtfraud.com/file/MCRO_27-CR-21-10185_Order-Evaluation for Competency to Proceed (Rule 20.01)_2022-11-30_20251126181610.pdf","MCRO_27-CR-21-10185_Order-Evaluation for Competency to Proceed (Rule 20.01)_2022-11-30_20251126181610.pdf")</f>
        <v>MCRO_27-CR-21-10185_Order-Evaluation for Competency to Proceed (Rule 20.01)_2022-11-30_20251126181610.pdf</v>
      </c>
      <c r="H809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809" s="1" t="s">
        <v>3413</v>
      </c>
      <c r="J809" s="2" t="s">
        <v>3449</v>
      </c>
      <c r="K809" s="2" t="s">
        <v>3449</v>
      </c>
      <c r="L809" s="2" t="s">
        <v>3415</v>
      </c>
      <c r="M809" s="2" t="n">
        <v>124664</v>
      </c>
    </row>
    <row r="810" customFormat="false" ht="18.7" hidden="false" customHeight="true" outlineLevel="0" collapsed="false">
      <c r="A810" s="1" t="n">
        <v>809</v>
      </c>
      <c r="B810" s="7" t="str">
        <f aca="false">HYPERLINK("https://mncourtfraud.com/file/27-CR-21-12714.pdf","27-CR-21-12714")</f>
        <v>27-CR-21-12714</v>
      </c>
      <c r="C810" s="1" t="n">
        <v>1</v>
      </c>
      <c r="D810" s="2" t="s">
        <v>12</v>
      </c>
      <c r="E810" s="8" t="n">
        <v>44396</v>
      </c>
      <c r="F810" s="2" t="s">
        <v>15</v>
      </c>
      <c r="G810" s="7" t="str">
        <f aca="false">HYPERLINK("https://mncourtfraud.com/file/MCRO_27-CR-21-12714_Order-Evaluation for Competency to Proceed (Rule 20.01)_2021-07-19_20251126181807.pdf","MCRO_27-CR-21-12714_Order-Evaluation for Competency to Proceed (Rule 20.01)_2021-07-19_20251126181807.pdf")</f>
        <v>MCRO_27-CR-21-12714_Order-Evaluation for Competency to Proceed (Rule 20.01)_2021-07-19_20251126181807.pdf</v>
      </c>
      <c r="H810" s="7" t="str">
        <f aca="false">HYPERLINK("https://mncourtfraud.com/file/667fe5e48f407f898a72d1fff9359cc74b1eccdebf8d407ad6727cb7341577e6.png","667fe5e48f407f898a72d1fff9359cc74b1eccdebf8d407ad6727cb7341577e6")</f>
        <v>667fe5e48f407f898a72d1fff9359cc74b1eccdebf8d407ad6727cb7341577e6</v>
      </c>
      <c r="I810" s="1" t="s">
        <v>3406</v>
      </c>
      <c r="L810" s="2" t="s">
        <v>3412</v>
      </c>
      <c r="M810" s="2" t="n">
        <v>152640</v>
      </c>
      <c r="S810" s="2" t="n">
        <v>2550</v>
      </c>
      <c r="T810" s="2" t="n">
        <v>3300</v>
      </c>
    </row>
    <row r="811" customFormat="false" ht="18.7" hidden="false" customHeight="true" outlineLevel="0" collapsed="false">
      <c r="A811" s="1" t="n">
        <v>810</v>
      </c>
      <c r="B811" s="7" t="str">
        <f aca="false">HYPERLINK("https://mncourtfraud.com/file/27-CR-21-12714.pdf","27-CR-21-12714")</f>
        <v>27-CR-21-12714</v>
      </c>
      <c r="C811" s="1" t="n">
        <v>1</v>
      </c>
      <c r="D811" s="2" t="s">
        <v>12</v>
      </c>
      <c r="E811" s="8" t="n">
        <v>44396</v>
      </c>
      <c r="F811" s="2" t="s">
        <v>15</v>
      </c>
      <c r="G811" s="7" t="str">
        <f aca="false">HYPERLINK("https://mncourtfraud.com/file/MCRO_27-CR-21-12714_Order-Evaluation for Competency to Proceed (Rule 20.01)_2021-07-19_20251126181807.pdf","MCRO_27-CR-21-12714_Order-Evaluation for Competency to Proceed (Rule 20.01)_2021-07-19_20251126181807.pdf")</f>
        <v>MCRO_27-CR-21-12714_Order-Evaluation for Competency to Proceed (Rule 20.01)_2021-07-19_20251126181807.pdf</v>
      </c>
      <c r="H811" s="7" t="str">
        <f aca="false">HYPERLINK("https://mncourtfraud.com/file/82e4dc8f8605f2ea547b0d5a321f15d8080bb8d0b0ae318f4fb7aa0e19b064f7.png","82e4dc8f8605f2ea547b0d5a321f15d8080bb8d0b0ae318f4fb7aa0e19b064f7")</f>
        <v>82e4dc8f8605f2ea547b0d5a321f15d8080bb8d0b0ae318f4fb7aa0e19b064f7</v>
      </c>
      <c r="I811" s="1" t="s">
        <v>3406</v>
      </c>
      <c r="L811" s="2" t="s">
        <v>3412</v>
      </c>
      <c r="M811" s="2" t="n">
        <v>142402</v>
      </c>
      <c r="S811" s="2" t="n">
        <v>2550</v>
      </c>
      <c r="T811" s="2" t="n">
        <v>3300</v>
      </c>
    </row>
    <row r="812" customFormat="false" ht="18.7" hidden="false" customHeight="true" outlineLevel="0" collapsed="false">
      <c r="A812" s="1" t="n">
        <v>811</v>
      </c>
      <c r="B812" s="7" t="str">
        <f aca="false">HYPERLINK("https://mncourtfraud.com/file/27-CR-21-12714.pdf","27-CR-21-12714")</f>
        <v>27-CR-21-12714</v>
      </c>
      <c r="C812" s="1" t="n">
        <v>1</v>
      </c>
      <c r="D812" s="2" t="s">
        <v>12</v>
      </c>
      <c r="E812" s="8" t="n">
        <v>44396</v>
      </c>
      <c r="F812" s="2" t="s">
        <v>15</v>
      </c>
      <c r="G812" s="7" t="str">
        <f aca="false">HYPERLINK("https://mncourtfraud.com/file/MCRO_27-CR-21-12714_Order-Evaluation for Competency to Proceed (Rule 20.01)_2021-07-19_20251126181807.pdf","MCRO_27-CR-21-12714_Order-Evaluation for Competency to Proceed (Rule 20.01)_2021-07-19_20251126181807.pdf")</f>
        <v>MCRO_27-CR-21-12714_Order-Evaluation for Competency to Proceed (Rule 20.01)_2021-07-19_20251126181807.pdf</v>
      </c>
      <c r="H812" s="7" t="str">
        <f aca="false">HYPERLINK("https://mncourtfraud.com/file/c9b6d070b384988e929885aad25ff511eac5b7da99a338759d44ec11b90d58e0.ttf","c9b6d070b384988e929885aad25ff511eac5b7da99a338759d44ec11b90d58e0")</f>
        <v>c9b6d070b384988e929885aad25ff511eac5b7da99a338759d44ec11b90d58e0</v>
      </c>
      <c r="I812" s="1" t="s">
        <v>3413</v>
      </c>
      <c r="L812" s="2" t="s">
        <v>3415</v>
      </c>
      <c r="M812" s="2" t="n">
        <v>333576</v>
      </c>
    </row>
    <row r="813" customFormat="false" ht="18.7" hidden="false" customHeight="true" outlineLevel="0" collapsed="false">
      <c r="A813" s="1" t="n">
        <v>812</v>
      </c>
      <c r="B813" s="7" t="str">
        <f aca="false">HYPERLINK("https://mncourtfraud.com/file/27-CR-21-12714.pdf","27-CR-21-12714")</f>
        <v>27-CR-21-12714</v>
      </c>
      <c r="C813" s="1" t="n">
        <v>1</v>
      </c>
      <c r="D813" s="2" t="s">
        <v>12</v>
      </c>
      <c r="E813" s="8" t="n">
        <v>44405</v>
      </c>
      <c r="F813" s="2" t="s">
        <v>145</v>
      </c>
      <c r="G813" s="7" t="str">
        <f aca="false">HYPERLINK("https://mncourtfraud.com/file/MCRO_27-CR-21-12714_Demand or Request for Discovery_2021-07-28_20251126181647.pdf","MCRO_27-CR-21-12714_Demand or Request for Discovery_2021-07-28_20251126181647.pdf")</f>
        <v>MCRO_27-CR-21-12714_Demand or Request for Discovery_2021-07-28_20251126181647.pdf</v>
      </c>
      <c r="H813" s="7" t="str">
        <f aca="false">HYPERLINK("https://mncourtfraud.com/file/5c38bab787d283d596cfcc4d222d1b81c241959ac223b1db0d46f933a34b9e0b.ttf","5c38bab787d283d596cfcc4d222d1b81c241959ac223b1db0d46f933a34b9e0b")</f>
        <v>5c38bab787d283d596cfcc4d222d1b81c241959ac223b1db0d46f933a34b9e0b</v>
      </c>
      <c r="I813" s="1" t="s">
        <v>3413</v>
      </c>
      <c r="J813" s="2" t="s">
        <v>3465</v>
      </c>
      <c r="K813" s="2" t="s">
        <v>3465</v>
      </c>
      <c r="L813" s="2" t="s">
        <v>3415</v>
      </c>
      <c r="M813" s="2" t="n">
        <v>77156</v>
      </c>
      <c r="N813" s="2" t="s">
        <v>3466</v>
      </c>
    </row>
    <row r="814" customFormat="false" ht="18.7" hidden="false" customHeight="true" outlineLevel="0" collapsed="false">
      <c r="A814" s="1" t="n">
        <v>813</v>
      </c>
      <c r="B814" s="7" t="str">
        <f aca="false">HYPERLINK("https://mncourtfraud.com/file/27-CR-21-12714.pdf","27-CR-21-12714")</f>
        <v>27-CR-21-12714</v>
      </c>
      <c r="C814" s="1" t="n">
        <v>1</v>
      </c>
      <c r="D814" s="2" t="s">
        <v>12</v>
      </c>
      <c r="E814" s="8" t="n">
        <v>44405</v>
      </c>
      <c r="F814" s="2" t="s">
        <v>145</v>
      </c>
      <c r="G814" s="7" t="str">
        <f aca="false">HYPERLINK("https://mncourtfraud.com/file/MCRO_27-CR-21-12714_Demand or Request for Discovery_2021-07-28_20251126181647.pdf","MCRO_27-CR-21-12714_Demand or Request for Discovery_2021-07-28_20251126181647.pdf")</f>
        <v>MCRO_27-CR-21-12714_Demand or Request for Discovery_2021-07-28_20251126181647.pdf</v>
      </c>
      <c r="H814" s="7" t="str">
        <f aca="false">HYPERLINK("https://mncourtfraud.com/file/642900e8c8f3b10f4bd26dcb710655e35b6d519e7b4feab3fdf4d3d4f1ff330a.ttf","642900e8c8f3b10f4bd26dcb710655e35b6d519e7b4feab3fdf4d3d4f1ff330a")</f>
        <v>642900e8c8f3b10f4bd26dcb710655e35b6d519e7b4feab3fdf4d3d4f1ff330a</v>
      </c>
      <c r="I814" s="1" t="s">
        <v>3413</v>
      </c>
      <c r="J814" s="2" t="s">
        <v>3467</v>
      </c>
      <c r="K814" s="2" t="s">
        <v>3467</v>
      </c>
      <c r="L814" s="2" t="s">
        <v>3415</v>
      </c>
      <c r="M814" s="2" t="n">
        <v>38978</v>
      </c>
      <c r="N814" s="2" t="s">
        <v>3468</v>
      </c>
    </row>
    <row r="815" customFormat="false" ht="18.7" hidden="false" customHeight="true" outlineLevel="0" collapsed="false">
      <c r="A815" s="1" t="n">
        <v>814</v>
      </c>
      <c r="B815" s="7" t="str">
        <f aca="false">HYPERLINK("https://mncourtfraud.com/file/27-CR-21-12714.pdf","27-CR-21-12714")</f>
        <v>27-CR-21-12714</v>
      </c>
      <c r="C815" s="1" t="n">
        <v>1</v>
      </c>
      <c r="D815" s="2" t="s">
        <v>12</v>
      </c>
      <c r="E815" s="8" t="n">
        <v>44405</v>
      </c>
      <c r="F815" s="2" t="s">
        <v>145</v>
      </c>
      <c r="G815" s="7" t="str">
        <f aca="false">HYPERLINK("https://mncourtfraud.com/file/MCRO_27-CR-21-12714_Demand or Request for Discovery_2021-07-28_20251126181647.pdf","MCRO_27-CR-21-12714_Demand or Request for Discovery_2021-07-28_20251126181647.pdf")</f>
        <v>MCRO_27-CR-21-12714_Demand or Request for Discovery_2021-07-28_20251126181647.pdf</v>
      </c>
      <c r="H815" s="7" t="str">
        <f aca="false">HYPERLINK("https://mncourtfraud.com/file/86e32522760a77ceae443decbdbde9f3831deac84e1e3080673a131239175d00.ttf","86e32522760a77ceae443decbdbde9f3831deac84e1e3080673a131239175d00")</f>
        <v>86e32522760a77ceae443decbdbde9f3831deac84e1e3080673a131239175d00</v>
      </c>
      <c r="I815" s="1" t="s">
        <v>3413</v>
      </c>
      <c r="J815" s="2" t="s">
        <v>3469</v>
      </c>
      <c r="K815" s="2" t="s">
        <v>3469</v>
      </c>
      <c r="L815" s="2" t="s">
        <v>3415</v>
      </c>
      <c r="M815" s="2" t="n">
        <v>98894</v>
      </c>
      <c r="N815" s="2" t="s">
        <v>3470</v>
      </c>
    </row>
    <row r="816" customFormat="false" ht="18.7" hidden="false" customHeight="true" outlineLevel="0" collapsed="false">
      <c r="A816" s="1" t="n">
        <v>815</v>
      </c>
      <c r="B816" s="7" t="str">
        <f aca="false">HYPERLINK("https://mncourtfraud.com/file/27-CR-21-12714.pdf","27-CR-21-12714")</f>
        <v>27-CR-21-12714</v>
      </c>
      <c r="C816" s="1" t="n">
        <v>1</v>
      </c>
      <c r="D816" s="2" t="s">
        <v>12</v>
      </c>
      <c r="E816" s="8" t="n">
        <v>44405</v>
      </c>
      <c r="F816" s="2" t="s">
        <v>145</v>
      </c>
      <c r="G816" s="7" t="str">
        <f aca="false">HYPERLINK("https://mncourtfraud.com/file/MCRO_27-CR-21-12714_Demand or Request for Discovery_2021-07-28_20251126181647.pdf","MCRO_27-CR-21-12714_Demand or Request for Discovery_2021-07-28_20251126181647.pdf")</f>
        <v>MCRO_27-CR-21-12714_Demand or Request for Discovery_2021-07-28_20251126181647.pdf</v>
      </c>
      <c r="H816" s="7" t="str">
        <f aca="false">HYPERLINK("https://mncourtfraud.com/file/c911827ea470bc80ee3282a87b944efc1da58442d27cf005d533f063e38ce750.ttf","c911827ea470bc80ee3282a87b944efc1da58442d27cf005d533f063e38ce750")</f>
        <v>c911827ea470bc80ee3282a87b944efc1da58442d27cf005d533f063e38ce750</v>
      </c>
      <c r="I816" s="1" t="s">
        <v>3413</v>
      </c>
      <c r="J816" s="2" t="s">
        <v>3471</v>
      </c>
      <c r="K816" s="2" t="s">
        <v>3471</v>
      </c>
      <c r="L816" s="2" t="s">
        <v>3415</v>
      </c>
      <c r="M816" s="2" t="n">
        <v>51515</v>
      </c>
      <c r="N816" s="2" t="s">
        <v>3472</v>
      </c>
    </row>
    <row r="817" customFormat="false" ht="18.7" hidden="false" customHeight="true" outlineLevel="0" collapsed="false">
      <c r="A817" s="1" t="n">
        <v>816</v>
      </c>
      <c r="B817" s="7" t="str">
        <f aca="false">HYPERLINK("https://mncourtfraud.com/file/27-CR-21-12714.pdf","27-CR-21-12714")</f>
        <v>27-CR-21-12714</v>
      </c>
      <c r="C817" s="1" t="n">
        <v>1</v>
      </c>
      <c r="D817" s="2" t="s">
        <v>12</v>
      </c>
      <c r="E817" s="8" t="n">
        <v>44439</v>
      </c>
      <c r="F817" s="2" t="s">
        <v>19</v>
      </c>
      <c r="G817" s="7" t="str">
        <f aca="false">HYPERLINK("https://mncourtfraud.com/file/MCRO_27-CR-21-12714_Findings and Order_2021-08-31_20251126181722.pdf","MCRO_27-CR-21-12714_Findings and Order_2021-08-31_20251126181722.pdf")</f>
        <v>MCRO_27-CR-21-12714_Findings and Order_2021-08-31_20251126181722.pdf</v>
      </c>
      <c r="H817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817" s="1" t="s">
        <v>3413</v>
      </c>
      <c r="J817" s="2" t="s">
        <v>3426</v>
      </c>
      <c r="K817" s="2" t="s">
        <v>3426</v>
      </c>
      <c r="L817" s="2" t="s">
        <v>3415</v>
      </c>
      <c r="M817" s="2" t="n">
        <v>74997</v>
      </c>
      <c r="N817" s="2" t="s">
        <v>3427</v>
      </c>
    </row>
    <row r="818" customFormat="false" ht="18.7" hidden="false" customHeight="true" outlineLevel="0" collapsed="false">
      <c r="A818" s="1" t="n">
        <v>817</v>
      </c>
      <c r="B818" s="7" t="str">
        <f aca="false">HYPERLINK("https://mncourtfraud.com/file/27-CR-21-12714.pdf","27-CR-21-12714")</f>
        <v>27-CR-21-12714</v>
      </c>
      <c r="C818" s="1" t="n">
        <v>1</v>
      </c>
      <c r="D818" s="2" t="s">
        <v>12</v>
      </c>
      <c r="E818" s="8" t="n">
        <v>44439</v>
      </c>
      <c r="F818" s="2" t="s">
        <v>19</v>
      </c>
      <c r="G818" s="7" t="str">
        <f aca="false">HYPERLINK("https://mncourtfraud.com/file/MCRO_27-CR-21-12714_Findings and Order_2021-08-31_20251126181722.pdf","MCRO_27-CR-21-12714_Findings and Order_2021-08-31_20251126181722.pdf")</f>
        <v>MCRO_27-CR-21-12714_Findings and Order_2021-08-31_20251126181722.pdf</v>
      </c>
      <c r="H818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818" s="1" t="s">
        <v>3413</v>
      </c>
      <c r="J818" s="2" t="s">
        <v>3414</v>
      </c>
      <c r="K818" s="2" t="s">
        <v>3414</v>
      </c>
      <c r="L818" s="2" t="s">
        <v>3415</v>
      </c>
      <c r="M818" s="2" t="n">
        <v>65384</v>
      </c>
    </row>
    <row r="819" customFormat="false" ht="18.7" hidden="false" customHeight="true" outlineLevel="0" collapsed="false">
      <c r="A819" s="1" t="n">
        <v>818</v>
      </c>
      <c r="B819" s="7" t="str">
        <f aca="false">HYPERLINK("https://mncourtfraud.com/file/27-CR-21-12714.pdf","27-CR-21-12714")</f>
        <v>27-CR-21-12714</v>
      </c>
      <c r="C819" s="1" t="n">
        <v>1</v>
      </c>
      <c r="D819" s="2" t="s">
        <v>12</v>
      </c>
      <c r="E819" s="8" t="n">
        <v>44439</v>
      </c>
      <c r="F819" s="2" t="s">
        <v>19</v>
      </c>
      <c r="G819" s="7" t="str">
        <f aca="false">HYPERLINK("https://mncourtfraud.com/file/MCRO_27-CR-21-12714_Findings and Order_2021-08-31_20251126181722.pdf","MCRO_27-CR-21-12714_Findings and Order_2021-08-31_20251126181722.pdf")</f>
        <v>MCRO_27-CR-21-12714_Findings and Order_2021-08-31_20251126181722.pdf</v>
      </c>
      <c r="H819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819" s="1" t="s">
        <v>3413</v>
      </c>
      <c r="J819" s="2" t="s">
        <v>3414</v>
      </c>
      <c r="K819" s="2" t="s">
        <v>3414</v>
      </c>
      <c r="L819" s="2" t="s">
        <v>3415</v>
      </c>
      <c r="M819" s="2" t="n">
        <v>65384</v>
      </c>
    </row>
    <row r="820" customFormat="false" ht="18.7" hidden="false" customHeight="true" outlineLevel="0" collapsed="false">
      <c r="A820" s="1" t="n">
        <v>819</v>
      </c>
      <c r="B820" s="7" t="str">
        <f aca="false">HYPERLINK("https://mncourtfraud.com/file/27-CR-21-12714.pdf","27-CR-21-12714")</f>
        <v>27-CR-21-12714</v>
      </c>
      <c r="C820" s="1" t="n">
        <v>1</v>
      </c>
      <c r="D820" s="2" t="s">
        <v>12</v>
      </c>
      <c r="E820" s="8" t="n">
        <v>44439</v>
      </c>
      <c r="F820" s="2" t="s">
        <v>19</v>
      </c>
      <c r="G820" s="7" t="str">
        <f aca="false">HYPERLINK("https://mncourtfraud.com/file/MCRO_27-CR-21-12714_Findings and Order_2021-08-31_20251126181722.pdf","MCRO_27-CR-21-12714_Findings and Order_2021-08-31_20251126181722.pdf")</f>
        <v>MCRO_27-CR-21-12714_Findings and Order_2021-08-31_20251126181722.pdf</v>
      </c>
      <c r="H820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820" s="1" t="s">
        <v>3428</v>
      </c>
      <c r="J820" s="2" t="s">
        <v>3429</v>
      </c>
      <c r="K820" s="2" t="s">
        <v>3429</v>
      </c>
      <c r="L820" s="2" t="s">
        <v>3415</v>
      </c>
      <c r="M820" s="2" t="n">
        <v>86093</v>
      </c>
    </row>
    <row r="821" customFormat="false" ht="18.7" hidden="false" customHeight="true" outlineLevel="0" collapsed="false">
      <c r="A821" s="1" t="n">
        <v>820</v>
      </c>
      <c r="B821" s="7" t="str">
        <f aca="false">HYPERLINK("https://mncourtfraud.com/file/27-CR-21-12714.pdf","27-CR-21-12714")</f>
        <v>27-CR-21-12714</v>
      </c>
      <c r="C821" s="1" t="n">
        <v>1</v>
      </c>
      <c r="D821" s="2" t="s">
        <v>12</v>
      </c>
      <c r="E821" s="8" t="n">
        <v>44439</v>
      </c>
      <c r="F821" s="2" t="s">
        <v>19</v>
      </c>
      <c r="G821" s="7" t="str">
        <f aca="false">HYPERLINK("https://mncourtfraud.com/file/MCRO_27-CR-21-12714_Findings and Order_2021-08-31_20251126181722.pdf","MCRO_27-CR-21-12714_Findings and Order_2021-08-31_20251126181722.pdf")</f>
        <v>MCRO_27-CR-21-12714_Findings and Order_2021-08-31_20251126181722.pdf</v>
      </c>
      <c r="H821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821" s="1" t="s">
        <v>3406</v>
      </c>
      <c r="K821" s="2" t="s">
        <v>3430</v>
      </c>
      <c r="L821" s="2" t="s">
        <v>3408</v>
      </c>
      <c r="M821" s="2" t="n">
        <v>28069</v>
      </c>
      <c r="O821" s="2" t="s">
        <v>3409</v>
      </c>
      <c r="P821" s="2" t="s">
        <v>3410</v>
      </c>
      <c r="S821" s="2" t="n">
        <v>448</v>
      </c>
      <c r="T821" s="2" t="n">
        <v>128</v>
      </c>
    </row>
    <row r="822" customFormat="false" ht="18.7" hidden="false" customHeight="true" outlineLevel="0" collapsed="false">
      <c r="A822" s="1" t="n">
        <v>821</v>
      </c>
      <c r="B822" s="7" t="str">
        <f aca="false">HYPERLINK("https://mncourtfraud.com/file/27-CR-21-12714.pdf","27-CR-21-12714")</f>
        <v>27-CR-21-12714</v>
      </c>
      <c r="C822" s="1" t="n">
        <v>1</v>
      </c>
      <c r="D822" s="2" t="s">
        <v>12</v>
      </c>
      <c r="E822" s="8" t="n">
        <v>44439</v>
      </c>
      <c r="F822" s="2" t="s">
        <v>19</v>
      </c>
      <c r="G822" s="7" t="str">
        <f aca="false">HYPERLINK("https://mncourtfraud.com/file/MCRO_27-CR-21-12714_Findings and Order_2021-08-31_20251126181722.pdf","MCRO_27-CR-21-12714_Findings and Order_2021-08-31_20251126181722.pdf")</f>
        <v>MCRO_27-CR-21-12714_Findings and Order_2021-08-31_20251126181722.pdf</v>
      </c>
      <c r="H822" s="7" t="str">
        <f aca="false">HYPERLINK("https://mncourtfraud.com/file/d85226137c53579f37f2c87321a4ff209a309a82330591d9457774d7d697befc.ttf","d85226137c53579f37f2c87321a4ff209a309a82330591d9457774d7d697befc")</f>
        <v>d85226137c53579f37f2c87321a4ff209a309a82330591d9457774d7d697befc</v>
      </c>
      <c r="I822" s="1" t="s">
        <v>3413</v>
      </c>
      <c r="J822" s="2" t="s">
        <v>3414</v>
      </c>
      <c r="K822" s="2" t="s">
        <v>3416</v>
      </c>
      <c r="L822" s="2" t="s">
        <v>3415</v>
      </c>
      <c r="M822" s="2" t="n">
        <v>49992</v>
      </c>
    </row>
    <row r="823" customFormat="false" ht="18.7" hidden="false" customHeight="true" outlineLevel="0" collapsed="false">
      <c r="A823" s="1" t="n">
        <v>822</v>
      </c>
      <c r="B823" s="7" t="str">
        <f aca="false">HYPERLINK("https://mncourtfraud.com/file/27-CR-21-12714.pdf","27-CR-21-12714")</f>
        <v>27-CR-21-12714</v>
      </c>
      <c r="C823" s="1" t="n">
        <v>1</v>
      </c>
      <c r="D823" s="2" t="s">
        <v>12</v>
      </c>
      <c r="E823" s="8" t="n">
        <v>44460</v>
      </c>
      <c r="F823" s="2" t="s">
        <v>24</v>
      </c>
      <c r="G823" s="7" t="str">
        <f aca="false">HYPERLINK("https://mncourtfraud.com/file/MCRO_27-CR-21-12714_Order for Conditional Release_2021-09-21_20251126181747.pdf","MCRO_27-CR-21-12714_Order for Conditional Release_2021-09-21_20251126181747.pdf")</f>
        <v>MCRO_27-CR-21-12714_Order for Conditional Release_2021-09-21_20251126181747.pdf</v>
      </c>
      <c r="H823" s="7" t="str">
        <f aca="false">HYPERLINK("https://mncourtfraud.com/file/02dfb6e08fd11b3563d1b9b621b56dbf2dc11acbd85e42bfd83f728fb300bef2.ttf","02dfb6e08fd11b3563d1b9b621b56dbf2dc11acbd85e42bfd83f728fb300bef2")</f>
        <v>02dfb6e08fd11b3563d1b9b621b56dbf2dc11acbd85e42bfd83f728fb300bef2</v>
      </c>
      <c r="I823" s="1" t="s">
        <v>3413</v>
      </c>
      <c r="L823" s="2" t="s">
        <v>3415</v>
      </c>
      <c r="M823" s="2" t="n">
        <v>333576</v>
      </c>
    </row>
    <row r="824" customFormat="false" ht="18.7" hidden="false" customHeight="true" outlineLevel="0" collapsed="false">
      <c r="A824" s="1" t="n">
        <v>823</v>
      </c>
      <c r="B824" s="7" t="str">
        <f aca="false">HYPERLINK("https://mncourtfraud.com/file/27-CR-21-12714.pdf","27-CR-21-12714")</f>
        <v>27-CR-21-12714</v>
      </c>
      <c r="C824" s="1" t="n">
        <v>1</v>
      </c>
      <c r="D824" s="2" t="s">
        <v>12</v>
      </c>
      <c r="E824" s="8" t="n">
        <v>44460</v>
      </c>
      <c r="F824" s="2" t="s">
        <v>24</v>
      </c>
      <c r="G824" s="7" t="str">
        <f aca="false">HYPERLINK("https://mncourtfraud.com/file/MCRO_27-CR-21-12714_Order for Conditional Release_2021-09-21_20251126181747.pdf","MCRO_27-CR-21-12714_Order for Conditional Release_2021-09-21_20251126181747.pdf")</f>
        <v>MCRO_27-CR-21-12714_Order for Conditional Release_2021-09-21_20251126181747.pdf</v>
      </c>
      <c r="H824" s="7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824" s="1" t="s">
        <v>3406</v>
      </c>
      <c r="L824" s="2" t="s">
        <v>3412</v>
      </c>
      <c r="M824" s="2" t="n">
        <v>152962</v>
      </c>
      <c r="S824" s="2" t="n">
        <v>2560</v>
      </c>
      <c r="T824" s="2" t="n">
        <v>3300</v>
      </c>
    </row>
    <row r="825" customFormat="false" ht="18.7" hidden="false" customHeight="true" outlineLevel="0" collapsed="false">
      <c r="A825" s="1" t="n">
        <v>824</v>
      </c>
      <c r="B825" s="7" t="str">
        <f aca="false">HYPERLINK("https://mncourtfraud.com/file/27-CR-21-12714.pdf","27-CR-21-12714")</f>
        <v>27-CR-21-12714</v>
      </c>
      <c r="C825" s="1" t="n">
        <v>1</v>
      </c>
      <c r="D825" s="2" t="s">
        <v>12</v>
      </c>
      <c r="E825" s="8" t="n">
        <v>44468</v>
      </c>
      <c r="F825" s="2" t="s">
        <v>24</v>
      </c>
      <c r="G825" s="7" t="str">
        <f aca="false">HYPERLINK("https://mncourtfraud.com/file/MCRO_27-CR-21-12714_Order for Conditional Release_2021-09-29_20251126181755.pdf","MCRO_27-CR-21-12714_Order for Conditional Release_2021-09-29_20251126181755.pdf")</f>
        <v>MCRO_27-CR-21-12714_Order for Conditional Release_2021-09-29_20251126181755.pdf</v>
      </c>
      <c r="H825" s="7" t="str">
        <f aca="false">HYPERLINK("https://mncourtfraud.com/file/29d541cb6920f2a0815a72232c8164e19ffda7ff89f025261d343aef97d55c23.png","29d541cb6920f2a0815a72232c8164e19ffda7ff89f025261d343aef97d55c23")</f>
        <v>29d541cb6920f2a0815a72232c8164e19ffda7ff89f025261d343aef97d55c23</v>
      </c>
      <c r="I825" s="1" t="s">
        <v>3406</v>
      </c>
      <c r="L825" s="2" t="s">
        <v>3412</v>
      </c>
      <c r="M825" s="2" t="n">
        <v>104</v>
      </c>
      <c r="S825" s="2" t="n">
        <v>5</v>
      </c>
      <c r="T825" s="2" t="n">
        <v>75</v>
      </c>
    </row>
    <row r="826" customFormat="false" ht="18.7" hidden="false" customHeight="true" outlineLevel="0" collapsed="false">
      <c r="A826" s="1" t="n">
        <v>825</v>
      </c>
      <c r="B826" s="7" t="str">
        <f aca="false">HYPERLINK("https://mncourtfraud.com/file/27-CR-21-12714.pdf","27-CR-21-12714")</f>
        <v>27-CR-21-12714</v>
      </c>
      <c r="C826" s="1" t="n">
        <v>1</v>
      </c>
      <c r="D826" s="2" t="s">
        <v>12</v>
      </c>
      <c r="E826" s="8" t="n">
        <v>44468</v>
      </c>
      <c r="F826" s="2" t="s">
        <v>24</v>
      </c>
      <c r="G826" s="7" t="str">
        <f aca="false">HYPERLINK("https://mncourtfraud.com/file/MCRO_27-CR-21-12714_Order for Conditional Release_2021-09-29_20251126181755.pdf","MCRO_27-CR-21-12714_Order for Conditional Release_2021-09-29_20251126181755.pdf")</f>
        <v>MCRO_27-CR-21-12714_Order for Conditional Release_2021-09-29_20251126181755.pdf</v>
      </c>
      <c r="H826" s="7" t="str">
        <f aca="false">HYPERLINK("https://mncourtfraud.com/file/3d978c70f8a4a91fd25d0f653c2931516767fdd837fcadff75a8c3cd2ba3a28e.png","3d978c70f8a4a91fd25d0f653c2931516767fdd837fcadff75a8c3cd2ba3a28e")</f>
        <v>3d978c70f8a4a91fd25d0f653c2931516767fdd837fcadff75a8c3cd2ba3a28e</v>
      </c>
      <c r="I826" s="1" t="s">
        <v>3406</v>
      </c>
      <c r="L826" s="2" t="s">
        <v>3412</v>
      </c>
      <c r="M826" s="2" t="n">
        <v>2435</v>
      </c>
      <c r="S826" s="2" t="n">
        <v>1069</v>
      </c>
      <c r="T826" s="2" t="n">
        <v>679</v>
      </c>
    </row>
    <row r="827" customFormat="false" ht="18.7" hidden="false" customHeight="true" outlineLevel="0" collapsed="false">
      <c r="A827" s="1" t="n">
        <v>826</v>
      </c>
      <c r="B827" s="7" t="str">
        <f aca="false">HYPERLINK("https://mncourtfraud.com/file/27-CR-21-12714.pdf","27-CR-21-12714")</f>
        <v>27-CR-21-12714</v>
      </c>
      <c r="C827" s="1" t="n">
        <v>1</v>
      </c>
      <c r="D827" s="2" t="s">
        <v>12</v>
      </c>
      <c r="E827" s="8" t="n">
        <v>44468</v>
      </c>
      <c r="F827" s="2" t="s">
        <v>24</v>
      </c>
      <c r="G827" s="7" t="str">
        <f aca="false">HYPERLINK("https://mncourtfraud.com/file/MCRO_27-CR-21-12714_Order for Conditional Release_2021-09-29_20251126181755.pdf","MCRO_27-CR-21-12714_Order for Conditional Release_2021-09-29_20251126181755.pdf")</f>
        <v>MCRO_27-CR-21-12714_Order for Conditional Release_2021-09-29_20251126181755.pdf</v>
      </c>
      <c r="H827" s="7" t="str">
        <f aca="false">HYPERLINK("https://mncourtfraud.com/file/3f202249d41f264cabf7a4fd2c634829df7886c25cb759658f06c1a8bca28360.cid","3f202249d41f264cabf7a4fd2c634829df7886c25cb759658f06c1a8bca28360")</f>
        <v>3f202249d41f264cabf7a4fd2c634829df7886c25cb759658f06c1a8bca28360</v>
      </c>
      <c r="I827" s="1" t="s">
        <v>3431</v>
      </c>
      <c r="L827" s="2" t="s">
        <v>3415</v>
      </c>
      <c r="M827" s="2" t="n">
        <v>1397</v>
      </c>
    </row>
    <row r="828" customFormat="false" ht="18.7" hidden="false" customHeight="true" outlineLevel="0" collapsed="false">
      <c r="A828" s="1" t="n">
        <v>827</v>
      </c>
      <c r="B828" s="7" t="str">
        <f aca="false">HYPERLINK("https://mncourtfraud.com/file/27-CR-21-12714.pdf","27-CR-21-12714")</f>
        <v>27-CR-21-12714</v>
      </c>
      <c r="C828" s="1" t="n">
        <v>1</v>
      </c>
      <c r="D828" s="2" t="s">
        <v>12</v>
      </c>
      <c r="E828" s="8" t="n">
        <v>44468</v>
      </c>
      <c r="F828" s="2" t="s">
        <v>24</v>
      </c>
      <c r="G828" s="7" t="str">
        <f aca="false">HYPERLINK("https://mncourtfraud.com/file/MCRO_27-CR-21-12714_Order for Conditional Release_2021-09-29_20251126181755.pdf","MCRO_27-CR-21-12714_Order for Conditional Release_2021-09-29_20251126181755.pdf")</f>
        <v>MCRO_27-CR-21-12714_Order for Conditional Release_2021-09-29_20251126181755.pdf</v>
      </c>
      <c r="H828" s="7" t="str">
        <f aca="false">HYPERLINK("https://mncourtfraud.com/file/425a64ecdc19aa0c86b927b2be8980d179c92ac4af2a49d3c3ad0aa278728c52.png","425a64ecdc19aa0c86b927b2be8980d179c92ac4af2a49d3c3ad0aa278728c52")</f>
        <v>425a64ecdc19aa0c86b927b2be8980d179c92ac4af2a49d3c3ad0aa278728c52</v>
      </c>
      <c r="I828" s="1" t="s">
        <v>3406</v>
      </c>
      <c r="L828" s="2" t="s">
        <v>3412</v>
      </c>
      <c r="M828" s="2" t="n">
        <v>520</v>
      </c>
      <c r="S828" s="2" t="n">
        <v>126</v>
      </c>
      <c r="T828" s="2" t="n">
        <v>150</v>
      </c>
    </row>
    <row r="829" customFormat="false" ht="18.7" hidden="false" customHeight="true" outlineLevel="0" collapsed="false">
      <c r="A829" s="1" t="n">
        <v>828</v>
      </c>
      <c r="B829" s="7" t="str">
        <f aca="false">HYPERLINK("https://mncourtfraud.com/file/27-CR-21-12714.pdf","27-CR-21-12714")</f>
        <v>27-CR-21-12714</v>
      </c>
      <c r="C829" s="1" t="n">
        <v>1</v>
      </c>
      <c r="D829" s="2" t="s">
        <v>12</v>
      </c>
      <c r="E829" s="8" t="n">
        <v>44468</v>
      </c>
      <c r="F829" s="2" t="s">
        <v>24</v>
      </c>
      <c r="G829" s="7" t="str">
        <f aca="false">HYPERLINK("https://mncourtfraud.com/file/MCRO_27-CR-21-12714_Order for Conditional Release_2021-09-29_20251126181755.pdf","MCRO_27-CR-21-12714_Order for Conditional Release_2021-09-29_20251126181755.pdf")</f>
        <v>MCRO_27-CR-21-12714_Order for Conditional Release_2021-09-29_20251126181755.pdf</v>
      </c>
      <c r="H829" s="7" t="str">
        <f aca="false">HYPERLINK("https://mncourtfraud.com/file/4458a2b033c8132fd890227750c1df180ec4563b9dc0a6394b3691240425c9b3.cid","4458a2b033c8132fd890227750c1df180ec4563b9dc0a6394b3691240425c9b3")</f>
        <v>4458a2b033c8132fd890227750c1df180ec4563b9dc0a6394b3691240425c9b3</v>
      </c>
      <c r="I829" s="1" t="s">
        <v>3431</v>
      </c>
      <c r="L829" s="2" t="s">
        <v>3415</v>
      </c>
      <c r="M829" s="2" t="n">
        <v>3580</v>
      </c>
    </row>
    <row r="830" customFormat="false" ht="18.7" hidden="false" customHeight="true" outlineLevel="0" collapsed="false">
      <c r="A830" s="1" t="n">
        <v>829</v>
      </c>
      <c r="B830" s="7" t="str">
        <f aca="false">HYPERLINK("https://mncourtfraud.com/file/27-CR-21-12714.pdf","27-CR-21-12714")</f>
        <v>27-CR-21-12714</v>
      </c>
      <c r="C830" s="1" t="n">
        <v>1</v>
      </c>
      <c r="D830" s="2" t="s">
        <v>12</v>
      </c>
      <c r="E830" s="8" t="n">
        <v>44468</v>
      </c>
      <c r="F830" s="2" t="s">
        <v>24</v>
      </c>
      <c r="G830" s="7" t="str">
        <f aca="false">HYPERLINK("https://mncourtfraud.com/file/MCRO_27-CR-21-12714_Order for Conditional Release_2021-09-29_20251126181755.pdf","MCRO_27-CR-21-12714_Order for Conditional Release_2021-09-29_20251126181755.pdf")</f>
        <v>MCRO_27-CR-21-12714_Order for Conditional Release_2021-09-29_20251126181755.pdf</v>
      </c>
      <c r="H830" s="7" t="str">
        <f aca="false">HYPERLINK("https://mncourtfraud.com/file/45a9f49ddf96d4a4dcf4561d2702204f448986045babf3fdd52fa18200557e31.png","45a9f49ddf96d4a4dcf4561d2702204f448986045babf3fdd52fa18200557e31")</f>
        <v>45a9f49ddf96d4a4dcf4561d2702204f448986045babf3fdd52fa18200557e31</v>
      </c>
      <c r="I830" s="1" t="s">
        <v>3406</v>
      </c>
      <c r="L830" s="2" t="s">
        <v>3412</v>
      </c>
      <c r="M830" s="2" t="n">
        <v>97</v>
      </c>
      <c r="S830" s="2" t="n">
        <v>3</v>
      </c>
      <c r="T830" s="2" t="n">
        <v>4</v>
      </c>
    </row>
    <row r="831" customFormat="false" ht="18.7" hidden="false" customHeight="true" outlineLevel="0" collapsed="false">
      <c r="A831" s="1" t="n">
        <v>830</v>
      </c>
      <c r="B831" s="7" t="str">
        <f aca="false">HYPERLINK("https://mncourtfraud.com/file/27-CR-21-12714.pdf","27-CR-21-12714")</f>
        <v>27-CR-21-12714</v>
      </c>
      <c r="C831" s="1" t="n">
        <v>1</v>
      </c>
      <c r="D831" s="2" t="s">
        <v>12</v>
      </c>
      <c r="E831" s="8" t="n">
        <v>44468</v>
      </c>
      <c r="F831" s="2" t="s">
        <v>24</v>
      </c>
      <c r="G831" s="7" t="str">
        <f aca="false">HYPERLINK("https://mncourtfraud.com/file/MCRO_27-CR-21-12714_Order for Conditional Release_2021-09-29_20251126181755.pdf","MCRO_27-CR-21-12714_Order for Conditional Release_2021-09-29_20251126181755.pdf")</f>
        <v>MCRO_27-CR-21-12714_Order for Conditional Release_2021-09-29_20251126181755.pdf</v>
      </c>
      <c r="H831" s="7" t="str">
        <f aca="false">HYPERLINK("https://mncourtfraud.com/file/50457dc3e0bb6204f128f3222c76884dffaf132a86395902e3967a44a5d511ed.cid","50457dc3e0bb6204f128f3222c76884dffaf132a86395902e3967a44a5d511ed")</f>
        <v>50457dc3e0bb6204f128f3222c76884dffaf132a86395902e3967a44a5d511ed</v>
      </c>
      <c r="I831" s="1" t="s">
        <v>3431</v>
      </c>
      <c r="L831" s="2" t="s">
        <v>3415</v>
      </c>
      <c r="M831" s="2" t="n">
        <v>2839</v>
      </c>
    </row>
    <row r="832" customFormat="false" ht="18.7" hidden="false" customHeight="true" outlineLevel="0" collapsed="false">
      <c r="A832" s="1" t="n">
        <v>831</v>
      </c>
      <c r="B832" s="7" t="str">
        <f aca="false">HYPERLINK("https://mncourtfraud.com/file/27-CR-21-12714.pdf","27-CR-21-12714")</f>
        <v>27-CR-21-12714</v>
      </c>
      <c r="C832" s="1" t="n">
        <v>1</v>
      </c>
      <c r="D832" s="2" t="s">
        <v>12</v>
      </c>
      <c r="E832" s="8" t="n">
        <v>44468</v>
      </c>
      <c r="F832" s="2" t="s">
        <v>24</v>
      </c>
      <c r="G832" s="7" t="str">
        <f aca="false">HYPERLINK("https://mncourtfraud.com/file/MCRO_27-CR-21-12714_Order for Conditional Release_2021-09-29_20251126181755.pdf","MCRO_27-CR-21-12714_Order for Conditional Release_2021-09-29_20251126181755.pdf")</f>
        <v>MCRO_27-CR-21-12714_Order for Conditional Release_2021-09-29_20251126181755.pdf</v>
      </c>
      <c r="H832" s="7" t="str">
        <f aca="false">HYPERLINK("https://mncourtfraud.com/file/52f2827f81e9a21813e5089396a7afa6accf4023998e877d3b9460283e0bb9a5.cid","52f2827f81e9a21813e5089396a7afa6accf4023998e877d3b9460283e0bb9a5")</f>
        <v>52f2827f81e9a21813e5089396a7afa6accf4023998e877d3b9460283e0bb9a5</v>
      </c>
      <c r="I832" s="1" t="s">
        <v>3431</v>
      </c>
      <c r="L832" s="2" t="s">
        <v>3415</v>
      </c>
      <c r="M832" s="2" t="n">
        <v>381</v>
      </c>
    </row>
    <row r="833" customFormat="false" ht="18.7" hidden="false" customHeight="true" outlineLevel="0" collapsed="false">
      <c r="A833" s="1" t="n">
        <v>832</v>
      </c>
      <c r="B833" s="7" t="str">
        <f aca="false">HYPERLINK("https://mncourtfraud.com/file/27-CR-21-12714.pdf","27-CR-21-12714")</f>
        <v>27-CR-21-12714</v>
      </c>
      <c r="C833" s="1" t="n">
        <v>1</v>
      </c>
      <c r="D833" s="2" t="s">
        <v>12</v>
      </c>
      <c r="E833" s="8" t="n">
        <v>44468</v>
      </c>
      <c r="F833" s="2" t="s">
        <v>24</v>
      </c>
      <c r="G833" s="7" t="str">
        <f aca="false">HYPERLINK("https://mncourtfraud.com/file/MCRO_27-CR-21-12714_Order for Conditional Release_2021-09-29_20251126181755.pdf","MCRO_27-CR-21-12714_Order for Conditional Release_2021-09-29_20251126181755.pdf")</f>
        <v>MCRO_27-CR-21-12714_Order for Conditional Release_2021-09-29_20251126181755.pdf</v>
      </c>
      <c r="H833" s="7" t="str">
        <f aca="false">HYPERLINK("https://mncourtfraud.com/file/5bf127b8427f0831bc8864aa549643604be6b63d8ca96ff1ba7182ccec9bc2ad.cid","5bf127b8427f0831bc8864aa549643604be6b63d8ca96ff1ba7182ccec9bc2ad")</f>
        <v>5bf127b8427f0831bc8864aa549643604be6b63d8ca96ff1ba7182ccec9bc2ad</v>
      </c>
      <c r="I833" s="1" t="s">
        <v>3431</v>
      </c>
      <c r="L833" s="2" t="s">
        <v>3415</v>
      </c>
      <c r="M833" s="2" t="n">
        <v>7990</v>
      </c>
    </row>
    <row r="834" customFormat="false" ht="18.7" hidden="false" customHeight="true" outlineLevel="0" collapsed="false">
      <c r="A834" s="1" t="n">
        <v>833</v>
      </c>
      <c r="B834" s="7" t="str">
        <f aca="false">HYPERLINK("https://mncourtfraud.com/file/27-CR-21-12714.pdf","27-CR-21-12714")</f>
        <v>27-CR-21-12714</v>
      </c>
      <c r="C834" s="1" t="n">
        <v>1</v>
      </c>
      <c r="D834" s="2" t="s">
        <v>12</v>
      </c>
      <c r="E834" s="8" t="n">
        <v>44468</v>
      </c>
      <c r="F834" s="2" t="s">
        <v>24</v>
      </c>
      <c r="G834" s="7" t="str">
        <f aca="false">HYPERLINK("https://mncourtfraud.com/file/MCRO_27-CR-21-12714_Order for Conditional Release_2021-09-29_20251126181755.pdf","MCRO_27-CR-21-12714_Order for Conditional Release_2021-09-29_20251126181755.pdf")</f>
        <v>MCRO_27-CR-21-12714_Order for Conditional Release_2021-09-29_20251126181755.pdf</v>
      </c>
      <c r="H834" s="7" t="str">
        <f aca="false">HYPERLINK("https://mncourtfraud.com/file/614121b29b009262816a5b70532c1a04ec73c5d83786c4500719e9e7d614a562.cid","614121b29b009262816a5b70532c1a04ec73c5d83786c4500719e9e7d614a562")</f>
        <v>614121b29b009262816a5b70532c1a04ec73c5d83786c4500719e9e7d614a562</v>
      </c>
      <c r="I834" s="1" t="s">
        <v>3431</v>
      </c>
      <c r="L834" s="2" t="s">
        <v>3415</v>
      </c>
      <c r="M834" s="2" t="n">
        <v>5970</v>
      </c>
    </row>
    <row r="835" customFormat="false" ht="18.7" hidden="false" customHeight="true" outlineLevel="0" collapsed="false">
      <c r="A835" s="1" t="n">
        <v>834</v>
      </c>
      <c r="B835" s="7" t="str">
        <f aca="false">HYPERLINK("https://mncourtfraud.com/file/27-CR-21-12714.pdf","27-CR-21-12714")</f>
        <v>27-CR-21-12714</v>
      </c>
      <c r="C835" s="1" t="n">
        <v>1</v>
      </c>
      <c r="D835" s="2" t="s">
        <v>12</v>
      </c>
      <c r="E835" s="8" t="n">
        <v>44468</v>
      </c>
      <c r="F835" s="2" t="s">
        <v>24</v>
      </c>
      <c r="G835" s="7" t="str">
        <f aca="false">HYPERLINK("https://mncourtfraud.com/file/MCRO_27-CR-21-12714_Order for Conditional Release_2021-09-29_20251126181755.pdf","MCRO_27-CR-21-12714_Order for Conditional Release_2021-09-29_20251126181755.pdf")</f>
        <v>MCRO_27-CR-21-12714_Order for Conditional Release_2021-09-29_20251126181755.pdf</v>
      </c>
      <c r="H835" s="7" t="str">
        <f aca="false">HYPERLINK("https://mncourtfraud.com/file/7e14169e8fd6eddddd43bc2fc14557202f527587078dd29e867ad63570714e07.png","7e14169e8fd6eddddd43bc2fc14557202f527587078dd29e867ad63570714e07")</f>
        <v>7e14169e8fd6eddddd43bc2fc14557202f527587078dd29e867ad63570714e07</v>
      </c>
      <c r="I835" s="1" t="s">
        <v>3406</v>
      </c>
      <c r="L835" s="2" t="s">
        <v>3412</v>
      </c>
      <c r="M835" s="2" t="n">
        <v>100</v>
      </c>
      <c r="S835" s="2" t="n">
        <v>5</v>
      </c>
      <c r="T835" s="2" t="n">
        <v>5</v>
      </c>
    </row>
    <row r="836" customFormat="false" ht="18.7" hidden="false" customHeight="true" outlineLevel="0" collapsed="false">
      <c r="A836" s="1" t="n">
        <v>835</v>
      </c>
      <c r="B836" s="7" t="str">
        <f aca="false">HYPERLINK("https://mncourtfraud.com/file/27-CR-21-12714.pdf","27-CR-21-12714")</f>
        <v>27-CR-21-12714</v>
      </c>
      <c r="C836" s="1" t="n">
        <v>1</v>
      </c>
      <c r="D836" s="2" t="s">
        <v>12</v>
      </c>
      <c r="E836" s="8" t="n">
        <v>44468</v>
      </c>
      <c r="F836" s="2" t="s">
        <v>24</v>
      </c>
      <c r="G836" s="7" t="str">
        <f aca="false">HYPERLINK("https://mncourtfraud.com/file/MCRO_27-CR-21-12714_Order for Conditional Release_2021-09-29_20251126181755.pdf","MCRO_27-CR-21-12714_Order for Conditional Release_2021-09-29_20251126181755.pdf")</f>
        <v>MCRO_27-CR-21-12714_Order for Conditional Release_2021-09-29_20251126181755.pdf</v>
      </c>
      <c r="H836" s="7" t="str">
        <f aca="false">HYPERLINK("https://mncourtfraud.com/file/8198df5372238cac138bb64883627cf42bfc08ac483ff14b35858ae098fa3e09.cid","8198df5372238cac138bb64883627cf42bfc08ac483ff14b35858ae098fa3e09")</f>
        <v>8198df5372238cac138bb64883627cf42bfc08ac483ff14b35858ae098fa3e09</v>
      </c>
      <c r="I836" s="1" t="s">
        <v>3431</v>
      </c>
      <c r="L836" s="2" t="s">
        <v>3415</v>
      </c>
      <c r="M836" s="2" t="n">
        <v>3966</v>
      </c>
    </row>
    <row r="837" customFormat="false" ht="18.7" hidden="false" customHeight="true" outlineLevel="0" collapsed="false">
      <c r="A837" s="1" t="n">
        <v>836</v>
      </c>
      <c r="B837" s="7" t="str">
        <f aca="false">HYPERLINK("https://mncourtfraud.com/file/27-CR-21-12714.pdf","27-CR-21-12714")</f>
        <v>27-CR-21-12714</v>
      </c>
      <c r="C837" s="1" t="n">
        <v>1</v>
      </c>
      <c r="D837" s="2" t="s">
        <v>12</v>
      </c>
      <c r="E837" s="8" t="n">
        <v>44468</v>
      </c>
      <c r="F837" s="2" t="s">
        <v>24</v>
      </c>
      <c r="G837" s="7" t="str">
        <f aca="false">HYPERLINK("https://mncourtfraud.com/file/MCRO_27-CR-21-12714_Order for Conditional Release_2021-09-29_20251126181755.pdf","MCRO_27-CR-21-12714_Order for Conditional Release_2021-09-29_20251126181755.pdf")</f>
        <v>MCRO_27-CR-21-12714_Order for Conditional Release_2021-09-29_20251126181755.pdf</v>
      </c>
      <c r="H837" s="7" t="str">
        <f aca="false">HYPERLINK("https://mncourtfraud.com/file/8793bfb8eeebb59de729b22461b75a010eda532097214bf8285117449fae5b3c.png","8793bfb8eeebb59de729b22461b75a010eda532097214bf8285117449fae5b3c")</f>
        <v>8793bfb8eeebb59de729b22461b75a010eda532097214bf8285117449fae5b3c</v>
      </c>
      <c r="I837" s="1" t="s">
        <v>3406</v>
      </c>
      <c r="L837" s="2" t="s">
        <v>3412</v>
      </c>
      <c r="M837" s="2" t="n">
        <v>104</v>
      </c>
      <c r="S837" s="2" t="n">
        <v>6</v>
      </c>
      <c r="T837" s="2" t="n">
        <v>4</v>
      </c>
    </row>
    <row r="838" customFormat="false" ht="18.7" hidden="false" customHeight="true" outlineLevel="0" collapsed="false">
      <c r="A838" s="1" t="n">
        <v>837</v>
      </c>
      <c r="B838" s="7" t="str">
        <f aca="false">HYPERLINK("https://mncourtfraud.com/file/27-CR-21-12714.pdf","27-CR-21-12714")</f>
        <v>27-CR-21-12714</v>
      </c>
      <c r="C838" s="1" t="n">
        <v>1</v>
      </c>
      <c r="D838" s="2" t="s">
        <v>12</v>
      </c>
      <c r="E838" s="8" t="n">
        <v>44468</v>
      </c>
      <c r="F838" s="2" t="s">
        <v>24</v>
      </c>
      <c r="G838" s="7" t="str">
        <f aca="false">HYPERLINK("https://mncourtfraud.com/file/MCRO_27-CR-21-12714_Order for Conditional Release_2021-09-29_20251126181755.pdf","MCRO_27-CR-21-12714_Order for Conditional Release_2021-09-29_20251126181755.pdf")</f>
        <v>MCRO_27-CR-21-12714_Order for Conditional Release_2021-09-29_20251126181755.pdf</v>
      </c>
      <c r="H838" s="7" t="str">
        <f aca="false">HYPERLINK("https://mncourtfraud.com/file/8c2e00c7a4e8974eff73eba397a59d5f5f25d249433535298973d70a9f79dec8.png","8c2e00c7a4e8974eff73eba397a59d5f5f25d249433535298973d70a9f79dec8")</f>
        <v>8c2e00c7a4e8974eff73eba397a59d5f5f25d249433535298973d70a9f79dec8</v>
      </c>
      <c r="I838" s="1" t="s">
        <v>3406</v>
      </c>
      <c r="L838" s="2" t="s">
        <v>3412</v>
      </c>
      <c r="M838" s="2" t="n">
        <v>810</v>
      </c>
      <c r="S838" s="2" t="n">
        <v>519</v>
      </c>
      <c r="T838" s="2" t="n">
        <v>231</v>
      </c>
    </row>
    <row r="839" customFormat="false" ht="18.7" hidden="false" customHeight="true" outlineLevel="0" collapsed="false">
      <c r="A839" s="1" t="n">
        <v>838</v>
      </c>
      <c r="B839" s="7" t="str">
        <f aca="false">HYPERLINK("https://mncourtfraud.com/file/27-CR-21-12714.pdf","27-CR-21-12714")</f>
        <v>27-CR-21-12714</v>
      </c>
      <c r="C839" s="1" t="n">
        <v>1</v>
      </c>
      <c r="D839" s="2" t="s">
        <v>12</v>
      </c>
      <c r="E839" s="8" t="n">
        <v>44468</v>
      </c>
      <c r="F839" s="2" t="s">
        <v>24</v>
      </c>
      <c r="G839" s="7" t="str">
        <f aca="false">HYPERLINK("https://mncourtfraud.com/file/MCRO_27-CR-21-12714_Order for Conditional Release_2021-09-29_20251126181755.pdf","MCRO_27-CR-21-12714_Order for Conditional Release_2021-09-29_20251126181755.pdf")</f>
        <v>MCRO_27-CR-21-12714_Order for Conditional Release_2021-09-29_20251126181755.pdf</v>
      </c>
      <c r="H839" s="7" t="str">
        <f aca="false">HYPERLINK("https://mncourtfraud.com/file/a431b1b5f48186b4c98851d84352c1573e22c0e9b97117edbc0ad8603da3c307.png","a431b1b5f48186b4c98851d84352c1573e22c0e9b97117edbc0ad8603da3c307")</f>
        <v>a431b1b5f48186b4c98851d84352c1573e22c0e9b97117edbc0ad8603da3c307</v>
      </c>
      <c r="I839" s="1" t="s">
        <v>3406</v>
      </c>
      <c r="L839" s="2" t="s">
        <v>3412</v>
      </c>
      <c r="M839" s="2" t="n">
        <v>157</v>
      </c>
      <c r="S839" s="2" t="n">
        <v>7</v>
      </c>
      <c r="T839" s="2" t="n">
        <v>284</v>
      </c>
    </row>
    <row r="840" customFormat="false" ht="18.7" hidden="false" customHeight="true" outlineLevel="0" collapsed="false">
      <c r="A840" s="1" t="n">
        <v>839</v>
      </c>
      <c r="B840" s="7" t="str">
        <f aca="false">HYPERLINK("https://mncourtfraud.com/file/27-CR-21-12714.pdf","27-CR-21-12714")</f>
        <v>27-CR-21-12714</v>
      </c>
      <c r="C840" s="1" t="n">
        <v>1</v>
      </c>
      <c r="D840" s="2" t="s">
        <v>12</v>
      </c>
      <c r="E840" s="8" t="n">
        <v>44468</v>
      </c>
      <c r="F840" s="2" t="s">
        <v>24</v>
      </c>
      <c r="G840" s="7" t="str">
        <f aca="false">HYPERLINK("https://mncourtfraud.com/file/MCRO_27-CR-21-12714_Order for Conditional Release_2021-09-29_20251126181755.pdf","MCRO_27-CR-21-12714_Order for Conditional Release_2021-09-29_20251126181755.pdf")</f>
        <v>MCRO_27-CR-21-12714_Order for Conditional Release_2021-09-29_20251126181755.pdf</v>
      </c>
      <c r="H840" s="7" t="str">
        <f aca="false">HYPERLINK("https://mncourtfraud.com/file/ac369f378e3fbed88e7c1c71d7e27d3af59d79c8d2f8338a6182f69d0e17a2ef.cid","ac369f378e3fbed88e7c1c71d7e27d3af59d79c8d2f8338a6182f69d0e17a2ef")</f>
        <v>ac369f378e3fbed88e7c1c71d7e27d3af59d79c8d2f8338a6182f69d0e17a2ef</v>
      </c>
      <c r="I840" s="1" t="s">
        <v>3431</v>
      </c>
      <c r="L840" s="2" t="s">
        <v>3415</v>
      </c>
      <c r="M840" s="2" t="n">
        <v>14113</v>
      </c>
    </row>
    <row r="841" customFormat="false" ht="18.7" hidden="false" customHeight="true" outlineLevel="0" collapsed="false">
      <c r="A841" s="1" t="n">
        <v>840</v>
      </c>
      <c r="B841" s="7" t="str">
        <f aca="false">HYPERLINK("https://mncourtfraud.com/file/27-CR-21-12714.pdf","27-CR-21-12714")</f>
        <v>27-CR-21-12714</v>
      </c>
      <c r="C841" s="1" t="n">
        <v>1</v>
      </c>
      <c r="D841" s="2" t="s">
        <v>12</v>
      </c>
      <c r="E841" s="8" t="n">
        <v>44468</v>
      </c>
      <c r="F841" s="2" t="s">
        <v>24</v>
      </c>
      <c r="G841" s="7" t="str">
        <f aca="false">HYPERLINK("https://mncourtfraud.com/file/MCRO_27-CR-21-12714_Order for Conditional Release_2021-09-29_20251126181755.pdf","MCRO_27-CR-21-12714_Order for Conditional Release_2021-09-29_20251126181755.pdf")</f>
        <v>MCRO_27-CR-21-12714_Order for Conditional Release_2021-09-29_20251126181755.pdf</v>
      </c>
      <c r="H841" s="7" t="str">
        <f aca="false">HYPERLINK("https://mncourtfraud.com/file/b1c38e97038ce898a189d377f1fa9f4b673ae497ef07cd779e6d54764f350895.cid","b1c38e97038ce898a189d377f1fa9f4b673ae497ef07cd779e6d54764f350895")</f>
        <v>b1c38e97038ce898a189d377f1fa9f4b673ae497ef07cd779e6d54764f350895</v>
      </c>
      <c r="I841" s="1" t="s">
        <v>3431</v>
      </c>
      <c r="L841" s="2" t="s">
        <v>3415</v>
      </c>
      <c r="M841" s="2" t="n">
        <v>3783</v>
      </c>
    </row>
    <row r="842" customFormat="false" ht="18.7" hidden="false" customHeight="true" outlineLevel="0" collapsed="false">
      <c r="A842" s="1" t="n">
        <v>841</v>
      </c>
      <c r="B842" s="7" t="str">
        <f aca="false">HYPERLINK("https://mncourtfraud.com/file/27-CR-21-12714.pdf","27-CR-21-12714")</f>
        <v>27-CR-21-12714</v>
      </c>
      <c r="C842" s="1" t="n">
        <v>1</v>
      </c>
      <c r="D842" s="2" t="s">
        <v>12</v>
      </c>
      <c r="E842" s="8" t="n">
        <v>44468</v>
      </c>
      <c r="F842" s="2" t="s">
        <v>24</v>
      </c>
      <c r="G842" s="7" t="str">
        <f aca="false">HYPERLINK("https://mncourtfraud.com/file/MCRO_27-CR-21-12714_Order for Conditional Release_2021-09-29_20251126181755.pdf","MCRO_27-CR-21-12714_Order for Conditional Release_2021-09-29_20251126181755.pdf")</f>
        <v>MCRO_27-CR-21-12714_Order for Conditional Release_2021-09-29_20251126181755.pdf</v>
      </c>
      <c r="H842" s="7" t="str">
        <f aca="false">HYPERLINK("https://mncourtfraud.com/file/ba989ca65f54d43887ebbc930462a840e60360223cb0c16c223e7e9ed46afecb.cid","ba989ca65f54d43887ebbc930462a840e60360223cb0c16c223e7e9ed46afecb")</f>
        <v>ba989ca65f54d43887ebbc930462a840e60360223cb0c16c223e7e9ed46afecb</v>
      </c>
      <c r="I842" s="1" t="s">
        <v>3431</v>
      </c>
      <c r="L842" s="2" t="s">
        <v>3415</v>
      </c>
      <c r="M842" s="2" t="n">
        <v>444</v>
      </c>
    </row>
    <row r="843" customFormat="false" ht="18.7" hidden="false" customHeight="true" outlineLevel="0" collapsed="false">
      <c r="A843" s="1" t="n">
        <v>842</v>
      </c>
      <c r="B843" s="7" t="str">
        <f aca="false">HYPERLINK("https://mncourtfraud.com/file/27-CR-21-12714.pdf","27-CR-21-12714")</f>
        <v>27-CR-21-12714</v>
      </c>
      <c r="C843" s="1" t="n">
        <v>1</v>
      </c>
      <c r="D843" s="2" t="s">
        <v>12</v>
      </c>
      <c r="E843" s="8" t="n">
        <v>44468</v>
      </c>
      <c r="F843" s="2" t="s">
        <v>24</v>
      </c>
      <c r="G843" s="7" t="str">
        <f aca="false">HYPERLINK("https://mncourtfraud.com/file/MCRO_27-CR-21-12714_Order for Conditional Release_2021-09-29_20251126181755.pdf","MCRO_27-CR-21-12714_Order for Conditional Release_2021-09-29_20251126181755.pdf")</f>
        <v>MCRO_27-CR-21-12714_Order for Conditional Release_2021-09-29_20251126181755.pdf</v>
      </c>
      <c r="H843" s="7" t="str">
        <f aca="false">HYPERLINK("https://mncourtfraud.com/file/db9c8118091788c7a0a30157e363f5dd281f7a35fb525fad58599ee6371079a5.cid","db9c8118091788c7a0a30157e363f5dd281f7a35fb525fad58599ee6371079a5")</f>
        <v>db9c8118091788c7a0a30157e363f5dd281f7a35fb525fad58599ee6371079a5</v>
      </c>
      <c r="I843" s="1" t="s">
        <v>3431</v>
      </c>
      <c r="L843" s="2" t="s">
        <v>3415</v>
      </c>
      <c r="M843" s="2" t="n">
        <v>848</v>
      </c>
    </row>
    <row r="844" customFormat="false" ht="18.7" hidden="false" customHeight="true" outlineLevel="0" collapsed="false">
      <c r="A844" s="1" t="n">
        <v>843</v>
      </c>
      <c r="B844" s="7" t="str">
        <f aca="false">HYPERLINK("https://mncourtfraud.com/file/27-CR-21-12714.pdf","27-CR-21-12714")</f>
        <v>27-CR-21-12714</v>
      </c>
      <c r="C844" s="1" t="n">
        <v>1</v>
      </c>
      <c r="D844" s="2" t="s">
        <v>12</v>
      </c>
      <c r="E844" s="8" t="n">
        <v>44468</v>
      </c>
      <c r="F844" s="2" t="s">
        <v>24</v>
      </c>
      <c r="G844" s="7" t="str">
        <f aca="false">HYPERLINK("https://mncourtfraud.com/file/MCRO_27-CR-21-12714_Order for Conditional Release_2021-09-29_20251126181755.pdf","MCRO_27-CR-21-12714_Order for Conditional Release_2021-09-29_20251126181755.pdf")</f>
        <v>MCRO_27-CR-21-12714_Order for Conditional Release_2021-09-29_20251126181755.pdf</v>
      </c>
      <c r="H844" s="7" t="str">
        <f aca="false">HYPERLINK("https://mncourtfraud.com/file/e04b4db843c4bf02679b586bdc06323c2777cf59091b22718210a1dd2a0badc7.png","e04b4db843c4bf02679b586bdc06323c2777cf59091b22718210a1dd2a0badc7")</f>
        <v>e04b4db843c4bf02679b586bdc06323c2777cf59091b22718210a1dd2a0badc7</v>
      </c>
      <c r="I844" s="1" t="s">
        <v>3406</v>
      </c>
      <c r="L844" s="2" t="s">
        <v>3412</v>
      </c>
      <c r="M844" s="2" t="n">
        <v>199</v>
      </c>
      <c r="S844" s="2" t="n">
        <v>7</v>
      </c>
      <c r="T844" s="2" t="n">
        <v>347</v>
      </c>
    </row>
    <row r="845" customFormat="false" ht="18.7" hidden="false" customHeight="true" outlineLevel="0" collapsed="false">
      <c r="A845" s="1" t="n">
        <v>844</v>
      </c>
      <c r="B845" s="7" t="str">
        <f aca="false">HYPERLINK("https://mncourtfraud.com/file/27-CR-21-12714.pdf","27-CR-21-12714")</f>
        <v>27-CR-21-12714</v>
      </c>
      <c r="C845" s="1" t="n">
        <v>1</v>
      </c>
      <c r="D845" s="2" t="s">
        <v>12</v>
      </c>
      <c r="E845" s="8" t="n">
        <v>44468</v>
      </c>
      <c r="F845" s="2" t="s">
        <v>24</v>
      </c>
      <c r="G845" s="7" t="str">
        <f aca="false">HYPERLINK("https://mncourtfraud.com/file/MCRO_27-CR-21-12714_Order for Conditional Release_2021-09-29_20251126181755.pdf","MCRO_27-CR-21-12714_Order for Conditional Release_2021-09-29_20251126181755.pdf")</f>
        <v>MCRO_27-CR-21-12714_Order for Conditional Release_2021-09-29_20251126181755.pdf</v>
      </c>
      <c r="H845" s="7" t="str">
        <f aca="false">HYPERLINK("https://mncourtfraud.com/file/edbae421bba147262ba26ef60780ca6dfd5bedce23be39a1f883da7c23dae35f.cid","edbae421bba147262ba26ef60780ca6dfd5bedce23be39a1f883da7c23dae35f")</f>
        <v>edbae421bba147262ba26ef60780ca6dfd5bedce23be39a1f883da7c23dae35f</v>
      </c>
      <c r="I845" s="1" t="s">
        <v>3431</v>
      </c>
      <c r="L845" s="2" t="s">
        <v>3415</v>
      </c>
      <c r="M845" s="2" t="n">
        <v>21348</v>
      </c>
    </row>
    <row r="846" customFormat="false" ht="18.7" hidden="false" customHeight="true" outlineLevel="0" collapsed="false">
      <c r="A846" s="1" t="n">
        <v>845</v>
      </c>
      <c r="B846" s="7" t="str">
        <f aca="false">HYPERLINK("https://mncourtfraud.com/file/27-CR-21-12714.pdf","27-CR-21-12714")</f>
        <v>27-CR-21-12714</v>
      </c>
      <c r="C846" s="1" t="n">
        <v>1</v>
      </c>
      <c r="D846" s="2" t="s">
        <v>12</v>
      </c>
      <c r="E846" s="8" t="n">
        <v>44468</v>
      </c>
      <c r="F846" s="2" t="s">
        <v>24</v>
      </c>
      <c r="G846" s="7" t="str">
        <f aca="false">HYPERLINK("https://mncourtfraud.com/file/MCRO_27-CR-21-12714_Order for Conditional Release_2021-09-29_20251126181755.pdf","MCRO_27-CR-21-12714_Order for Conditional Release_2021-09-29_20251126181755.pdf")</f>
        <v>MCRO_27-CR-21-12714_Order for Conditional Release_2021-09-29_20251126181755.pdf</v>
      </c>
      <c r="H846" s="7" t="str">
        <f aca="false">HYPERLINK("https://mncourtfraud.com/file/efd944d517e9b552a77a910c5203f04540cf1249b7304a04f4907f542ec53c17.cid","efd944d517e9b552a77a910c5203f04540cf1249b7304a04f4907f542ec53c17")</f>
        <v>efd944d517e9b552a77a910c5203f04540cf1249b7304a04f4907f542ec53c17</v>
      </c>
      <c r="I846" s="1" t="s">
        <v>3431</v>
      </c>
      <c r="L846" s="2" t="s">
        <v>3415</v>
      </c>
      <c r="M846" s="2" t="n">
        <v>5521</v>
      </c>
    </row>
    <row r="847" customFormat="false" ht="18.7" hidden="false" customHeight="true" outlineLevel="0" collapsed="false">
      <c r="A847" s="1" t="n">
        <v>846</v>
      </c>
      <c r="B847" s="7" t="str">
        <f aca="false">HYPERLINK("https://mncourtfraud.com/file/27-CR-21-12714.pdf","27-CR-21-12714")</f>
        <v>27-CR-21-12714</v>
      </c>
      <c r="C847" s="1" t="n">
        <v>1</v>
      </c>
      <c r="D847" s="2" t="s">
        <v>12</v>
      </c>
      <c r="E847" s="8" t="n">
        <v>44468</v>
      </c>
      <c r="F847" s="2" t="s">
        <v>24</v>
      </c>
      <c r="G847" s="7" t="str">
        <f aca="false">HYPERLINK("https://mncourtfraud.com/file/MCRO_27-CR-21-12714_Order for Conditional Release_2021-09-29_20251126181755.pdf","MCRO_27-CR-21-12714_Order for Conditional Release_2021-09-29_20251126181755.pdf")</f>
        <v>MCRO_27-CR-21-12714_Order for Conditional Release_2021-09-29_20251126181755.pdf</v>
      </c>
      <c r="H847" s="7" t="str">
        <f aca="false">HYPERLINK("https://mncourtfraud.com/file/fe1965a60cba51fe144ad80b55474d56106539ec2835ed039f2e68d2691deed0.cid","fe1965a60cba51fe144ad80b55474d56106539ec2835ed039f2e68d2691deed0")</f>
        <v>fe1965a60cba51fe144ad80b55474d56106539ec2835ed039f2e68d2691deed0</v>
      </c>
      <c r="I847" s="1" t="s">
        <v>3431</v>
      </c>
      <c r="L847" s="2" t="s">
        <v>3415</v>
      </c>
      <c r="M847" s="2" t="n">
        <v>4323</v>
      </c>
    </row>
    <row r="848" customFormat="false" ht="18.7" hidden="false" customHeight="true" outlineLevel="0" collapsed="false">
      <c r="A848" s="1" t="n">
        <v>847</v>
      </c>
      <c r="B848" s="7" t="str">
        <f aca="false">HYPERLINK("https://mncourtfraud.com/file/27-CR-21-12714.pdf","27-CR-21-12714")</f>
        <v>27-CR-21-12714</v>
      </c>
      <c r="C848" s="1" t="n">
        <v>1</v>
      </c>
      <c r="D848" s="2" t="s">
        <v>12</v>
      </c>
      <c r="E848" s="8" t="n">
        <v>44468</v>
      </c>
      <c r="F848" s="2" t="s">
        <v>24</v>
      </c>
      <c r="G848" s="7" t="str">
        <f aca="false">HYPERLINK("https://mncourtfraud.com/file/MCRO_27-CR-21-12714_Order for Conditional Release_2021-09-29_20251126181755.pdf","MCRO_27-CR-21-12714_Order for Conditional Release_2021-09-29_20251126181755.pdf")</f>
        <v>MCRO_27-CR-21-12714_Order for Conditional Release_2021-09-29_20251126181755.pdf</v>
      </c>
      <c r="H848" s="7" t="str">
        <f aca="false">HYPERLINK("https://mncourtfraud.com/file/ff78f82f1ff3b9436a8d65df586b0bef19dd8fcf1b27941145ca7e723b37620b.cid","ff78f82f1ff3b9436a8d65df586b0bef19dd8fcf1b27941145ca7e723b37620b")</f>
        <v>ff78f82f1ff3b9436a8d65df586b0bef19dd8fcf1b27941145ca7e723b37620b</v>
      </c>
      <c r="I848" s="1" t="s">
        <v>3431</v>
      </c>
      <c r="L848" s="2" t="s">
        <v>3415</v>
      </c>
      <c r="M848" s="2" t="n">
        <v>339</v>
      </c>
    </row>
    <row r="849" customFormat="false" ht="18.7" hidden="false" customHeight="true" outlineLevel="0" collapsed="false">
      <c r="A849" s="1" t="n">
        <v>848</v>
      </c>
      <c r="B849" s="7" t="str">
        <f aca="false">HYPERLINK("https://mncourtfraud.com/file/27-CR-21-12714.pdf","27-CR-21-12714")</f>
        <v>27-CR-21-12714</v>
      </c>
      <c r="C849" s="1" t="n">
        <v>1</v>
      </c>
      <c r="D849" s="2" t="s">
        <v>12</v>
      </c>
      <c r="E849" s="8" t="n">
        <v>44543</v>
      </c>
      <c r="F849" s="2" t="s">
        <v>15</v>
      </c>
      <c r="G849" s="7" t="str">
        <f aca="false">HYPERLINK("https://mncourtfraud.com/file/MCRO_27-CR-21-12714_Order-Evaluation for Competency to Proceed (Rule 20.01)_2021-12-13_20251126181817.pdf","MCRO_27-CR-21-12714_Order-Evaluation for Competency to Proceed (Rule 20.01)_2021-12-13_20251126181817.pdf")</f>
        <v>MCRO_27-CR-21-12714_Order-Evaluation for Competency to Proceed (Rule 20.01)_2021-12-13_20251126181817.pdf</v>
      </c>
      <c r="H849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849" s="1" t="s">
        <v>3413</v>
      </c>
      <c r="J849" s="2" t="s">
        <v>3423</v>
      </c>
      <c r="K849" s="2" t="s">
        <v>3423</v>
      </c>
      <c r="L849" s="2" t="s">
        <v>3415</v>
      </c>
      <c r="M849" s="2" t="n">
        <v>11088</v>
      </c>
    </row>
    <row r="850" customFormat="false" ht="18.7" hidden="false" customHeight="true" outlineLevel="0" collapsed="false">
      <c r="A850" s="1" t="n">
        <v>849</v>
      </c>
      <c r="B850" s="7" t="str">
        <f aca="false">HYPERLINK("https://mncourtfraud.com/file/27-CR-21-12714.pdf","27-CR-21-12714")</f>
        <v>27-CR-21-12714</v>
      </c>
      <c r="C850" s="1" t="n">
        <v>1</v>
      </c>
      <c r="D850" s="2" t="s">
        <v>12</v>
      </c>
      <c r="E850" s="8" t="n">
        <v>44543</v>
      </c>
      <c r="F850" s="2" t="s">
        <v>15</v>
      </c>
      <c r="G850" s="7" t="str">
        <f aca="false">HYPERLINK("https://mncourtfraud.com/file/MCRO_27-CR-21-12714_Order-Evaluation for Competency to Proceed (Rule 20.01)_2021-12-13_20251126181817.pdf","MCRO_27-CR-21-12714_Order-Evaluation for Competency to Proceed (Rule 20.01)_2021-12-13_20251126181817.pdf")</f>
        <v>MCRO_27-CR-21-12714_Order-Evaluation for Competency to Proceed (Rule 20.01)_2021-12-13_20251126181817.pdf</v>
      </c>
      <c r="H850" s="7" t="str">
        <f aca="false">HYPERLINK("https://mncourtfraud.com/file/22be6394304ce5b678311fefb19c39c8cb0a49d25f23150f1efe21ad14b99c7b.ttf","22be6394304ce5b678311fefb19c39c8cb0a49d25f23150f1efe21ad14b99c7b")</f>
        <v>22be6394304ce5b678311fefb19c39c8cb0a49d25f23150f1efe21ad14b99c7b</v>
      </c>
      <c r="I850" s="1" t="s">
        <v>3413</v>
      </c>
      <c r="J850" s="2" t="s">
        <v>3421</v>
      </c>
      <c r="K850" s="2" t="s">
        <v>3421</v>
      </c>
      <c r="L850" s="2" t="s">
        <v>3415</v>
      </c>
      <c r="M850" s="2" t="n">
        <v>117192</v>
      </c>
    </row>
    <row r="851" customFormat="false" ht="18.7" hidden="false" customHeight="true" outlineLevel="0" collapsed="false">
      <c r="A851" s="1" t="n">
        <v>850</v>
      </c>
      <c r="B851" s="7" t="str">
        <f aca="false">HYPERLINK("https://mncourtfraud.com/file/27-CR-21-12714.pdf","27-CR-21-12714")</f>
        <v>27-CR-21-12714</v>
      </c>
      <c r="C851" s="1" t="n">
        <v>1</v>
      </c>
      <c r="D851" s="2" t="s">
        <v>12</v>
      </c>
      <c r="E851" s="8" t="n">
        <v>44543</v>
      </c>
      <c r="F851" s="2" t="s">
        <v>15</v>
      </c>
      <c r="G851" s="7" t="str">
        <f aca="false">HYPERLINK("https://mncourtfraud.com/file/MCRO_27-CR-21-12714_Order-Evaluation for Competency to Proceed (Rule 20.01)_2021-12-13_20251126181817.pdf","MCRO_27-CR-21-12714_Order-Evaluation for Competency to Proceed (Rule 20.01)_2021-12-13_20251126181817.pdf")</f>
        <v>MCRO_27-CR-21-12714_Order-Evaluation for Competency to Proceed (Rule 20.01)_2021-12-13_20251126181817.pdf</v>
      </c>
      <c r="H851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851" s="1" t="s">
        <v>3413</v>
      </c>
      <c r="J851" s="2" t="s">
        <v>3424</v>
      </c>
      <c r="K851" s="2" t="s">
        <v>3424</v>
      </c>
      <c r="L851" s="2" t="s">
        <v>3415</v>
      </c>
      <c r="M851" s="2" t="n">
        <v>14252</v>
      </c>
    </row>
    <row r="852" customFormat="false" ht="18.7" hidden="false" customHeight="true" outlineLevel="0" collapsed="false">
      <c r="A852" s="1" t="n">
        <v>851</v>
      </c>
      <c r="B852" s="7" t="str">
        <f aca="false">HYPERLINK("https://mncourtfraud.com/file/27-CR-21-12714.pdf","27-CR-21-12714")</f>
        <v>27-CR-21-12714</v>
      </c>
      <c r="C852" s="1" t="n">
        <v>1</v>
      </c>
      <c r="D852" s="2" t="s">
        <v>12</v>
      </c>
      <c r="E852" s="8" t="n">
        <v>44543</v>
      </c>
      <c r="F852" s="2" t="s">
        <v>15</v>
      </c>
      <c r="G852" s="7" t="str">
        <f aca="false">HYPERLINK("https://mncourtfraud.com/file/MCRO_27-CR-21-12714_Order-Evaluation for Competency to Proceed (Rule 20.01)_2021-12-13_20251126181817.pdf","MCRO_27-CR-21-12714_Order-Evaluation for Competency to Proceed (Rule 20.01)_2021-12-13_20251126181817.pdf")</f>
        <v>MCRO_27-CR-21-12714_Order-Evaluation for Competency to Proceed (Rule 20.01)_2021-12-13_20251126181817.pdf</v>
      </c>
      <c r="H852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852" s="1" t="s">
        <v>3406</v>
      </c>
      <c r="K852" s="2" t="s">
        <v>3420</v>
      </c>
      <c r="L852" s="2" t="s">
        <v>3408</v>
      </c>
      <c r="M852" s="2" t="n">
        <v>7306</v>
      </c>
      <c r="O852" s="2" t="s">
        <v>3409</v>
      </c>
      <c r="P852" s="2" t="s">
        <v>3410</v>
      </c>
      <c r="S852" s="2" t="n">
        <v>319</v>
      </c>
      <c r="T852" s="2" t="n">
        <v>105</v>
      </c>
    </row>
    <row r="853" customFormat="false" ht="18.7" hidden="false" customHeight="true" outlineLevel="0" collapsed="false">
      <c r="A853" s="1" t="n">
        <v>852</v>
      </c>
      <c r="B853" s="7" t="str">
        <f aca="false">HYPERLINK("https://mncourtfraud.com/file/27-CR-21-12714.pdf","27-CR-21-12714")</f>
        <v>27-CR-21-12714</v>
      </c>
      <c r="C853" s="1" t="n">
        <v>1</v>
      </c>
      <c r="D853" s="2" t="s">
        <v>12</v>
      </c>
      <c r="E853" s="8" t="n">
        <v>44543</v>
      </c>
      <c r="F853" s="2" t="s">
        <v>15</v>
      </c>
      <c r="G853" s="7" t="str">
        <f aca="false">HYPERLINK("https://mncourtfraud.com/file/MCRO_27-CR-21-12714_Order-Evaluation for Competency to Proceed (Rule 20.01)_2021-12-13_20251126181817.pdf","MCRO_27-CR-21-12714_Order-Evaluation for Competency to Proceed (Rule 20.01)_2021-12-13_20251126181817.pdf")</f>
        <v>MCRO_27-CR-21-12714_Order-Evaluation for Competency to Proceed (Rule 20.01)_2021-12-13_20251126181817.pdf</v>
      </c>
      <c r="H853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853" s="1" t="s">
        <v>3406</v>
      </c>
      <c r="K853" s="2" t="s">
        <v>3425</v>
      </c>
      <c r="L853" s="2" t="s">
        <v>3408</v>
      </c>
      <c r="M853" s="2" t="n">
        <v>21225</v>
      </c>
      <c r="O853" s="2" t="s">
        <v>3409</v>
      </c>
      <c r="P853" s="2" t="s">
        <v>3410</v>
      </c>
      <c r="S853" s="2" t="n">
        <v>319</v>
      </c>
      <c r="T853" s="2" t="n">
        <v>105</v>
      </c>
    </row>
    <row r="854" customFormat="false" ht="18.7" hidden="false" customHeight="true" outlineLevel="0" collapsed="false">
      <c r="A854" s="1" t="n">
        <v>853</v>
      </c>
      <c r="B854" s="7" t="str">
        <f aca="false">HYPERLINK("https://mncourtfraud.com/file/27-CR-21-12714.pdf","27-CR-21-12714")</f>
        <v>27-CR-21-12714</v>
      </c>
      <c r="C854" s="1" t="n">
        <v>1</v>
      </c>
      <c r="D854" s="2" t="s">
        <v>12</v>
      </c>
      <c r="E854" s="8" t="n">
        <v>44543</v>
      </c>
      <c r="F854" s="2" t="s">
        <v>15</v>
      </c>
      <c r="G854" s="7" t="str">
        <f aca="false">HYPERLINK("https://mncourtfraud.com/file/MCRO_27-CR-21-12714_Order-Evaluation for Competency to Proceed (Rule 20.01)_2021-12-13_20251126181817.pdf","MCRO_27-CR-21-12714_Order-Evaluation for Competency to Proceed (Rule 20.01)_2021-12-13_20251126181817.pdf")</f>
        <v>MCRO_27-CR-21-12714_Order-Evaluation for Competency to Proceed (Rule 20.01)_2021-12-13_20251126181817.pdf</v>
      </c>
      <c r="H854" s="7" t="str">
        <f aca="false">HYPERLINK("https://mncourtfraud.com/file/f942eca43ffd6bdbf3ee942fee873a73c8baea7707298295b91918b6d8b6d6ee.ttf","f942eca43ffd6bdbf3ee942fee873a73c8baea7707298295b91918b6d8b6d6ee")</f>
        <v>f942eca43ffd6bdbf3ee942fee873a73c8baea7707298295b91918b6d8b6d6ee</v>
      </c>
      <c r="I854" s="1" t="s">
        <v>3413</v>
      </c>
      <c r="J854" s="2" t="s">
        <v>3422</v>
      </c>
      <c r="K854" s="2" t="s">
        <v>3422</v>
      </c>
      <c r="L854" s="2" t="s">
        <v>3415</v>
      </c>
      <c r="M854" s="2" t="n">
        <v>125444</v>
      </c>
    </row>
    <row r="855" customFormat="false" ht="18.7" hidden="false" customHeight="true" outlineLevel="0" collapsed="false">
      <c r="A855" s="1" t="n">
        <v>854</v>
      </c>
      <c r="B855" s="7" t="str">
        <f aca="false">HYPERLINK("https://mncourtfraud.com/file/27-CR-21-12714.pdf","27-CR-21-12714")</f>
        <v>27-CR-21-12714</v>
      </c>
      <c r="C855" s="1" t="n">
        <v>1</v>
      </c>
      <c r="D855" s="2" t="s">
        <v>12</v>
      </c>
      <c r="E855" s="8" t="n">
        <v>44558</v>
      </c>
      <c r="F855" s="2" t="s">
        <v>15</v>
      </c>
      <c r="G855" s="7" t="str">
        <f aca="false">HYPERLINK("https://mncourtfraud.com/file/MCRO_27-CR-21-12714_Order-Evaluation for Competency to Proceed (Rule 20.01)_2021-12-28_20251126181825.pdf","MCRO_27-CR-21-12714_Order-Evaluation for Competency to Proceed (Rule 20.01)_2021-12-28_20251126181825.pdf")</f>
        <v>MCRO_27-CR-21-12714_Order-Evaluation for Competency to Proceed (Rule 20.01)_2021-12-28_20251126181825.pdf</v>
      </c>
      <c r="H855" s="7" t="str">
        <f aca="false">HYPERLINK("https://mncourtfraud.com/file/0507a49550542515781120837a4f423a006de1cd459e4b1246bef496630423a4.png","0507a49550542515781120837a4f423a006de1cd459e4b1246bef496630423a4")</f>
        <v>0507a49550542515781120837a4f423a006de1cd459e4b1246bef496630423a4</v>
      </c>
      <c r="I855" s="1" t="s">
        <v>3406</v>
      </c>
      <c r="L855" s="2" t="s">
        <v>3412</v>
      </c>
      <c r="M855" s="2" t="n">
        <v>160501</v>
      </c>
      <c r="S855" s="2" t="n">
        <v>2550</v>
      </c>
      <c r="T855" s="2" t="n">
        <v>3300</v>
      </c>
    </row>
    <row r="856" customFormat="false" ht="18.7" hidden="false" customHeight="true" outlineLevel="0" collapsed="false">
      <c r="A856" s="1" t="n">
        <v>855</v>
      </c>
      <c r="B856" s="7" t="str">
        <f aca="false">HYPERLINK("https://mncourtfraud.com/file/27-CR-21-12714.pdf","27-CR-21-12714")</f>
        <v>27-CR-21-12714</v>
      </c>
      <c r="C856" s="1" t="n">
        <v>1</v>
      </c>
      <c r="D856" s="2" t="s">
        <v>12</v>
      </c>
      <c r="E856" s="8" t="n">
        <v>44558</v>
      </c>
      <c r="F856" s="2" t="s">
        <v>15</v>
      </c>
      <c r="G856" s="7" t="str">
        <f aca="false">HYPERLINK("https://mncourtfraud.com/file/MCRO_27-CR-21-12714_Order-Evaluation for Competency to Proceed (Rule 20.01)_2021-12-28_20251126181825.pdf","MCRO_27-CR-21-12714_Order-Evaluation for Competency to Proceed (Rule 20.01)_2021-12-28_20251126181825.pdf")</f>
        <v>MCRO_27-CR-21-12714_Order-Evaluation for Competency to Proceed (Rule 20.01)_2021-12-28_20251126181825.pdf</v>
      </c>
      <c r="H856" s="7" t="str">
        <f aca="false">HYPERLINK("https://mncourtfraud.com/file/51410e3fafa95d64d4b84137bbb3f107c9a278592f5687066f8484c00459e11b.ttf","51410e3fafa95d64d4b84137bbb3f107c9a278592f5687066f8484c00459e11b")</f>
        <v>51410e3fafa95d64d4b84137bbb3f107c9a278592f5687066f8484c00459e11b</v>
      </c>
      <c r="I856" s="1" t="s">
        <v>3413</v>
      </c>
      <c r="L856" s="2" t="s">
        <v>3415</v>
      </c>
      <c r="M856" s="2" t="n">
        <v>333576</v>
      </c>
    </row>
    <row r="857" customFormat="false" ht="18.7" hidden="false" customHeight="true" outlineLevel="0" collapsed="false">
      <c r="A857" s="1" t="n">
        <v>856</v>
      </c>
      <c r="B857" s="7" t="str">
        <f aca="false">HYPERLINK("https://mncourtfraud.com/file/27-CR-21-12714.pdf","27-CR-21-12714")</f>
        <v>27-CR-21-12714</v>
      </c>
      <c r="C857" s="1" t="n">
        <v>1</v>
      </c>
      <c r="D857" s="2" t="s">
        <v>12</v>
      </c>
      <c r="E857" s="8" t="n">
        <v>44558</v>
      </c>
      <c r="F857" s="2" t="s">
        <v>15</v>
      </c>
      <c r="G857" s="7" t="str">
        <f aca="false">HYPERLINK("https://mncourtfraud.com/file/MCRO_27-CR-21-12714_Order-Evaluation for Competency to Proceed (Rule 20.01)_2021-12-28_20251126181825.pdf","MCRO_27-CR-21-12714_Order-Evaluation for Competency to Proceed (Rule 20.01)_2021-12-28_20251126181825.pdf")</f>
        <v>MCRO_27-CR-21-12714_Order-Evaluation for Competency to Proceed (Rule 20.01)_2021-12-28_20251126181825.pdf</v>
      </c>
      <c r="H857" s="7" t="str">
        <f aca="false">HYPERLINK("https://mncourtfraud.com/file/b11584381215597bf9042083d93eb1cd7d9a789b6c1605b42043e8660a4586ea.png","b11584381215597bf9042083d93eb1cd7d9a789b6c1605b42043e8660a4586ea")</f>
        <v>b11584381215597bf9042083d93eb1cd7d9a789b6c1605b42043e8660a4586ea</v>
      </c>
      <c r="I857" s="1" t="s">
        <v>3406</v>
      </c>
      <c r="L857" s="2" t="s">
        <v>3412</v>
      </c>
      <c r="M857" s="2" t="n">
        <v>131086</v>
      </c>
      <c r="S857" s="2" t="n">
        <v>2550</v>
      </c>
      <c r="T857" s="2" t="n">
        <v>3300</v>
      </c>
    </row>
    <row r="858" customFormat="false" ht="18.7" hidden="false" customHeight="true" outlineLevel="0" collapsed="false">
      <c r="A858" s="1" t="n">
        <v>857</v>
      </c>
      <c r="B858" s="7" t="str">
        <f aca="false">HYPERLINK("https://mncourtfraud.com/file/27-CR-21-12714.pdf","27-CR-21-12714")</f>
        <v>27-CR-21-12714</v>
      </c>
      <c r="C858" s="1" t="n">
        <v>1</v>
      </c>
      <c r="D858" s="2" t="s">
        <v>12</v>
      </c>
      <c r="E858" s="8" t="n">
        <v>44558</v>
      </c>
      <c r="F858" s="2" t="s">
        <v>15</v>
      </c>
      <c r="G858" s="7" t="str">
        <f aca="false">HYPERLINK("https://mncourtfraud.com/file/MCRO_27-CR-21-12714_Order-Evaluation for Competency to Proceed (Rule 20.01)_2021-12-28_20251126181825.pdf","MCRO_27-CR-21-12714_Order-Evaluation for Competency to Proceed (Rule 20.01)_2021-12-28_20251126181825.pdf")</f>
        <v>MCRO_27-CR-21-12714_Order-Evaluation for Competency to Proceed (Rule 20.01)_2021-12-28_20251126181825.pdf</v>
      </c>
      <c r="H858" s="7" t="str">
        <f aca="false">HYPERLINK("https://mncourtfraud.com/file/f4807d197a80209b3b45c6ef523b6627badd85104815be600f1543354f177064.png","f4807d197a80209b3b45c6ef523b6627badd85104815be600f1543354f177064")</f>
        <v>f4807d197a80209b3b45c6ef523b6627badd85104815be600f1543354f177064</v>
      </c>
      <c r="I858" s="1" t="s">
        <v>3406</v>
      </c>
      <c r="L858" s="2" t="s">
        <v>3412</v>
      </c>
      <c r="M858" s="2" t="n">
        <v>98674</v>
      </c>
      <c r="S858" s="2" t="n">
        <v>2550</v>
      </c>
      <c r="T858" s="2" t="n">
        <v>3300</v>
      </c>
    </row>
    <row r="859" customFormat="false" ht="18.7" hidden="false" customHeight="true" outlineLevel="0" collapsed="false">
      <c r="A859" s="1" t="n">
        <v>858</v>
      </c>
      <c r="B859" s="7" t="str">
        <f aca="false">HYPERLINK("https://mncourtfraud.com/file/27-CR-21-12714.pdf","27-CR-21-12714")</f>
        <v>27-CR-21-12714</v>
      </c>
      <c r="C859" s="1" t="n">
        <v>1</v>
      </c>
      <c r="D859" s="2" t="s">
        <v>12</v>
      </c>
      <c r="E859" s="8" t="n">
        <v>44593</v>
      </c>
      <c r="F859" s="2" t="s">
        <v>19</v>
      </c>
      <c r="G859" s="7" t="str">
        <f aca="false">HYPERLINK("https://mncourtfraud.com/file/MCRO_27-CR-21-12714_Findings and Order_2022-02-01_20251126181711.pdf","MCRO_27-CR-21-12714_Findings and Order_2022-02-01_20251126181711.pdf")</f>
        <v>MCRO_27-CR-21-12714_Findings and Order_2022-02-01_20251126181711.pdf</v>
      </c>
      <c r="H859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859" s="1" t="s">
        <v>3413</v>
      </c>
      <c r="J859" s="2" t="s">
        <v>3426</v>
      </c>
      <c r="K859" s="2" t="s">
        <v>3426</v>
      </c>
      <c r="L859" s="2" t="s">
        <v>3415</v>
      </c>
      <c r="M859" s="2" t="n">
        <v>74997</v>
      </c>
      <c r="N859" s="2" t="s">
        <v>3427</v>
      </c>
    </row>
    <row r="860" customFormat="false" ht="18.7" hidden="false" customHeight="true" outlineLevel="0" collapsed="false">
      <c r="A860" s="1" t="n">
        <v>859</v>
      </c>
      <c r="B860" s="7" t="str">
        <f aca="false">HYPERLINK("https://mncourtfraud.com/file/27-CR-21-12714.pdf","27-CR-21-12714")</f>
        <v>27-CR-21-12714</v>
      </c>
      <c r="C860" s="1" t="n">
        <v>1</v>
      </c>
      <c r="D860" s="2" t="s">
        <v>12</v>
      </c>
      <c r="E860" s="8" t="n">
        <v>44593</v>
      </c>
      <c r="F860" s="2" t="s">
        <v>19</v>
      </c>
      <c r="G860" s="7" t="str">
        <f aca="false">HYPERLINK("https://mncourtfraud.com/file/MCRO_27-CR-21-12714_Findings and Order_2022-02-01_20251126181711.pdf","MCRO_27-CR-21-12714_Findings and Order_2022-02-01_20251126181711.pdf")</f>
        <v>MCRO_27-CR-21-12714_Findings and Order_2022-02-01_20251126181711.pdf</v>
      </c>
      <c r="H860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860" s="1" t="s">
        <v>3428</v>
      </c>
      <c r="J860" s="2" t="s">
        <v>3429</v>
      </c>
      <c r="K860" s="2" t="s">
        <v>3429</v>
      </c>
      <c r="L860" s="2" t="s">
        <v>3415</v>
      </c>
      <c r="M860" s="2" t="n">
        <v>86093</v>
      </c>
    </row>
    <row r="861" customFormat="false" ht="18.7" hidden="false" customHeight="true" outlineLevel="0" collapsed="false">
      <c r="A861" s="1" t="n">
        <v>860</v>
      </c>
      <c r="B861" s="7" t="str">
        <f aca="false">HYPERLINK("https://mncourtfraud.com/file/27-CR-21-12714.pdf","27-CR-21-12714")</f>
        <v>27-CR-21-12714</v>
      </c>
      <c r="C861" s="1" t="n">
        <v>1</v>
      </c>
      <c r="D861" s="2" t="s">
        <v>12</v>
      </c>
      <c r="E861" s="8" t="n">
        <v>44593</v>
      </c>
      <c r="F861" s="2" t="s">
        <v>19</v>
      </c>
      <c r="G861" s="7" t="str">
        <f aca="false">HYPERLINK("https://mncourtfraud.com/file/MCRO_27-CR-21-12714_Findings and Order_2022-02-01_20251126181711.pdf","MCRO_27-CR-21-12714_Findings and Order_2022-02-01_20251126181711.pdf")</f>
        <v>MCRO_27-CR-21-12714_Findings and Order_2022-02-01_20251126181711.pdf</v>
      </c>
      <c r="H861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861" s="1" t="s">
        <v>3413</v>
      </c>
      <c r="J861" s="2" t="s">
        <v>3414</v>
      </c>
      <c r="K861" s="2" t="s">
        <v>3414</v>
      </c>
      <c r="L861" s="2" t="s">
        <v>3415</v>
      </c>
      <c r="M861" s="2" t="n">
        <v>42332</v>
      </c>
    </row>
    <row r="862" customFormat="false" ht="18.7" hidden="false" customHeight="true" outlineLevel="0" collapsed="false">
      <c r="A862" s="1" t="n">
        <v>861</v>
      </c>
      <c r="B862" s="7" t="str">
        <f aca="false">HYPERLINK("https://mncourtfraud.com/file/27-CR-21-12714.pdf","27-CR-21-12714")</f>
        <v>27-CR-21-12714</v>
      </c>
      <c r="C862" s="1" t="n">
        <v>1</v>
      </c>
      <c r="D862" s="2" t="s">
        <v>12</v>
      </c>
      <c r="E862" s="8" t="n">
        <v>44593</v>
      </c>
      <c r="F862" s="2" t="s">
        <v>19</v>
      </c>
      <c r="G862" s="7" t="str">
        <f aca="false">HYPERLINK("https://mncourtfraud.com/file/MCRO_27-CR-21-12714_Findings and Order_2022-02-01_20251126181711.pdf","MCRO_27-CR-21-12714_Findings and Order_2022-02-01_20251126181711.pdf")</f>
        <v>MCRO_27-CR-21-12714_Findings and Order_2022-02-01_20251126181711.pdf</v>
      </c>
      <c r="H862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862" s="1" t="s">
        <v>3413</v>
      </c>
      <c r="J862" s="2" t="s">
        <v>3414</v>
      </c>
      <c r="K862" s="2" t="s">
        <v>3414</v>
      </c>
      <c r="L862" s="2" t="s">
        <v>3415</v>
      </c>
      <c r="M862" s="2" t="n">
        <v>42332</v>
      </c>
    </row>
    <row r="863" customFormat="false" ht="18.7" hidden="false" customHeight="true" outlineLevel="0" collapsed="false">
      <c r="A863" s="1" t="n">
        <v>862</v>
      </c>
      <c r="B863" s="7" t="str">
        <f aca="false">HYPERLINK("https://mncourtfraud.com/file/27-CR-21-12714.pdf","27-CR-21-12714")</f>
        <v>27-CR-21-12714</v>
      </c>
      <c r="C863" s="1" t="n">
        <v>1</v>
      </c>
      <c r="D863" s="2" t="s">
        <v>12</v>
      </c>
      <c r="E863" s="8" t="n">
        <v>44593</v>
      </c>
      <c r="F863" s="2" t="s">
        <v>19</v>
      </c>
      <c r="G863" s="7" t="str">
        <f aca="false">HYPERLINK("https://mncourtfraud.com/file/MCRO_27-CR-21-12714_Findings and Order_2022-02-01_20251126181711.pdf","MCRO_27-CR-21-12714_Findings and Order_2022-02-01_20251126181711.pdf")</f>
        <v>MCRO_27-CR-21-12714_Findings and Order_2022-02-01_20251126181711.pdf</v>
      </c>
      <c r="H863" s="7" t="str">
        <f aca="false">HYPERLINK("https://mncourtfraud.com/file/d1e06f7a12c8d4ae1de62861dbfeadf4f6b52b1cfd6801e548bc1d08782c1451.ttf","d1e06f7a12c8d4ae1de62861dbfeadf4f6b52b1cfd6801e548bc1d08782c1451")</f>
        <v>d1e06f7a12c8d4ae1de62861dbfeadf4f6b52b1cfd6801e548bc1d08782c1451</v>
      </c>
      <c r="I863" s="1" t="s">
        <v>3413</v>
      </c>
      <c r="J863" s="2" t="s">
        <v>3414</v>
      </c>
      <c r="K863" s="2" t="s">
        <v>3416</v>
      </c>
      <c r="L863" s="2" t="s">
        <v>3415</v>
      </c>
      <c r="M863" s="2" t="n">
        <v>28584</v>
      </c>
    </row>
    <row r="864" customFormat="false" ht="18.7" hidden="false" customHeight="true" outlineLevel="0" collapsed="false">
      <c r="A864" s="1" t="n">
        <v>863</v>
      </c>
      <c r="B864" s="7" t="str">
        <f aca="false">HYPERLINK("https://mncourtfraud.com/file/27-CR-21-12714.pdf","27-CR-21-12714")</f>
        <v>27-CR-21-12714</v>
      </c>
      <c r="C864" s="1" t="n">
        <v>1</v>
      </c>
      <c r="D864" s="2" t="s">
        <v>12</v>
      </c>
      <c r="E864" s="8" t="n">
        <v>44593</v>
      </c>
      <c r="F864" s="2" t="s">
        <v>19</v>
      </c>
      <c r="G864" s="7" t="str">
        <f aca="false">HYPERLINK("https://mncourtfraud.com/file/MCRO_27-CR-21-12714_Findings and Order_2022-02-01_20251126181711.pdf","MCRO_27-CR-21-12714_Findings and Order_2022-02-01_20251126181711.pdf")</f>
        <v>MCRO_27-CR-21-12714_Findings and Order_2022-02-01_20251126181711.pdf</v>
      </c>
      <c r="H864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864" s="1" t="s">
        <v>3406</v>
      </c>
      <c r="K864" s="2" t="s">
        <v>3430</v>
      </c>
      <c r="L864" s="2" t="s">
        <v>3408</v>
      </c>
      <c r="M864" s="2" t="n">
        <v>28069</v>
      </c>
      <c r="O864" s="2" t="s">
        <v>3409</v>
      </c>
      <c r="P864" s="2" t="s">
        <v>3410</v>
      </c>
      <c r="S864" s="2" t="n">
        <v>448</v>
      </c>
      <c r="T864" s="2" t="n">
        <v>128</v>
      </c>
    </row>
    <row r="865" customFormat="false" ht="18.7" hidden="false" customHeight="true" outlineLevel="0" collapsed="false">
      <c r="A865" s="1" t="n">
        <v>864</v>
      </c>
      <c r="B865" s="7" t="str">
        <f aca="false">HYPERLINK("https://mncourtfraud.com/file/27-CR-21-12714.pdf","27-CR-21-12714")</f>
        <v>27-CR-21-12714</v>
      </c>
      <c r="C865" s="1" t="n">
        <v>1</v>
      </c>
      <c r="D865" s="2" t="s">
        <v>12</v>
      </c>
      <c r="E865" s="8" t="n">
        <v>44692</v>
      </c>
      <c r="F865" s="2" t="s">
        <v>15</v>
      </c>
      <c r="G865" s="7" t="str">
        <f aca="false">HYPERLINK("https://mncourtfraud.com/file/MCRO_27-CR-21-12714_Order-Evaluation for Competency to Proceed (Rule 20.01)_2022-05-11_20251126181834.pdf","MCRO_27-CR-21-12714_Order-Evaluation for Competency to Proceed (Rule 20.01)_2022-05-11_20251126181834.pdf")</f>
        <v>MCRO_27-CR-21-12714_Order-Evaluation for Competency to Proceed (Rule 20.01)_2022-05-11_20251126181834.pdf</v>
      </c>
      <c r="H865" s="7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865" s="1" t="s">
        <v>3406</v>
      </c>
      <c r="K865" s="2" t="s">
        <v>3432</v>
      </c>
      <c r="L865" s="2" t="s">
        <v>3408</v>
      </c>
      <c r="M865" s="2" t="n">
        <v>21121</v>
      </c>
      <c r="O865" s="2" t="s">
        <v>3409</v>
      </c>
      <c r="P865" s="2" t="s">
        <v>3410</v>
      </c>
      <c r="S865" s="2" t="n">
        <v>695</v>
      </c>
      <c r="T865" s="2" t="n">
        <v>233</v>
      </c>
    </row>
    <row r="866" customFormat="false" ht="18.7" hidden="false" customHeight="true" outlineLevel="0" collapsed="false">
      <c r="A866" s="1" t="n">
        <v>865</v>
      </c>
      <c r="B866" s="7" t="str">
        <f aca="false">HYPERLINK("https://mncourtfraud.com/file/27-CR-21-12714.pdf","27-CR-21-12714")</f>
        <v>27-CR-21-12714</v>
      </c>
      <c r="C866" s="1" t="n">
        <v>1</v>
      </c>
      <c r="D866" s="2" t="s">
        <v>12</v>
      </c>
      <c r="E866" s="8" t="n">
        <v>44692</v>
      </c>
      <c r="F866" s="2" t="s">
        <v>15</v>
      </c>
      <c r="G866" s="7" t="str">
        <f aca="false">HYPERLINK("https://mncourtfraud.com/file/MCRO_27-CR-21-12714_Order-Evaluation for Competency to Proceed (Rule 20.01)_2022-05-11_20251126181834.pdf","MCRO_27-CR-21-12714_Order-Evaluation for Competency to Proceed (Rule 20.01)_2022-05-11_20251126181834.pdf")</f>
        <v>MCRO_27-CR-21-12714_Order-Evaluation for Competency to Proceed (Rule 20.01)_2022-05-11_20251126181834.pdf</v>
      </c>
      <c r="H866" s="7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866" s="1" t="s">
        <v>3406</v>
      </c>
      <c r="K866" s="2" t="s">
        <v>3433</v>
      </c>
      <c r="L866" s="2" t="s">
        <v>3408</v>
      </c>
      <c r="M866" s="2" t="n">
        <v>53838</v>
      </c>
      <c r="O866" s="2" t="s">
        <v>3409</v>
      </c>
      <c r="P866" s="2" t="s">
        <v>3410</v>
      </c>
      <c r="S866" s="2" t="n">
        <v>695</v>
      </c>
      <c r="T866" s="2" t="n">
        <v>233</v>
      </c>
    </row>
    <row r="867" customFormat="false" ht="18.7" hidden="false" customHeight="true" outlineLevel="0" collapsed="false">
      <c r="A867" s="1" t="n">
        <v>866</v>
      </c>
      <c r="B867" s="7" t="str">
        <f aca="false">HYPERLINK("https://mncourtfraud.com/file/27-CR-21-12714.pdf","27-CR-21-12714")</f>
        <v>27-CR-21-12714</v>
      </c>
      <c r="C867" s="1" t="n">
        <v>1</v>
      </c>
      <c r="D867" s="2" t="s">
        <v>12</v>
      </c>
      <c r="E867" s="8" t="n">
        <v>44692</v>
      </c>
      <c r="F867" s="2" t="s">
        <v>15</v>
      </c>
      <c r="G867" s="7" t="str">
        <f aca="false">HYPERLINK("https://mncourtfraud.com/file/MCRO_27-CR-21-12714_Order-Evaluation for Competency to Proceed (Rule 20.01)_2022-05-11_20251126181834.pdf","MCRO_27-CR-21-12714_Order-Evaluation for Competency to Proceed (Rule 20.01)_2022-05-11_20251126181834.pdf")</f>
        <v>MCRO_27-CR-21-12714_Order-Evaluation for Competency to Proceed (Rule 20.01)_2022-05-11_20251126181834.pdf</v>
      </c>
      <c r="H867" s="7" t="str">
        <f aca="false">HYPERLINK("https://mncourtfraud.com/file/322fe0e9595a4df4693edf307e5f8a42a470721d59f006a7b0e86def92125a58.ttf","322fe0e9595a4df4693edf307e5f8a42a470721d59f006a7b0e86def92125a58")</f>
        <v>322fe0e9595a4df4693edf307e5f8a42a470721d59f006a7b0e86def92125a58</v>
      </c>
      <c r="I867" s="1" t="s">
        <v>3413</v>
      </c>
      <c r="J867" s="2" t="s">
        <v>3434</v>
      </c>
      <c r="K867" s="2" t="s">
        <v>3434</v>
      </c>
      <c r="L867" s="2" t="s">
        <v>3415</v>
      </c>
      <c r="M867" s="2" t="n">
        <v>46736</v>
      </c>
      <c r="N867" s="2" t="s">
        <v>3435</v>
      </c>
    </row>
    <row r="868" customFormat="false" ht="18.7" hidden="false" customHeight="true" outlineLevel="0" collapsed="false">
      <c r="A868" s="1" t="n">
        <v>867</v>
      </c>
      <c r="B868" s="7" t="str">
        <f aca="false">HYPERLINK("https://mncourtfraud.com/file/27-CR-21-12714.pdf","27-CR-21-12714")</f>
        <v>27-CR-21-12714</v>
      </c>
      <c r="C868" s="1" t="n">
        <v>1</v>
      </c>
      <c r="D868" s="2" t="s">
        <v>12</v>
      </c>
      <c r="E868" s="8" t="n">
        <v>44692</v>
      </c>
      <c r="F868" s="2" t="s">
        <v>15</v>
      </c>
      <c r="G868" s="7" t="str">
        <f aca="false">HYPERLINK("https://mncourtfraud.com/file/MCRO_27-CR-21-12714_Order-Evaluation for Competency to Proceed (Rule 20.01)_2022-05-11_20251126181834.pdf","MCRO_27-CR-21-12714_Order-Evaluation for Competency to Proceed (Rule 20.01)_2022-05-11_20251126181834.pdf")</f>
        <v>MCRO_27-CR-21-12714_Order-Evaluation for Competency to Proceed (Rule 20.01)_2022-05-11_20251126181834.pdf</v>
      </c>
      <c r="H868" s="7" t="str">
        <f aca="false">HYPERLINK("https://mncourtfraud.com/file/32ebada21768d6238e03c647b5e5acdf6ce656f0735d59c3fb698ce40418a709.ttf","32ebada21768d6238e03c647b5e5acdf6ce656f0735d59c3fb698ce40418a709")</f>
        <v>32ebada21768d6238e03c647b5e5acdf6ce656f0735d59c3fb698ce40418a709</v>
      </c>
      <c r="I868" s="1" t="s">
        <v>3413</v>
      </c>
      <c r="J868" s="2" t="s">
        <v>3436</v>
      </c>
      <c r="K868" s="2" t="s">
        <v>3436</v>
      </c>
      <c r="L868" s="2" t="s">
        <v>3415</v>
      </c>
      <c r="M868" s="2" t="n">
        <v>65744</v>
      </c>
      <c r="N868" s="2" t="s">
        <v>3437</v>
      </c>
    </row>
    <row r="869" customFormat="false" ht="18.7" hidden="false" customHeight="true" outlineLevel="0" collapsed="false">
      <c r="A869" s="1" t="n">
        <v>868</v>
      </c>
      <c r="B869" s="7" t="str">
        <f aca="false">HYPERLINK("https://mncourtfraud.com/file/27-CR-21-12714.pdf","27-CR-21-12714")</f>
        <v>27-CR-21-12714</v>
      </c>
      <c r="C869" s="1" t="n">
        <v>1</v>
      </c>
      <c r="D869" s="2" t="s">
        <v>12</v>
      </c>
      <c r="E869" s="8" t="n">
        <v>44692</v>
      </c>
      <c r="F869" s="2" t="s">
        <v>15</v>
      </c>
      <c r="G869" s="7" t="str">
        <f aca="false">HYPERLINK("https://mncourtfraud.com/file/MCRO_27-CR-21-12714_Order-Evaluation for Competency to Proceed (Rule 20.01)_2022-05-11_20251126181834.pdf","MCRO_27-CR-21-12714_Order-Evaluation for Competency to Proceed (Rule 20.01)_2022-05-11_20251126181834.pdf")</f>
        <v>MCRO_27-CR-21-12714_Order-Evaluation for Competency to Proceed (Rule 20.01)_2022-05-11_20251126181834.pdf</v>
      </c>
      <c r="H869" s="7" t="str">
        <f aca="false">HYPERLINK("https://mncourtfraud.com/file/694dcb82a5515430b7fddfbf16881b942820c8c41fee3eea3505a20c7d4e41e6.ttf","694dcb82a5515430b7fddfbf16881b942820c8c41fee3eea3505a20c7d4e41e6")</f>
        <v>694dcb82a5515430b7fddfbf16881b942820c8c41fee3eea3505a20c7d4e41e6</v>
      </c>
      <c r="I869" s="1" t="s">
        <v>3413</v>
      </c>
      <c r="J869" s="2" t="s">
        <v>3438</v>
      </c>
      <c r="K869" s="2" t="s">
        <v>3438</v>
      </c>
      <c r="L869" s="2" t="s">
        <v>3415</v>
      </c>
      <c r="M869" s="2" t="n">
        <v>72828</v>
      </c>
      <c r="N869" s="2" t="s">
        <v>3439</v>
      </c>
    </row>
    <row r="870" customFormat="false" ht="18.7" hidden="false" customHeight="true" outlineLevel="0" collapsed="false">
      <c r="A870" s="1" t="n">
        <v>869</v>
      </c>
      <c r="B870" s="7" t="str">
        <f aca="false">HYPERLINK("https://mncourtfraud.com/file/27-CR-21-12714.pdf","27-CR-21-12714")</f>
        <v>27-CR-21-12714</v>
      </c>
      <c r="C870" s="1" t="n">
        <v>1</v>
      </c>
      <c r="D870" s="2" t="s">
        <v>12</v>
      </c>
      <c r="E870" s="8" t="n">
        <v>44692</v>
      </c>
      <c r="F870" s="2" t="s">
        <v>15</v>
      </c>
      <c r="G870" s="7" t="str">
        <f aca="false">HYPERLINK("https://mncourtfraud.com/file/MCRO_27-CR-21-12714_Order-Evaluation for Competency to Proceed (Rule 20.01)_2022-05-11_20251126181834.pdf","MCRO_27-CR-21-12714_Order-Evaluation for Competency to Proceed (Rule 20.01)_2022-05-11_20251126181834.pdf")</f>
        <v>MCRO_27-CR-21-12714_Order-Evaluation for Competency to Proceed (Rule 20.01)_2022-05-11_20251126181834.pdf</v>
      </c>
      <c r="H870" s="7" t="str">
        <f aca="false">HYPERLINK("https://mncourtfraud.com/file/87764021d6d62f7c396208d3f1fa8113e5ad5f90bd03c35e7200536389af4e6a.ttf","87764021d6d62f7c396208d3f1fa8113e5ad5f90bd03c35e7200536389af4e6a")</f>
        <v>87764021d6d62f7c396208d3f1fa8113e5ad5f90bd03c35e7200536389af4e6a</v>
      </c>
      <c r="I870" s="1" t="s">
        <v>3413</v>
      </c>
      <c r="J870" s="2" t="s">
        <v>3440</v>
      </c>
      <c r="K870" s="2" t="s">
        <v>3440</v>
      </c>
      <c r="L870" s="2" t="s">
        <v>3415</v>
      </c>
      <c r="M870" s="2" t="n">
        <v>6280</v>
      </c>
      <c r="N870" s="2" t="s">
        <v>3441</v>
      </c>
    </row>
    <row r="871" customFormat="false" ht="18.7" hidden="false" customHeight="true" outlineLevel="0" collapsed="false">
      <c r="A871" s="1" t="n">
        <v>870</v>
      </c>
      <c r="B871" s="7" t="str">
        <f aca="false">HYPERLINK("https://mncourtfraud.com/file/27-CR-21-12714.pdf","27-CR-21-12714")</f>
        <v>27-CR-21-12714</v>
      </c>
      <c r="C871" s="1" t="n">
        <v>1</v>
      </c>
      <c r="D871" s="2" t="s">
        <v>12</v>
      </c>
      <c r="E871" s="8" t="n">
        <v>44692</v>
      </c>
      <c r="F871" s="2" t="s">
        <v>15</v>
      </c>
      <c r="G871" s="7" t="str">
        <f aca="false">HYPERLINK("https://mncourtfraud.com/file/MCRO_27-CR-21-12714_Order-Evaluation for Competency to Proceed (Rule 20.01)_2022-05-11_20251126181834.pdf","MCRO_27-CR-21-12714_Order-Evaluation for Competency to Proceed (Rule 20.01)_2022-05-11_20251126181834.pdf")</f>
        <v>MCRO_27-CR-21-12714_Order-Evaluation for Competency to Proceed (Rule 20.01)_2022-05-11_20251126181834.pdf</v>
      </c>
      <c r="H871" s="7" t="str">
        <f aca="false">HYPERLINK("https://mncourtfraud.com/file/a1ad71f465be26cf6bb430c59ae6133d3c381ada339ba3c6b2eadf32a9b4096b.ttf","a1ad71f465be26cf6bb430c59ae6133d3c381ada339ba3c6b2eadf32a9b4096b")</f>
        <v>a1ad71f465be26cf6bb430c59ae6133d3c381ada339ba3c6b2eadf32a9b4096b</v>
      </c>
      <c r="I871" s="1" t="s">
        <v>3413</v>
      </c>
      <c r="J871" s="2" t="s">
        <v>3442</v>
      </c>
      <c r="K871" s="2" t="s">
        <v>3442</v>
      </c>
      <c r="L871" s="2" t="s">
        <v>3415</v>
      </c>
      <c r="M871" s="2" t="n">
        <v>5988</v>
      </c>
      <c r="N871" s="2" t="s">
        <v>3443</v>
      </c>
    </row>
    <row r="872" customFormat="false" ht="18.7" hidden="false" customHeight="true" outlineLevel="0" collapsed="false">
      <c r="A872" s="1" t="n">
        <v>871</v>
      </c>
      <c r="B872" s="7" t="str">
        <f aca="false">HYPERLINK("https://mncourtfraud.com/file/27-CR-21-12714.pdf","27-CR-21-12714")</f>
        <v>27-CR-21-12714</v>
      </c>
      <c r="C872" s="1" t="n">
        <v>1</v>
      </c>
      <c r="D872" s="2" t="s">
        <v>12</v>
      </c>
      <c r="E872" s="8" t="n">
        <v>44692</v>
      </c>
      <c r="F872" s="2" t="s">
        <v>15</v>
      </c>
      <c r="G872" s="7" t="str">
        <f aca="false">HYPERLINK("https://mncourtfraud.com/file/MCRO_27-CR-21-12714_Order-Evaluation for Competency to Proceed (Rule 20.01)_2022-05-11_20251126181834.pdf","MCRO_27-CR-21-12714_Order-Evaluation for Competency to Proceed (Rule 20.01)_2022-05-11_20251126181834.pdf")</f>
        <v>MCRO_27-CR-21-12714_Order-Evaluation for Competency to Proceed (Rule 20.01)_2022-05-11_20251126181834.pdf</v>
      </c>
      <c r="H872" s="7" t="str">
        <f aca="false">HYPERLINK("https://mncourtfraud.com/file/e1befe23dc5d05be4c8e965e6fc9e74e95400600e0da0c86dd389645355f3ad1.ttf","e1befe23dc5d05be4c8e965e6fc9e74e95400600e0da0c86dd389645355f3ad1")</f>
        <v>e1befe23dc5d05be4c8e965e6fc9e74e95400600e0da0c86dd389645355f3ad1</v>
      </c>
      <c r="I872" s="1" t="s">
        <v>3413</v>
      </c>
      <c r="J872" s="2" t="s">
        <v>3444</v>
      </c>
      <c r="K872" s="2" t="s">
        <v>3444</v>
      </c>
      <c r="L872" s="2" t="s">
        <v>3415</v>
      </c>
      <c r="M872" s="2" t="n">
        <v>94308</v>
      </c>
      <c r="N872" s="2" t="s">
        <v>3445</v>
      </c>
    </row>
    <row r="873" customFormat="false" ht="18.7" hidden="false" customHeight="true" outlineLevel="0" collapsed="false">
      <c r="A873" s="1" t="n">
        <v>872</v>
      </c>
      <c r="B873" s="7" t="str">
        <f aca="false">HYPERLINK("https://mncourtfraud.com/file/27-CR-21-12714.pdf","27-CR-21-12714")</f>
        <v>27-CR-21-12714</v>
      </c>
      <c r="C873" s="1" t="n">
        <v>1</v>
      </c>
      <c r="D873" s="2" t="s">
        <v>12</v>
      </c>
      <c r="E873" s="8" t="n">
        <v>44895</v>
      </c>
      <c r="F873" s="2" t="s">
        <v>15</v>
      </c>
      <c r="G873" s="7" t="str">
        <f aca="false">HYPERLINK("https://mncourtfraud.com/file/MCRO_27-CR-21-12714_Order-Evaluation for Competency to Proceed (Rule 20.01)_2022-11-30_20251126181847.pdf","MCRO_27-CR-21-12714_Order-Evaluation for Competency to Proceed (Rule 20.01)_2022-11-30_20251126181847.pdf")</f>
        <v>MCRO_27-CR-21-12714_Order-Evaluation for Competency to Proceed (Rule 20.01)_2022-11-30_20251126181847.pdf</v>
      </c>
      <c r="H873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873" s="1" t="s">
        <v>3413</v>
      </c>
      <c r="J873" s="2" t="s">
        <v>3423</v>
      </c>
      <c r="K873" s="2" t="s">
        <v>3423</v>
      </c>
      <c r="L873" s="2" t="s">
        <v>3415</v>
      </c>
      <c r="M873" s="2" t="n">
        <v>11088</v>
      </c>
    </row>
    <row r="874" customFormat="false" ht="18.7" hidden="false" customHeight="true" outlineLevel="0" collapsed="false">
      <c r="A874" s="1" t="n">
        <v>873</v>
      </c>
      <c r="B874" s="7" t="str">
        <f aca="false">HYPERLINK("https://mncourtfraud.com/file/27-CR-21-12714.pdf","27-CR-21-12714")</f>
        <v>27-CR-21-12714</v>
      </c>
      <c r="C874" s="1" t="n">
        <v>1</v>
      </c>
      <c r="D874" s="2" t="s">
        <v>12</v>
      </c>
      <c r="E874" s="8" t="n">
        <v>44895</v>
      </c>
      <c r="F874" s="2" t="s">
        <v>15</v>
      </c>
      <c r="G874" s="7" t="str">
        <f aca="false">HYPERLINK("https://mncourtfraud.com/file/MCRO_27-CR-21-12714_Order-Evaluation for Competency to Proceed (Rule 20.01)_2022-11-30_20251126181847.pdf","MCRO_27-CR-21-12714_Order-Evaluation for Competency to Proceed (Rule 20.01)_2022-11-30_20251126181847.pdf")</f>
        <v>MCRO_27-CR-21-12714_Order-Evaluation for Competency to Proceed (Rule 20.01)_2022-11-30_20251126181847.pdf</v>
      </c>
      <c r="H874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874" s="1" t="s">
        <v>3413</v>
      </c>
      <c r="J874" s="2" t="s">
        <v>3446</v>
      </c>
      <c r="K874" s="2" t="s">
        <v>3446</v>
      </c>
      <c r="L874" s="2" t="s">
        <v>3415</v>
      </c>
      <c r="M874" s="2" t="n">
        <v>55072</v>
      </c>
      <c r="N874" s="2" t="s">
        <v>3447</v>
      </c>
    </row>
    <row r="875" customFormat="false" ht="18.7" hidden="false" customHeight="true" outlineLevel="0" collapsed="false">
      <c r="A875" s="1" t="n">
        <v>874</v>
      </c>
      <c r="B875" s="7" t="str">
        <f aca="false">HYPERLINK("https://mncourtfraud.com/file/27-CR-21-12714.pdf","27-CR-21-12714")</f>
        <v>27-CR-21-12714</v>
      </c>
      <c r="C875" s="1" t="n">
        <v>1</v>
      </c>
      <c r="D875" s="2" t="s">
        <v>12</v>
      </c>
      <c r="E875" s="8" t="n">
        <v>44895</v>
      </c>
      <c r="F875" s="2" t="s">
        <v>15</v>
      </c>
      <c r="G875" s="7" t="str">
        <f aca="false">HYPERLINK("https://mncourtfraud.com/file/MCRO_27-CR-21-12714_Order-Evaluation for Competency to Proceed (Rule 20.01)_2022-11-30_20251126181847.pdf","MCRO_27-CR-21-12714_Order-Evaluation for Competency to Proceed (Rule 20.01)_2022-11-30_20251126181847.pdf")</f>
        <v>MCRO_27-CR-21-12714_Order-Evaluation for Competency to Proceed (Rule 20.01)_2022-11-30_20251126181847.pdf</v>
      </c>
      <c r="H875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875" s="1" t="s">
        <v>3413</v>
      </c>
      <c r="J875" s="2" t="s">
        <v>3424</v>
      </c>
      <c r="K875" s="2" t="s">
        <v>3424</v>
      </c>
      <c r="L875" s="2" t="s">
        <v>3415</v>
      </c>
      <c r="M875" s="2" t="n">
        <v>14252</v>
      </c>
    </row>
    <row r="876" customFormat="false" ht="18.7" hidden="false" customHeight="true" outlineLevel="0" collapsed="false">
      <c r="A876" s="1" t="n">
        <v>875</v>
      </c>
      <c r="B876" s="7" t="str">
        <f aca="false">HYPERLINK("https://mncourtfraud.com/file/27-CR-21-12714.pdf","27-CR-21-12714")</f>
        <v>27-CR-21-12714</v>
      </c>
      <c r="C876" s="1" t="n">
        <v>1</v>
      </c>
      <c r="D876" s="2" t="s">
        <v>12</v>
      </c>
      <c r="E876" s="8" t="n">
        <v>44895</v>
      </c>
      <c r="F876" s="2" t="s">
        <v>15</v>
      </c>
      <c r="G876" s="7" t="str">
        <f aca="false">HYPERLINK("https://mncourtfraud.com/file/MCRO_27-CR-21-12714_Order-Evaluation for Competency to Proceed (Rule 20.01)_2022-11-30_20251126181847.pdf","MCRO_27-CR-21-12714_Order-Evaluation for Competency to Proceed (Rule 20.01)_2022-11-30_20251126181847.pdf")</f>
        <v>MCRO_27-CR-21-12714_Order-Evaluation for Competency to Proceed (Rule 20.01)_2022-11-30_20251126181847.pdf</v>
      </c>
      <c r="H876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876" s="1" t="s">
        <v>3406</v>
      </c>
      <c r="K876" s="2" t="s">
        <v>3420</v>
      </c>
      <c r="L876" s="2" t="s">
        <v>3408</v>
      </c>
      <c r="M876" s="2" t="n">
        <v>7306</v>
      </c>
      <c r="O876" s="2" t="s">
        <v>3409</v>
      </c>
      <c r="P876" s="2" t="s">
        <v>3410</v>
      </c>
      <c r="S876" s="2" t="n">
        <v>319</v>
      </c>
      <c r="T876" s="2" t="n">
        <v>105</v>
      </c>
    </row>
    <row r="877" customFormat="false" ht="18.7" hidden="false" customHeight="true" outlineLevel="0" collapsed="false">
      <c r="A877" s="1" t="n">
        <v>876</v>
      </c>
      <c r="B877" s="7" t="str">
        <f aca="false">HYPERLINK("https://mncourtfraud.com/file/27-CR-21-12714.pdf","27-CR-21-12714")</f>
        <v>27-CR-21-12714</v>
      </c>
      <c r="C877" s="1" t="n">
        <v>1</v>
      </c>
      <c r="D877" s="2" t="s">
        <v>12</v>
      </c>
      <c r="E877" s="8" t="n">
        <v>44895</v>
      </c>
      <c r="F877" s="2" t="s">
        <v>15</v>
      </c>
      <c r="G877" s="7" t="str">
        <f aca="false">HYPERLINK("https://mncourtfraud.com/file/MCRO_27-CR-21-12714_Order-Evaluation for Competency to Proceed (Rule 20.01)_2022-11-30_20251126181847.pdf","MCRO_27-CR-21-12714_Order-Evaluation for Competency to Proceed (Rule 20.01)_2022-11-30_20251126181847.pdf")</f>
        <v>MCRO_27-CR-21-12714_Order-Evaluation for Competency to Proceed (Rule 20.01)_2022-11-30_20251126181847.pdf</v>
      </c>
      <c r="H877" s="7" t="str">
        <f aca="false">HYPERLINK("https://mncourtfraud.com/file/677e52a3b8403ce87e338b0a2e31e6f8e5ddf03fb0ca7043a341135cf0255eaa.ttf","677e52a3b8403ce87e338b0a2e31e6f8e5ddf03fb0ca7043a341135cf0255eaa")</f>
        <v>677e52a3b8403ce87e338b0a2e31e6f8e5ddf03fb0ca7043a341135cf0255eaa</v>
      </c>
      <c r="I877" s="1" t="s">
        <v>3413</v>
      </c>
      <c r="J877" s="2" t="s">
        <v>3422</v>
      </c>
      <c r="K877" s="2" t="s">
        <v>3422</v>
      </c>
      <c r="L877" s="2" t="s">
        <v>3415</v>
      </c>
      <c r="M877" s="2" t="n">
        <v>149960</v>
      </c>
    </row>
    <row r="878" customFormat="false" ht="18.7" hidden="false" customHeight="true" outlineLevel="0" collapsed="false">
      <c r="A878" s="1" t="n">
        <v>877</v>
      </c>
      <c r="B878" s="7" t="str">
        <f aca="false">HYPERLINK("https://mncourtfraud.com/file/27-CR-21-12714.pdf","27-CR-21-12714")</f>
        <v>27-CR-21-12714</v>
      </c>
      <c r="C878" s="1" t="n">
        <v>1</v>
      </c>
      <c r="D878" s="2" t="s">
        <v>12</v>
      </c>
      <c r="E878" s="8" t="n">
        <v>44895</v>
      </c>
      <c r="F878" s="2" t="s">
        <v>15</v>
      </c>
      <c r="G878" s="7" t="str">
        <f aca="false">HYPERLINK("https://mncourtfraud.com/file/MCRO_27-CR-21-12714_Order-Evaluation for Competency to Proceed (Rule 20.01)_2022-11-30_20251126181847.pdf","MCRO_27-CR-21-12714_Order-Evaluation for Competency to Proceed (Rule 20.01)_2022-11-30_20251126181847.pdf")</f>
        <v>MCRO_27-CR-21-12714_Order-Evaluation for Competency to Proceed (Rule 20.01)_2022-11-30_20251126181847.pdf</v>
      </c>
      <c r="H878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878" s="1" t="s">
        <v>3413</v>
      </c>
      <c r="J878" s="2" t="s">
        <v>3448</v>
      </c>
      <c r="K878" s="2" t="s">
        <v>3448</v>
      </c>
      <c r="L878" s="2" t="s">
        <v>3415</v>
      </c>
      <c r="M878" s="2" t="n">
        <v>916684</v>
      </c>
    </row>
    <row r="879" customFormat="false" ht="18.7" hidden="false" customHeight="true" outlineLevel="0" collapsed="false">
      <c r="A879" s="1" t="n">
        <v>878</v>
      </c>
      <c r="B879" s="7" t="str">
        <f aca="false">HYPERLINK("https://mncourtfraud.com/file/27-CR-21-12714.pdf","27-CR-21-12714")</f>
        <v>27-CR-21-12714</v>
      </c>
      <c r="C879" s="1" t="n">
        <v>1</v>
      </c>
      <c r="D879" s="2" t="s">
        <v>12</v>
      </c>
      <c r="E879" s="8" t="n">
        <v>44895</v>
      </c>
      <c r="F879" s="2" t="s">
        <v>15</v>
      </c>
      <c r="G879" s="7" t="str">
        <f aca="false">HYPERLINK("https://mncourtfraud.com/file/MCRO_27-CR-21-12714_Order-Evaluation for Competency to Proceed (Rule 20.01)_2022-11-30_20251126181847.pdf","MCRO_27-CR-21-12714_Order-Evaluation for Competency to Proceed (Rule 20.01)_2022-11-30_20251126181847.pdf")</f>
        <v>MCRO_27-CR-21-12714_Order-Evaluation for Competency to Proceed (Rule 20.01)_2022-11-30_20251126181847.pdf</v>
      </c>
      <c r="H879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879" s="1" t="s">
        <v>3406</v>
      </c>
      <c r="K879" s="2" t="s">
        <v>3425</v>
      </c>
      <c r="L879" s="2" t="s">
        <v>3408</v>
      </c>
      <c r="M879" s="2" t="n">
        <v>21225</v>
      </c>
      <c r="O879" s="2" t="s">
        <v>3409</v>
      </c>
      <c r="P879" s="2" t="s">
        <v>3410</v>
      </c>
      <c r="S879" s="2" t="n">
        <v>319</v>
      </c>
      <c r="T879" s="2" t="n">
        <v>105</v>
      </c>
    </row>
    <row r="880" customFormat="false" ht="18.7" hidden="false" customHeight="true" outlineLevel="0" collapsed="false">
      <c r="A880" s="1" t="n">
        <v>879</v>
      </c>
      <c r="B880" s="7" t="str">
        <f aca="false">HYPERLINK("https://mncourtfraud.com/file/27-CR-21-12714.pdf","27-CR-21-12714")</f>
        <v>27-CR-21-12714</v>
      </c>
      <c r="C880" s="1" t="n">
        <v>1</v>
      </c>
      <c r="D880" s="2" t="s">
        <v>12</v>
      </c>
      <c r="E880" s="8" t="n">
        <v>44895</v>
      </c>
      <c r="F880" s="2" t="s">
        <v>15</v>
      </c>
      <c r="G880" s="7" t="str">
        <f aca="false">HYPERLINK("https://mncourtfraud.com/file/MCRO_27-CR-21-12714_Order-Evaluation for Competency to Proceed (Rule 20.01)_2022-11-30_20251126181847.pdf","MCRO_27-CR-21-12714_Order-Evaluation for Competency to Proceed (Rule 20.01)_2022-11-30_20251126181847.pdf")</f>
        <v>MCRO_27-CR-21-12714_Order-Evaluation for Competency to Proceed (Rule 20.01)_2022-11-30_20251126181847.pdf</v>
      </c>
      <c r="H880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880" s="1" t="s">
        <v>3413</v>
      </c>
      <c r="J880" s="2" t="s">
        <v>3449</v>
      </c>
      <c r="K880" s="2" t="s">
        <v>3449</v>
      </c>
      <c r="L880" s="2" t="s">
        <v>3415</v>
      </c>
      <c r="M880" s="2" t="n">
        <v>124664</v>
      </c>
    </row>
    <row r="881" customFormat="false" ht="18.7" hidden="false" customHeight="true" outlineLevel="0" collapsed="false">
      <c r="A881" s="1" t="n">
        <v>880</v>
      </c>
      <c r="B881" s="7" t="str">
        <f aca="false">HYPERLINK("https://mncourtfraud.com/file/27-CR-21-12714.pdf","27-CR-21-12714")</f>
        <v>27-CR-21-12714</v>
      </c>
      <c r="C881" s="1" t="n">
        <v>1</v>
      </c>
      <c r="D881" s="2" t="s">
        <v>12</v>
      </c>
      <c r="E881" s="8" t="n">
        <v>44895</v>
      </c>
      <c r="F881" s="2" t="s">
        <v>15</v>
      </c>
      <c r="G881" s="7" t="str">
        <f aca="false">HYPERLINK("https://mncourtfraud.com/file/MCRO_27-CR-21-12714_Order-Evaluation for Competency to Proceed (Rule 20.01)_2022-11-30_20251126181847.pdf","MCRO_27-CR-21-12714_Order-Evaluation for Competency to Proceed (Rule 20.01)_2022-11-30_20251126181847.pdf")</f>
        <v>MCRO_27-CR-21-12714_Order-Evaluation for Competency to Proceed (Rule 20.01)_2022-11-30_20251126181847.pdf</v>
      </c>
      <c r="H881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881" s="1" t="s">
        <v>3413</v>
      </c>
      <c r="J881" s="2" t="s">
        <v>3449</v>
      </c>
      <c r="K881" s="2" t="s">
        <v>3449</v>
      </c>
      <c r="L881" s="2" t="s">
        <v>3415</v>
      </c>
      <c r="M881" s="2" t="n">
        <v>124664</v>
      </c>
    </row>
    <row r="882" customFormat="false" ht="18.7" hidden="false" customHeight="true" outlineLevel="0" collapsed="false">
      <c r="A882" s="1" t="n">
        <v>881</v>
      </c>
      <c r="B882" s="7" t="str">
        <f aca="false">HYPERLINK("https://mncourtfraud.com/file/27-CR-21-12714.pdf","27-CR-21-12714")</f>
        <v>27-CR-21-12714</v>
      </c>
      <c r="C882" s="1" t="n">
        <v>1</v>
      </c>
      <c r="D882" s="2" t="s">
        <v>12</v>
      </c>
      <c r="E882" s="8" t="n">
        <v>45048</v>
      </c>
      <c r="F882" s="2" t="s">
        <v>80</v>
      </c>
      <c r="G882" s="7" t="str">
        <f aca="false">HYPERLINK("https://mncourtfraud.com/file/MCRO_27-CR-21-12714_Finding of Incompetency and Order_2023-05-02_20251126181658.pdf","MCRO_27-CR-21-12714_Finding of Incompetency and Order_2023-05-02_20251126181658.pdf")</f>
        <v>MCRO_27-CR-21-12714_Finding of Incompetency and Order_2023-05-02_20251126181658.pdf</v>
      </c>
      <c r="H882" s="7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882" s="1" t="s">
        <v>3406</v>
      </c>
      <c r="L882" s="2" t="s">
        <v>3412</v>
      </c>
      <c r="M882" s="2" t="n">
        <v>3506</v>
      </c>
      <c r="S882" s="2" t="n">
        <v>1410</v>
      </c>
      <c r="T882" s="2" t="n">
        <v>150</v>
      </c>
    </row>
    <row r="883" customFormat="false" ht="18.7" hidden="false" customHeight="true" outlineLevel="0" collapsed="false">
      <c r="A883" s="1" t="n">
        <v>882</v>
      </c>
      <c r="B883" s="7" t="str">
        <f aca="false">HYPERLINK("https://mncourtfraud.com/file/27-CR-21-12714.pdf","27-CR-21-12714")</f>
        <v>27-CR-21-12714</v>
      </c>
      <c r="C883" s="1" t="n">
        <v>1</v>
      </c>
      <c r="D883" s="2" t="s">
        <v>12</v>
      </c>
      <c r="E883" s="8" t="n">
        <v>45048</v>
      </c>
      <c r="F883" s="2" t="s">
        <v>80</v>
      </c>
      <c r="G883" s="7" t="str">
        <f aca="false">HYPERLINK("https://mncourtfraud.com/file/MCRO_27-CR-21-12714_Finding of Incompetency and Order_2023-05-02_20251126181658.pdf","MCRO_27-CR-21-12714_Finding of Incompetency and Order_2023-05-02_20251126181658.pdf")</f>
        <v>MCRO_27-CR-21-12714_Finding of Incompetency and Order_2023-05-02_20251126181658.pdf</v>
      </c>
      <c r="H883" s="7" t="str">
        <f aca="false">HYPERLINK("https://mncourtfraud.com/file/18befca089509ee2fbaddf9c5b79bf5988523b22d2369743ed9a591b9fc3bdb6.ttf","18befca089509ee2fbaddf9c5b79bf5988523b22d2369743ed9a591b9fc3bdb6")</f>
        <v>18befca089509ee2fbaddf9c5b79bf5988523b22d2369743ed9a591b9fc3bdb6</v>
      </c>
      <c r="I883" s="1" t="s">
        <v>3413</v>
      </c>
      <c r="J883" s="2" t="s">
        <v>3421</v>
      </c>
      <c r="K883" s="2" t="s">
        <v>3450</v>
      </c>
      <c r="L883" s="2" t="s">
        <v>3415</v>
      </c>
      <c r="M883" s="2" t="n">
        <v>115928</v>
      </c>
    </row>
    <row r="884" customFormat="false" ht="18.7" hidden="false" customHeight="true" outlineLevel="0" collapsed="false">
      <c r="A884" s="1" t="n">
        <v>883</v>
      </c>
      <c r="B884" s="7" t="str">
        <f aca="false">HYPERLINK("https://mncourtfraud.com/file/27-CR-21-12714.pdf","27-CR-21-12714")</f>
        <v>27-CR-21-12714</v>
      </c>
      <c r="C884" s="1" t="n">
        <v>1</v>
      </c>
      <c r="D884" s="2" t="s">
        <v>12</v>
      </c>
      <c r="E884" s="8" t="n">
        <v>45048</v>
      </c>
      <c r="F884" s="2" t="s">
        <v>80</v>
      </c>
      <c r="G884" s="7" t="str">
        <f aca="false">HYPERLINK("https://mncourtfraud.com/file/MCRO_27-CR-21-12714_Finding of Incompetency and Order_2023-05-02_20251126181658.pdf","MCRO_27-CR-21-12714_Finding of Incompetency and Order_2023-05-02_20251126181658.pdf")</f>
        <v>MCRO_27-CR-21-12714_Finding of Incompetency and Order_2023-05-02_20251126181658.pdf</v>
      </c>
      <c r="H884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884" s="1" t="s">
        <v>3413</v>
      </c>
      <c r="J884" s="2" t="s">
        <v>3446</v>
      </c>
      <c r="K884" s="2" t="s">
        <v>3446</v>
      </c>
      <c r="L884" s="2" t="s">
        <v>3415</v>
      </c>
      <c r="M884" s="2" t="n">
        <v>55072</v>
      </c>
      <c r="N884" s="2" t="s">
        <v>3447</v>
      </c>
    </row>
    <row r="885" customFormat="false" ht="18.7" hidden="false" customHeight="true" outlineLevel="0" collapsed="false">
      <c r="A885" s="1" t="n">
        <v>884</v>
      </c>
      <c r="B885" s="7" t="str">
        <f aca="false">HYPERLINK("https://mncourtfraud.com/file/27-CR-21-12714.pdf","27-CR-21-12714")</f>
        <v>27-CR-21-12714</v>
      </c>
      <c r="C885" s="1" t="n">
        <v>1</v>
      </c>
      <c r="D885" s="2" t="s">
        <v>12</v>
      </c>
      <c r="E885" s="8" t="n">
        <v>45048</v>
      </c>
      <c r="F885" s="2" t="s">
        <v>80</v>
      </c>
      <c r="G885" s="7" t="str">
        <f aca="false">HYPERLINK("https://mncourtfraud.com/file/MCRO_27-CR-21-12714_Finding of Incompetency and Order_2023-05-02_20251126181658.pdf","MCRO_27-CR-21-12714_Finding of Incompetency and Order_2023-05-02_20251126181658.pdf")</f>
        <v>MCRO_27-CR-21-12714_Finding of Incompetency and Order_2023-05-02_20251126181658.pdf</v>
      </c>
      <c r="H885" s="7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885" s="1" t="s">
        <v>3406</v>
      </c>
      <c r="K885" s="2" t="s">
        <v>3451</v>
      </c>
      <c r="L885" s="2" t="s">
        <v>3408</v>
      </c>
      <c r="M885" s="2" t="n">
        <v>5295</v>
      </c>
      <c r="O885" s="2" t="s">
        <v>3452</v>
      </c>
      <c r="P885" s="2" t="s">
        <v>3410</v>
      </c>
      <c r="S885" s="2" t="n">
        <v>833</v>
      </c>
      <c r="T885" s="2" t="n">
        <v>186</v>
      </c>
    </row>
    <row r="886" customFormat="false" ht="18.7" hidden="false" customHeight="true" outlineLevel="0" collapsed="false">
      <c r="A886" s="1" t="n">
        <v>885</v>
      </c>
      <c r="B886" s="7" t="str">
        <f aca="false">HYPERLINK("https://mncourtfraud.com/file/27-CR-21-12714.pdf","27-CR-21-12714")</f>
        <v>27-CR-21-12714</v>
      </c>
      <c r="C886" s="1" t="n">
        <v>1</v>
      </c>
      <c r="D886" s="2" t="s">
        <v>12</v>
      </c>
      <c r="E886" s="8" t="n">
        <v>45048</v>
      </c>
      <c r="F886" s="2" t="s">
        <v>80</v>
      </c>
      <c r="G886" s="7" t="str">
        <f aca="false">HYPERLINK("https://mncourtfraud.com/file/MCRO_27-CR-21-12714_Finding of Incompetency and Order_2023-05-02_20251126181658.pdf","MCRO_27-CR-21-12714_Finding of Incompetency and Order_2023-05-02_20251126181658.pdf")</f>
        <v>MCRO_27-CR-21-12714_Finding of Incompetency and Order_2023-05-02_20251126181658.pdf</v>
      </c>
      <c r="H886" s="7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886" s="1" t="s">
        <v>3406</v>
      </c>
      <c r="K886" s="2" t="s">
        <v>3453</v>
      </c>
      <c r="L886" s="2" t="s">
        <v>3408</v>
      </c>
      <c r="M886" s="2" t="n">
        <v>3442</v>
      </c>
      <c r="O886" s="2" t="s">
        <v>3454</v>
      </c>
      <c r="P886" s="2" t="s">
        <v>3410</v>
      </c>
      <c r="S886" s="2" t="n">
        <v>857</v>
      </c>
      <c r="T886" s="2" t="n">
        <v>184</v>
      </c>
    </row>
    <row r="887" customFormat="false" ht="18.7" hidden="false" customHeight="true" outlineLevel="0" collapsed="false">
      <c r="A887" s="1" t="n">
        <v>886</v>
      </c>
      <c r="B887" s="7" t="str">
        <f aca="false">HYPERLINK("https://mncourtfraud.com/file/27-CR-21-12714.pdf","27-CR-21-12714")</f>
        <v>27-CR-21-12714</v>
      </c>
      <c r="C887" s="1" t="n">
        <v>1</v>
      </c>
      <c r="D887" s="2" t="s">
        <v>12</v>
      </c>
      <c r="E887" s="8" t="n">
        <v>45048</v>
      </c>
      <c r="F887" s="2" t="s">
        <v>80</v>
      </c>
      <c r="G887" s="7" t="str">
        <f aca="false">HYPERLINK("https://mncourtfraud.com/file/MCRO_27-CR-21-12714_Finding of Incompetency and Order_2023-05-02_20251126181658.pdf","MCRO_27-CR-21-12714_Finding of Incompetency and Order_2023-05-02_20251126181658.pdf")</f>
        <v>MCRO_27-CR-21-12714_Finding of Incompetency and Order_2023-05-02_20251126181658.pdf</v>
      </c>
      <c r="H887" s="7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887" s="1" t="s">
        <v>3406</v>
      </c>
      <c r="L887" s="2" t="s">
        <v>3412</v>
      </c>
      <c r="M887" s="2" t="n">
        <v>3824</v>
      </c>
      <c r="S887" s="2" t="n">
        <v>1850</v>
      </c>
      <c r="T887" s="2" t="n">
        <v>160</v>
      </c>
    </row>
    <row r="888" customFormat="false" ht="18.7" hidden="false" customHeight="true" outlineLevel="0" collapsed="false">
      <c r="A888" s="1" t="n">
        <v>887</v>
      </c>
      <c r="B888" s="7" t="str">
        <f aca="false">HYPERLINK("https://mncourtfraud.com/file/27-CR-21-12714.pdf","27-CR-21-12714")</f>
        <v>27-CR-21-12714</v>
      </c>
      <c r="C888" s="1" t="n">
        <v>1</v>
      </c>
      <c r="D888" s="2" t="s">
        <v>12</v>
      </c>
      <c r="E888" s="8" t="n">
        <v>45048</v>
      </c>
      <c r="F888" s="2" t="s">
        <v>80</v>
      </c>
      <c r="G888" s="7" t="str">
        <f aca="false">HYPERLINK("https://mncourtfraud.com/file/MCRO_27-CR-21-12714_Finding of Incompetency and Order_2023-05-02_20251126181658.pdf","MCRO_27-CR-21-12714_Finding of Incompetency and Order_2023-05-02_20251126181658.pdf")</f>
        <v>MCRO_27-CR-21-12714_Finding of Incompetency and Order_2023-05-02_20251126181658.pdf</v>
      </c>
      <c r="H888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888" s="1" t="s">
        <v>3413</v>
      </c>
      <c r="J888" s="2" t="s">
        <v>3448</v>
      </c>
      <c r="K888" s="2" t="s">
        <v>3448</v>
      </c>
      <c r="L888" s="2" t="s">
        <v>3415</v>
      </c>
      <c r="M888" s="2" t="n">
        <v>916684</v>
      </c>
    </row>
    <row r="889" customFormat="false" ht="18.7" hidden="false" customHeight="true" outlineLevel="0" collapsed="false">
      <c r="A889" s="1" t="n">
        <v>888</v>
      </c>
      <c r="B889" s="7" t="str">
        <f aca="false">HYPERLINK("https://mncourtfraud.com/file/27-CR-21-12714.pdf","27-CR-21-12714")</f>
        <v>27-CR-21-12714</v>
      </c>
      <c r="C889" s="1" t="n">
        <v>1</v>
      </c>
      <c r="D889" s="2" t="s">
        <v>12</v>
      </c>
      <c r="E889" s="8" t="n">
        <v>45160</v>
      </c>
      <c r="F889" s="2" t="s">
        <v>15</v>
      </c>
      <c r="G889" s="7" t="str">
        <f aca="false">HYPERLINK("https://mncourtfraud.com/file/MCRO_27-CR-21-12714_Order-Evaluation for Competency to Proceed (Rule 20.01)_2023-08-22_20251126181856.pdf","MCRO_27-CR-21-12714_Order-Evaluation for Competency to Proceed (Rule 20.01)_2023-08-22_20251126181856.pdf")</f>
        <v>MCRO_27-CR-21-12714_Order-Evaluation for Competency to Proceed (Rule 20.01)_2023-08-22_20251126181856.pdf</v>
      </c>
      <c r="H889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889" s="1" t="s">
        <v>3413</v>
      </c>
      <c r="J889" s="2" t="s">
        <v>3449</v>
      </c>
      <c r="K889" s="2" t="s">
        <v>3449</v>
      </c>
      <c r="L889" s="2" t="s">
        <v>3415</v>
      </c>
      <c r="M889" s="2" t="n">
        <v>125504</v>
      </c>
    </row>
    <row r="890" customFormat="false" ht="18.7" hidden="false" customHeight="true" outlineLevel="0" collapsed="false">
      <c r="A890" s="1" t="n">
        <v>889</v>
      </c>
      <c r="B890" s="7" t="str">
        <f aca="false">HYPERLINK("https://mncourtfraud.com/file/27-CR-21-12714.pdf","27-CR-21-12714")</f>
        <v>27-CR-21-12714</v>
      </c>
      <c r="C890" s="1" t="n">
        <v>1</v>
      </c>
      <c r="D890" s="2" t="s">
        <v>12</v>
      </c>
      <c r="E890" s="8" t="n">
        <v>45160</v>
      </c>
      <c r="F890" s="2" t="s">
        <v>15</v>
      </c>
      <c r="G890" s="7" t="str">
        <f aca="false">HYPERLINK("https://mncourtfraud.com/file/MCRO_27-CR-21-12714_Order-Evaluation for Competency to Proceed (Rule 20.01)_2023-08-22_20251126181856.pdf","MCRO_27-CR-21-12714_Order-Evaluation for Competency to Proceed (Rule 20.01)_2023-08-22_20251126181856.pdf")</f>
        <v>MCRO_27-CR-21-12714_Order-Evaluation for Competency to Proceed (Rule 20.01)_2023-08-22_20251126181856.pdf</v>
      </c>
      <c r="H890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890" s="1" t="s">
        <v>3413</v>
      </c>
      <c r="J890" s="2" t="s">
        <v>3449</v>
      </c>
      <c r="K890" s="2" t="s">
        <v>3449</v>
      </c>
      <c r="L890" s="2" t="s">
        <v>3415</v>
      </c>
      <c r="M890" s="2" t="n">
        <v>125504</v>
      </c>
    </row>
    <row r="891" customFormat="false" ht="18.7" hidden="false" customHeight="true" outlineLevel="0" collapsed="false">
      <c r="A891" s="1" t="n">
        <v>890</v>
      </c>
      <c r="B891" s="7" t="str">
        <f aca="false">HYPERLINK("https://mncourtfraud.com/file/27-CR-21-12714.pdf","27-CR-21-12714")</f>
        <v>27-CR-21-12714</v>
      </c>
      <c r="C891" s="1" t="n">
        <v>1</v>
      </c>
      <c r="D891" s="2" t="s">
        <v>12</v>
      </c>
      <c r="E891" s="8" t="n">
        <v>45160</v>
      </c>
      <c r="F891" s="2" t="s">
        <v>15</v>
      </c>
      <c r="G891" s="7" t="str">
        <f aca="false">HYPERLINK("https://mncourtfraud.com/file/MCRO_27-CR-21-12714_Order-Evaluation for Competency to Proceed (Rule 20.01)_2023-08-22_20251126181856.pdf","MCRO_27-CR-21-12714_Order-Evaluation for Competency to Proceed (Rule 20.01)_2023-08-22_20251126181856.pdf")</f>
        <v>MCRO_27-CR-21-12714_Order-Evaluation for Competency to Proceed (Rule 20.01)_2023-08-22_20251126181856.pdf</v>
      </c>
      <c r="H891" s="7" t="str">
        <f aca="false">HYPERLINK("https://mncourtfraud.com/file/0174a154b1dd2c8824c0108a525fa6ced84bf8b7d2fc9696a847700a4f83bb3b.ttf","0174a154b1dd2c8824c0108a525fa6ced84bf8b7d2fc9696a847700a4f83bb3b")</f>
        <v>0174a154b1dd2c8824c0108a525fa6ced84bf8b7d2fc9696a847700a4f83bb3b</v>
      </c>
      <c r="I891" s="1" t="s">
        <v>3413</v>
      </c>
      <c r="J891" s="2" t="s">
        <v>3422</v>
      </c>
      <c r="K891" s="2" t="s">
        <v>3422</v>
      </c>
      <c r="L891" s="2" t="s">
        <v>3415</v>
      </c>
      <c r="M891" s="2" t="n">
        <v>101216</v>
      </c>
    </row>
    <row r="892" customFormat="false" ht="18.7" hidden="false" customHeight="true" outlineLevel="0" collapsed="false">
      <c r="A892" s="1" t="n">
        <v>891</v>
      </c>
      <c r="B892" s="7" t="str">
        <f aca="false">HYPERLINK("https://mncourtfraud.com/file/27-CR-21-12714.pdf","27-CR-21-12714")</f>
        <v>27-CR-21-12714</v>
      </c>
      <c r="C892" s="1" t="n">
        <v>1</v>
      </c>
      <c r="D892" s="2" t="s">
        <v>12</v>
      </c>
      <c r="E892" s="8" t="n">
        <v>45160</v>
      </c>
      <c r="F892" s="2" t="s">
        <v>15</v>
      </c>
      <c r="G892" s="7" t="str">
        <f aca="false">HYPERLINK("https://mncourtfraud.com/file/MCRO_27-CR-21-12714_Order-Evaluation for Competency to Proceed (Rule 20.01)_2023-08-22_20251126181856.pdf","MCRO_27-CR-21-12714_Order-Evaluation for Competency to Proceed (Rule 20.01)_2023-08-22_20251126181856.pdf")</f>
        <v>MCRO_27-CR-21-12714_Order-Evaluation for Competency to Proceed (Rule 20.01)_2023-08-22_20251126181856.pdf</v>
      </c>
      <c r="H892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892" s="1" t="s">
        <v>3413</v>
      </c>
      <c r="J892" s="2" t="s">
        <v>3423</v>
      </c>
      <c r="K892" s="2" t="s">
        <v>3423</v>
      </c>
      <c r="L892" s="2" t="s">
        <v>3415</v>
      </c>
      <c r="M892" s="2" t="n">
        <v>11088</v>
      </c>
    </row>
    <row r="893" customFormat="false" ht="18.7" hidden="false" customHeight="true" outlineLevel="0" collapsed="false">
      <c r="A893" s="1" t="n">
        <v>892</v>
      </c>
      <c r="B893" s="7" t="str">
        <f aca="false">HYPERLINK("https://mncourtfraud.com/file/27-CR-21-12714.pdf","27-CR-21-12714")</f>
        <v>27-CR-21-12714</v>
      </c>
      <c r="C893" s="1" t="n">
        <v>1</v>
      </c>
      <c r="D893" s="2" t="s">
        <v>12</v>
      </c>
      <c r="E893" s="8" t="n">
        <v>45160</v>
      </c>
      <c r="F893" s="2" t="s">
        <v>15</v>
      </c>
      <c r="G893" s="7" t="str">
        <f aca="false">HYPERLINK("https://mncourtfraud.com/file/MCRO_27-CR-21-12714_Order-Evaluation for Competency to Proceed (Rule 20.01)_2023-08-22_20251126181856.pdf","MCRO_27-CR-21-12714_Order-Evaluation for Competency to Proceed (Rule 20.01)_2023-08-22_20251126181856.pdf")</f>
        <v>MCRO_27-CR-21-12714_Order-Evaluation for Competency to Proceed (Rule 20.01)_2023-08-22_20251126181856.pdf</v>
      </c>
      <c r="H893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893" s="1" t="s">
        <v>3413</v>
      </c>
      <c r="J893" s="2" t="s">
        <v>3446</v>
      </c>
      <c r="K893" s="2" t="s">
        <v>3446</v>
      </c>
      <c r="L893" s="2" t="s">
        <v>3415</v>
      </c>
      <c r="M893" s="2" t="n">
        <v>55072</v>
      </c>
      <c r="N893" s="2" t="s">
        <v>3447</v>
      </c>
    </row>
    <row r="894" customFormat="false" ht="18.7" hidden="false" customHeight="true" outlineLevel="0" collapsed="false">
      <c r="A894" s="1" t="n">
        <v>893</v>
      </c>
      <c r="B894" s="7" t="str">
        <f aca="false">HYPERLINK("https://mncourtfraud.com/file/27-CR-21-12714.pdf","27-CR-21-12714")</f>
        <v>27-CR-21-12714</v>
      </c>
      <c r="C894" s="1" t="n">
        <v>1</v>
      </c>
      <c r="D894" s="2" t="s">
        <v>12</v>
      </c>
      <c r="E894" s="8" t="n">
        <v>45160</v>
      </c>
      <c r="F894" s="2" t="s">
        <v>15</v>
      </c>
      <c r="G894" s="7" t="str">
        <f aca="false">HYPERLINK("https://mncourtfraud.com/file/MCRO_27-CR-21-12714_Order-Evaluation for Competency to Proceed (Rule 20.01)_2023-08-22_20251126181856.pdf","MCRO_27-CR-21-12714_Order-Evaluation for Competency to Proceed (Rule 20.01)_2023-08-22_20251126181856.pdf")</f>
        <v>MCRO_27-CR-21-12714_Order-Evaluation for Competency to Proceed (Rule 20.01)_2023-08-22_20251126181856.pdf</v>
      </c>
      <c r="H894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894" s="1" t="s">
        <v>3413</v>
      </c>
      <c r="J894" s="2" t="s">
        <v>3424</v>
      </c>
      <c r="K894" s="2" t="s">
        <v>3424</v>
      </c>
      <c r="L894" s="2" t="s">
        <v>3415</v>
      </c>
      <c r="M894" s="2" t="n">
        <v>14252</v>
      </c>
    </row>
    <row r="895" customFormat="false" ht="18.7" hidden="false" customHeight="true" outlineLevel="0" collapsed="false">
      <c r="A895" s="1" t="n">
        <v>894</v>
      </c>
      <c r="B895" s="7" t="str">
        <f aca="false">HYPERLINK("https://mncourtfraud.com/file/27-CR-21-12714.pdf","27-CR-21-12714")</f>
        <v>27-CR-21-12714</v>
      </c>
      <c r="C895" s="1" t="n">
        <v>1</v>
      </c>
      <c r="D895" s="2" t="s">
        <v>12</v>
      </c>
      <c r="E895" s="8" t="n">
        <v>45160</v>
      </c>
      <c r="F895" s="2" t="s">
        <v>15</v>
      </c>
      <c r="G895" s="7" t="str">
        <f aca="false">HYPERLINK("https://mncourtfraud.com/file/MCRO_27-CR-21-12714_Order-Evaluation for Competency to Proceed (Rule 20.01)_2023-08-22_20251126181856.pdf","MCRO_27-CR-21-12714_Order-Evaluation for Competency to Proceed (Rule 20.01)_2023-08-22_20251126181856.pdf")</f>
        <v>MCRO_27-CR-21-12714_Order-Evaluation for Competency to Proceed (Rule 20.01)_2023-08-22_20251126181856.pdf</v>
      </c>
      <c r="H895" s="7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895" s="1" t="s">
        <v>3406</v>
      </c>
      <c r="L895" s="2" t="s">
        <v>3412</v>
      </c>
      <c r="M895" s="2" t="n">
        <v>5012</v>
      </c>
      <c r="S895" s="2" t="n">
        <v>2740</v>
      </c>
      <c r="T895" s="2" t="n">
        <v>180</v>
      </c>
    </row>
    <row r="896" customFormat="false" ht="18.7" hidden="false" customHeight="true" outlineLevel="0" collapsed="false">
      <c r="A896" s="1" t="n">
        <v>895</v>
      </c>
      <c r="B896" s="7" t="str">
        <f aca="false">HYPERLINK("https://mncourtfraud.com/file/27-CR-21-12714.pdf","27-CR-21-12714")</f>
        <v>27-CR-21-12714</v>
      </c>
      <c r="C896" s="1" t="n">
        <v>1</v>
      </c>
      <c r="D896" s="2" t="s">
        <v>12</v>
      </c>
      <c r="E896" s="8" t="n">
        <v>45160</v>
      </c>
      <c r="F896" s="2" t="s">
        <v>15</v>
      </c>
      <c r="G896" s="7" t="str">
        <f aca="false">HYPERLINK("https://mncourtfraud.com/file/MCRO_27-CR-21-12714_Order-Evaluation for Competency to Proceed (Rule 20.01)_2023-08-22_20251126181856.pdf","MCRO_27-CR-21-12714_Order-Evaluation for Competency to Proceed (Rule 20.01)_2023-08-22_20251126181856.pdf")</f>
        <v>MCRO_27-CR-21-12714_Order-Evaluation for Competency to Proceed (Rule 20.01)_2023-08-22_20251126181856.pdf</v>
      </c>
      <c r="H896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896" s="1" t="s">
        <v>3413</v>
      </c>
      <c r="J896" s="2" t="s">
        <v>3448</v>
      </c>
      <c r="K896" s="2" t="s">
        <v>3448</v>
      </c>
      <c r="L896" s="2" t="s">
        <v>3415</v>
      </c>
      <c r="M896" s="2" t="n">
        <v>916684</v>
      </c>
    </row>
    <row r="897" customFormat="false" ht="18.7" hidden="false" customHeight="true" outlineLevel="0" collapsed="false">
      <c r="A897" s="1" t="n">
        <v>896</v>
      </c>
      <c r="B897" s="7" t="str">
        <f aca="false">HYPERLINK("https://mncourtfraud.com/file/27-CR-21-12714.pdf","27-CR-21-12714")</f>
        <v>27-CR-21-12714</v>
      </c>
      <c r="C897" s="1" t="n">
        <v>1</v>
      </c>
      <c r="D897" s="2" t="s">
        <v>12</v>
      </c>
      <c r="E897" s="8" t="n">
        <v>45160</v>
      </c>
      <c r="F897" s="2" t="s">
        <v>15</v>
      </c>
      <c r="G897" s="7" t="str">
        <f aca="false">HYPERLINK("https://mncourtfraud.com/file/MCRO_27-CR-21-12714_Order-Evaluation for Competency to Proceed (Rule 20.01)_2023-08-22_20251126181856.pdf","MCRO_27-CR-21-12714_Order-Evaluation for Competency to Proceed (Rule 20.01)_2023-08-22_20251126181856.pdf")</f>
        <v>MCRO_27-CR-21-12714_Order-Evaluation for Competency to Proceed (Rule 20.01)_2023-08-22_20251126181856.pdf</v>
      </c>
      <c r="H897" s="7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897" s="1" t="s">
        <v>3406</v>
      </c>
      <c r="K897" s="2" t="s">
        <v>3459</v>
      </c>
      <c r="L897" s="2" t="s">
        <v>3408</v>
      </c>
      <c r="M897" s="2" t="n">
        <v>5220</v>
      </c>
      <c r="O897" s="2" t="s">
        <v>3460</v>
      </c>
      <c r="P897" s="2" t="s">
        <v>3410</v>
      </c>
      <c r="S897" s="2" t="n">
        <v>881</v>
      </c>
      <c r="T897" s="2" t="n">
        <v>216</v>
      </c>
    </row>
    <row r="898" customFormat="false" ht="18.7" hidden="false" customHeight="true" outlineLevel="0" collapsed="false">
      <c r="A898" s="1" t="n">
        <v>897</v>
      </c>
      <c r="B898" s="7" t="str">
        <f aca="false">HYPERLINK("https://mncourtfraud.com/file/27-CR-21-12714.pdf","27-CR-21-12714")</f>
        <v>27-CR-21-12714</v>
      </c>
      <c r="C898" s="1" t="n">
        <v>1</v>
      </c>
      <c r="D898" s="2" t="s">
        <v>12</v>
      </c>
      <c r="E898" s="8" t="n">
        <v>45412</v>
      </c>
      <c r="F898" s="2" t="s">
        <v>15</v>
      </c>
      <c r="G898" s="7" t="str">
        <f aca="false">HYPERLINK("https://mncourtfraud.com/file/MCRO_27-CR-21-12714_Order-Evaluation for Competency to Proceed (Rule 20.01)_2024-04-30_20251126181906.pdf","MCRO_27-CR-21-12714_Order-Evaluation for Competency to Proceed (Rule 20.01)_2024-04-30_20251126181906.pdf")</f>
        <v>MCRO_27-CR-21-12714_Order-Evaluation for Competency to Proceed (Rule 20.01)_2024-04-30_20251126181906.pdf</v>
      </c>
      <c r="H898" s="7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898" s="1" t="s">
        <v>3406</v>
      </c>
      <c r="L898" s="2" t="s">
        <v>3412</v>
      </c>
      <c r="M898" s="2" t="n">
        <v>154549</v>
      </c>
      <c r="S898" s="2" t="n">
        <v>2560</v>
      </c>
      <c r="T898" s="2" t="n">
        <v>3300</v>
      </c>
    </row>
    <row r="899" customFormat="false" ht="18.7" hidden="false" customHeight="true" outlineLevel="0" collapsed="false">
      <c r="A899" s="1" t="n">
        <v>898</v>
      </c>
      <c r="B899" s="7" t="str">
        <f aca="false">HYPERLINK("https://mncourtfraud.com/file/27-CR-21-12714.pdf","27-CR-21-12714")</f>
        <v>27-CR-21-12714</v>
      </c>
      <c r="C899" s="1" t="n">
        <v>1</v>
      </c>
      <c r="D899" s="2" t="s">
        <v>12</v>
      </c>
      <c r="E899" s="8" t="n">
        <v>45412</v>
      </c>
      <c r="F899" s="2" t="s">
        <v>15</v>
      </c>
      <c r="G899" s="7" t="str">
        <f aca="false">HYPERLINK("https://mncourtfraud.com/file/MCRO_27-CR-21-12714_Order-Evaluation for Competency to Proceed (Rule 20.01)_2024-04-30_20251126181906.pdf","MCRO_27-CR-21-12714_Order-Evaluation for Competency to Proceed (Rule 20.01)_2024-04-30_20251126181906.pdf")</f>
        <v>MCRO_27-CR-21-12714_Order-Evaluation for Competency to Proceed (Rule 20.01)_2024-04-30_20251126181906.pdf</v>
      </c>
      <c r="H899" s="7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899" s="1" t="s">
        <v>3406</v>
      </c>
      <c r="L899" s="2" t="s">
        <v>3412</v>
      </c>
      <c r="M899" s="2" t="n">
        <v>180051</v>
      </c>
      <c r="S899" s="2" t="n">
        <v>2560</v>
      </c>
      <c r="T899" s="2" t="n">
        <v>3300</v>
      </c>
    </row>
    <row r="900" customFormat="false" ht="18.7" hidden="false" customHeight="true" outlineLevel="0" collapsed="false">
      <c r="A900" s="1" t="n">
        <v>899</v>
      </c>
      <c r="B900" s="7" t="str">
        <f aca="false">HYPERLINK("https://mncourtfraud.com/file/27-CR-21-12714.pdf","27-CR-21-12714")</f>
        <v>27-CR-21-12714</v>
      </c>
      <c r="C900" s="1" t="n">
        <v>1</v>
      </c>
      <c r="D900" s="2" t="s">
        <v>12</v>
      </c>
      <c r="E900" s="8" t="n">
        <v>45412</v>
      </c>
      <c r="F900" s="2" t="s">
        <v>24</v>
      </c>
      <c r="G900" s="7" t="str">
        <f aca="false">HYPERLINK("https://mncourtfraud.com/file/MCRO_27-CR-21-12714_Order for Conditional Release_2024-04-30_20251126181738.pdf","MCRO_27-CR-21-12714_Order for Conditional Release_2024-04-30_20251126181738.pdf")</f>
        <v>MCRO_27-CR-21-12714_Order for Conditional Release_2024-04-30_20251126181738.pdf</v>
      </c>
      <c r="H900" s="7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900" s="1" t="s">
        <v>3406</v>
      </c>
      <c r="L900" s="2" t="s">
        <v>3412</v>
      </c>
      <c r="M900" s="2" t="n">
        <v>38726</v>
      </c>
      <c r="S900" s="2" t="n">
        <v>2560</v>
      </c>
      <c r="T900" s="2" t="n">
        <v>3300</v>
      </c>
    </row>
    <row r="901" customFormat="false" ht="18.7" hidden="false" customHeight="true" outlineLevel="0" collapsed="false">
      <c r="A901" s="1" t="n">
        <v>900</v>
      </c>
      <c r="B901" s="7" t="str">
        <f aca="false">HYPERLINK("https://mncourtfraud.com/file/27-CR-21-12714.pdf","27-CR-21-12714")</f>
        <v>27-CR-21-12714</v>
      </c>
      <c r="C901" s="1" t="n">
        <v>1</v>
      </c>
      <c r="D901" s="2" t="s">
        <v>12</v>
      </c>
      <c r="E901" s="8" t="n">
        <v>45412</v>
      </c>
      <c r="F901" s="2" t="s">
        <v>15</v>
      </c>
      <c r="G901" s="7" t="str">
        <f aca="false">HYPERLINK("https://mncourtfraud.com/file/MCRO_27-CR-21-12714_Order-Evaluation for Competency to Proceed (Rule 20.01)_2024-04-30_20251126181906.pdf","MCRO_27-CR-21-12714_Order-Evaluation for Competency to Proceed (Rule 20.01)_2024-04-30_20251126181906.pdf")</f>
        <v>MCRO_27-CR-21-12714_Order-Evaluation for Competency to Proceed (Rule 20.01)_2024-04-30_20251126181906.pdf</v>
      </c>
      <c r="H901" s="7" t="str">
        <f aca="false">HYPERLINK("https://mncourtfraud.com/file/4db7d2599119dc45c08adba3b9b2ba67e6a3d697261d3f95ca4c5b01777bcfbe.ttf","4db7d2599119dc45c08adba3b9b2ba67e6a3d697261d3f95ca4c5b01777bcfbe")</f>
        <v>4db7d2599119dc45c08adba3b9b2ba67e6a3d697261d3f95ca4c5b01777bcfbe</v>
      </c>
      <c r="I901" s="1" t="s">
        <v>3413</v>
      </c>
      <c r="L901" s="2" t="s">
        <v>3415</v>
      </c>
      <c r="M901" s="2" t="n">
        <v>333576</v>
      </c>
    </row>
    <row r="902" customFormat="false" ht="18.7" hidden="false" customHeight="true" outlineLevel="0" collapsed="false">
      <c r="A902" s="1" t="n">
        <v>901</v>
      </c>
      <c r="B902" s="7" t="str">
        <f aca="false">HYPERLINK("https://mncourtfraud.com/file/27-CR-21-12714.pdf","27-CR-21-12714")</f>
        <v>27-CR-21-12714</v>
      </c>
      <c r="C902" s="1" t="n">
        <v>1</v>
      </c>
      <c r="D902" s="2" t="s">
        <v>12</v>
      </c>
      <c r="E902" s="8" t="n">
        <v>45412</v>
      </c>
      <c r="F902" s="2" t="s">
        <v>15</v>
      </c>
      <c r="G902" s="7" t="str">
        <f aca="false">HYPERLINK("https://mncourtfraud.com/file/MCRO_27-CR-21-12714_Order-Evaluation for Competency to Proceed (Rule 20.01)_2024-04-30_20251126181906.pdf","MCRO_27-CR-21-12714_Order-Evaluation for Competency to Proceed (Rule 20.01)_2024-04-30_20251126181906.pdf")</f>
        <v>MCRO_27-CR-21-12714_Order-Evaluation for Competency to Proceed (Rule 20.01)_2024-04-30_20251126181906.pdf</v>
      </c>
      <c r="H902" s="7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902" s="1" t="s">
        <v>3406</v>
      </c>
      <c r="L902" s="2" t="s">
        <v>3412</v>
      </c>
      <c r="M902" s="2" t="n">
        <v>71271</v>
      </c>
      <c r="S902" s="2" t="n">
        <v>2560</v>
      </c>
      <c r="T902" s="2" t="n">
        <v>3300</v>
      </c>
    </row>
    <row r="903" customFormat="false" ht="18.7" hidden="false" customHeight="true" outlineLevel="0" collapsed="false">
      <c r="A903" s="1" t="n">
        <v>902</v>
      </c>
      <c r="B903" s="7" t="str">
        <f aca="false">HYPERLINK("https://mncourtfraud.com/file/27-CR-21-12714.pdf","27-CR-21-12714")</f>
        <v>27-CR-21-12714</v>
      </c>
      <c r="C903" s="1" t="n">
        <v>1</v>
      </c>
      <c r="D903" s="2" t="s">
        <v>12</v>
      </c>
      <c r="E903" s="8" t="n">
        <v>45412</v>
      </c>
      <c r="F903" s="2" t="s">
        <v>24</v>
      </c>
      <c r="G903" s="7" t="str">
        <f aca="false">HYPERLINK("https://mncourtfraud.com/file/MCRO_27-CR-21-12714_Order for Conditional Release_2024-04-30_20251126181738.pdf","MCRO_27-CR-21-12714_Order for Conditional Release_2024-04-30_20251126181738.pdf")</f>
        <v>MCRO_27-CR-21-12714_Order for Conditional Release_2024-04-30_20251126181738.pdf</v>
      </c>
      <c r="H903" s="7" t="str">
        <f aca="false">HYPERLINK("https://mncourtfraud.com/file/d5cf4f06aaee8f372e6af86dab12d75d131a3ba68ba6baeac4b7b514ef3e0b85.ttf","d5cf4f06aaee8f372e6af86dab12d75d131a3ba68ba6baeac4b7b514ef3e0b85")</f>
        <v>d5cf4f06aaee8f372e6af86dab12d75d131a3ba68ba6baeac4b7b514ef3e0b85</v>
      </c>
      <c r="I903" s="1" t="s">
        <v>3413</v>
      </c>
      <c r="L903" s="2" t="s">
        <v>3415</v>
      </c>
      <c r="M903" s="2" t="n">
        <v>333576</v>
      </c>
    </row>
    <row r="904" customFormat="false" ht="18.7" hidden="false" customHeight="true" outlineLevel="0" collapsed="false">
      <c r="A904" s="1" t="n">
        <v>903</v>
      </c>
      <c r="B904" s="7" t="str">
        <f aca="false">HYPERLINK("https://mncourtfraud.com/file/27-CR-21-12714.pdf","27-CR-21-12714")</f>
        <v>27-CR-21-12714</v>
      </c>
      <c r="C904" s="1" t="n">
        <v>1</v>
      </c>
      <c r="D904" s="2" t="s">
        <v>12</v>
      </c>
      <c r="E904" s="8" t="n">
        <v>45412</v>
      </c>
      <c r="F904" s="2" t="s">
        <v>24</v>
      </c>
      <c r="G904" s="7" t="str">
        <f aca="false">HYPERLINK("https://mncourtfraud.com/file/MCRO_27-CR-21-12714_Order for Conditional Release_2024-04-30_20251126181738.pdf","MCRO_27-CR-21-12714_Order for Conditional Release_2024-04-30_20251126181738.pdf")</f>
        <v>MCRO_27-CR-21-12714_Order for Conditional Release_2024-04-30_20251126181738.pdf</v>
      </c>
      <c r="H904" s="7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904" s="1" t="s">
        <v>3406</v>
      </c>
      <c r="L904" s="2" t="s">
        <v>3412</v>
      </c>
      <c r="M904" s="2" t="n">
        <v>195018</v>
      </c>
      <c r="S904" s="2" t="n">
        <v>2560</v>
      </c>
      <c r="T904" s="2" t="n">
        <v>3300</v>
      </c>
    </row>
    <row r="905" customFormat="false" ht="18.7" hidden="false" customHeight="true" outlineLevel="0" collapsed="false">
      <c r="A905" s="1" t="n">
        <v>904</v>
      </c>
      <c r="B905" s="7" t="str">
        <f aca="false">HYPERLINK("https://mncourtfraud.com/file/27-CR-21-12749.pdf","27-CR-21-12749")</f>
        <v>27-CR-21-12749</v>
      </c>
      <c r="C905" s="1" t="n">
        <v>1</v>
      </c>
      <c r="D905" s="2" t="s">
        <v>12</v>
      </c>
      <c r="E905" s="8" t="n">
        <v>44396</v>
      </c>
      <c r="F905" s="2" t="s">
        <v>15</v>
      </c>
      <c r="G905" s="7" t="str">
        <f aca="false">HYPERLINK("https://mncourtfraud.com/file/MCRO_27-CR-21-12749_Order-Evaluation for Competency to Proceed (Rule 20.01)_2021-07-19_20251126182123.pdf","MCRO_27-CR-21-12749_Order-Evaluation for Competency to Proceed (Rule 20.01)_2021-07-19_20251126182123.pdf")</f>
        <v>MCRO_27-CR-21-12749_Order-Evaluation for Competency to Proceed (Rule 20.01)_2021-07-19_20251126182123.pdf</v>
      </c>
      <c r="H905" s="7" t="str">
        <f aca="false">HYPERLINK("https://mncourtfraud.com/file/2e0ad989e19bed8c40bff7299478e21b3f474b5d0bd2640069f08aa9374f75c5.png","2e0ad989e19bed8c40bff7299478e21b3f474b5d0bd2640069f08aa9374f75c5")</f>
        <v>2e0ad989e19bed8c40bff7299478e21b3f474b5d0bd2640069f08aa9374f75c5</v>
      </c>
      <c r="I905" s="1" t="s">
        <v>3406</v>
      </c>
      <c r="L905" s="2" t="s">
        <v>3412</v>
      </c>
      <c r="M905" s="2" t="n">
        <v>153281</v>
      </c>
      <c r="S905" s="2" t="n">
        <v>2550</v>
      </c>
      <c r="T905" s="2" t="n">
        <v>3300</v>
      </c>
    </row>
    <row r="906" customFormat="false" ht="18.7" hidden="false" customHeight="true" outlineLevel="0" collapsed="false">
      <c r="A906" s="1" t="n">
        <v>905</v>
      </c>
      <c r="B906" s="7" t="str">
        <f aca="false">HYPERLINK("https://mncourtfraud.com/file/27-CR-21-12749.pdf","27-CR-21-12749")</f>
        <v>27-CR-21-12749</v>
      </c>
      <c r="C906" s="1" t="n">
        <v>1</v>
      </c>
      <c r="D906" s="2" t="s">
        <v>12</v>
      </c>
      <c r="E906" s="8" t="n">
        <v>44396</v>
      </c>
      <c r="F906" s="2" t="s">
        <v>15</v>
      </c>
      <c r="G906" s="7" t="str">
        <f aca="false">HYPERLINK("https://mncourtfraud.com/file/MCRO_27-CR-21-12749_Order-Evaluation for Competency to Proceed (Rule 20.01)_2021-07-19_20251126182123.pdf","MCRO_27-CR-21-12749_Order-Evaluation for Competency to Proceed (Rule 20.01)_2021-07-19_20251126182123.pdf")</f>
        <v>MCRO_27-CR-21-12749_Order-Evaluation for Competency to Proceed (Rule 20.01)_2021-07-19_20251126182123.pdf</v>
      </c>
      <c r="H906" s="7" t="str">
        <f aca="false">HYPERLINK("https://mncourtfraud.com/file/85c84516b0d494fa8df18003498739a5d6530b41f3a8aa70b69b61c8b2bddd14.ttf","85c84516b0d494fa8df18003498739a5d6530b41f3a8aa70b69b61c8b2bddd14")</f>
        <v>85c84516b0d494fa8df18003498739a5d6530b41f3a8aa70b69b61c8b2bddd14</v>
      </c>
      <c r="I906" s="1" t="s">
        <v>3413</v>
      </c>
      <c r="L906" s="2" t="s">
        <v>3415</v>
      </c>
      <c r="M906" s="2" t="n">
        <v>333576</v>
      </c>
    </row>
    <row r="907" customFormat="false" ht="18.7" hidden="false" customHeight="true" outlineLevel="0" collapsed="false">
      <c r="A907" s="1" t="n">
        <v>906</v>
      </c>
      <c r="B907" s="7" t="str">
        <f aca="false">HYPERLINK("https://mncourtfraud.com/file/27-CR-21-12749.pdf","27-CR-21-12749")</f>
        <v>27-CR-21-12749</v>
      </c>
      <c r="C907" s="1" t="n">
        <v>1</v>
      </c>
      <c r="D907" s="2" t="s">
        <v>12</v>
      </c>
      <c r="E907" s="8" t="n">
        <v>44396</v>
      </c>
      <c r="F907" s="2" t="s">
        <v>15</v>
      </c>
      <c r="G907" s="7" t="str">
        <f aca="false">HYPERLINK("https://mncourtfraud.com/file/MCRO_27-CR-21-12749_Order-Evaluation for Competency to Proceed (Rule 20.01)_2021-07-19_20251126182123.pdf","MCRO_27-CR-21-12749_Order-Evaluation for Competency to Proceed (Rule 20.01)_2021-07-19_20251126182123.pdf")</f>
        <v>MCRO_27-CR-21-12749_Order-Evaluation for Competency to Proceed (Rule 20.01)_2021-07-19_20251126182123.pdf</v>
      </c>
      <c r="H907" s="7" t="str">
        <f aca="false">HYPERLINK("https://mncourtfraud.com/file/ba6914c5c0a7a2f585aa32aef937f09008d74e56594cea955f1c7845ad0c562f.png","ba6914c5c0a7a2f585aa32aef937f09008d74e56594cea955f1c7845ad0c562f")</f>
        <v>ba6914c5c0a7a2f585aa32aef937f09008d74e56594cea955f1c7845ad0c562f</v>
      </c>
      <c r="I907" s="1" t="s">
        <v>3406</v>
      </c>
      <c r="L907" s="2" t="s">
        <v>3412</v>
      </c>
      <c r="M907" s="2" t="n">
        <v>142106</v>
      </c>
      <c r="S907" s="2" t="n">
        <v>2550</v>
      </c>
      <c r="T907" s="2" t="n">
        <v>3300</v>
      </c>
    </row>
    <row r="908" customFormat="false" ht="18.7" hidden="false" customHeight="true" outlineLevel="0" collapsed="false">
      <c r="A908" s="1" t="n">
        <v>907</v>
      </c>
      <c r="B908" s="7" t="str">
        <f aca="false">HYPERLINK("https://mncourtfraud.com/file/27-CR-21-12749.pdf","27-CR-21-12749")</f>
        <v>27-CR-21-12749</v>
      </c>
      <c r="C908" s="1" t="n">
        <v>1</v>
      </c>
      <c r="D908" s="2" t="s">
        <v>12</v>
      </c>
      <c r="E908" s="8" t="n">
        <v>44405</v>
      </c>
      <c r="F908" s="2" t="s">
        <v>145</v>
      </c>
      <c r="G908" s="7" t="str">
        <f aca="false">HYPERLINK("https://mncourtfraud.com/file/MCRO_27-CR-21-12749_Demand or Request for Discovery_2021-07-28_20251126181936.pdf","MCRO_27-CR-21-12749_Demand or Request for Discovery_2021-07-28_20251126181936.pdf")</f>
        <v>MCRO_27-CR-21-12749_Demand or Request for Discovery_2021-07-28_20251126181936.pdf</v>
      </c>
      <c r="H908" s="7" t="str">
        <f aca="false">HYPERLINK("https://mncourtfraud.com/file/25ee8416722147bfd2ec424e2ee4e63020e6e32be83a197a68bd58eeac46433c.ttf","25ee8416722147bfd2ec424e2ee4e63020e6e32be83a197a68bd58eeac46433c")</f>
        <v>25ee8416722147bfd2ec424e2ee4e63020e6e32be83a197a68bd58eeac46433c</v>
      </c>
      <c r="I908" s="1" t="s">
        <v>3413</v>
      </c>
      <c r="J908" s="2" t="s">
        <v>3473</v>
      </c>
      <c r="K908" s="2" t="s">
        <v>3473</v>
      </c>
      <c r="L908" s="2" t="s">
        <v>3415</v>
      </c>
      <c r="M908" s="2" t="n">
        <v>77476</v>
      </c>
      <c r="N908" s="2" t="s">
        <v>3474</v>
      </c>
    </row>
    <row r="909" customFormat="false" ht="18.7" hidden="false" customHeight="true" outlineLevel="0" collapsed="false">
      <c r="A909" s="1" t="n">
        <v>908</v>
      </c>
      <c r="B909" s="7" t="str">
        <f aca="false">HYPERLINK("https://mncourtfraud.com/file/27-CR-21-12749.pdf","27-CR-21-12749")</f>
        <v>27-CR-21-12749</v>
      </c>
      <c r="C909" s="1" t="n">
        <v>1</v>
      </c>
      <c r="D909" s="2" t="s">
        <v>12</v>
      </c>
      <c r="E909" s="8" t="n">
        <v>44405</v>
      </c>
      <c r="F909" s="2" t="s">
        <v>145</v>
      </c>
      <c r="G909" s="7" t="str">
        <f aca="false">HYPERLINK("https://mncourtfraud.com/file/MCRO_27-CR-21-12749_Demand or Request for Discovery_2021-07-28_20251126181936.pdf","MCRO_27-CR-21-12749_Demand or Request for Discovery_2021-07-28_20251126181936.pdf")</f>
        <v>MCRO_27-CR-21-12749_Demand or Request for Discovery_2021-07-28_20251126181936.pdf</v>
      </c>
      <c r="H909" s="7" t="str">
        <f aca="false">HYPERLINK("https://mncourtfraud.com/file/40a1ec841602d50e856ccfaa64ad441905ec70a9ff87dba68880ff69995815d1.ttf","40a1ec841602d50e856ccfaa64ad441905ec70a9ff87dba68880ff69995815d1")</f>
        <v>40a1ec841602d50e856ccfaa64ad441905ec70a9ff87dba68880ff69995815d1</v>
      </c>
      <c r="I909" s="1" t="s">
        <v>3413</v>
      </c>
      <c r="J909" s="2" t="s">
        <v>3475</v>
      </c>
      <c r="K909" s="2" t="s">
        <v>3475</v>
      </c>
      <c r="L909" s="2" t="s">
        <v>3415</v>
      </c>
      <c r="M909" s="2" t="n">
        <v>38978</v>
      </c>
      <c r="N909" s="2" t="s">
        <v>3476</v>
      </c>
    </row>
    <row r="910" customFormat="false" ht="18.7" hidden="false" customHeight="true" outlineLevel="0" collapsed="false">
      <c r="A910" s="1" t="n">
        <v>909</v>
      </c>
      <c r="B910" s="7" t="str">
        <f aca="false">HYPERLINK("https://mncourtfraud.com/file/27-CR-21-12749.pdf","27-CR-21-12749")</f>
        <v>27-CR-21-12749</v>
      </c>
      <c r="C910" s="1" t="n">
        <v>1</v>
      </c>
      <c r="D910" s="2" t="s">
        <v>12</v>
      </c>
      <c r="E910" s="8" t="n">
        <v>44405</v>
      </c>
      <c r="F910" s="2" t="s">
        <v>145</v>
      </c>
      <c r="G910" s="7" t="str">
        <f aca="false">HYPERLINK("https://mncourtfraud.com/file/MCRO_27-CR-21-12749_Demand or Request for Discovery_2021-07-28_20251126181936.pdf","MCRO_27-CR-21-12749_Demand or Request for Discovery_2021-07-28_20251126181936.pdf")</f>
        <v>MCRO_27-CR-21-12749_Demand or Request for Discovery_2021-07-28_20251126181936.pdf</v>
      </c>
      <c r="H910" s="7" t="str">
        <f aca="false">HYPERLINK("https://mncourtfraud.com/file/83d7b0d0410ae04bb0640a217708814df792a301e1fdedb8128313f9b6f0e7bc.ttf","83d7b0d0410ae04bb0640a217708814df792a301e1fdedb8128313f9b6f0e7bc")</f>
        <v>83d7b0d0410ae04bb0640a217708814df792a301e1fdedb8128313f9b6f0e7bc</v>
      </c>
      <c r="I910" s="1" t="s">
        <v>3413</v>
      </c>
      <c r="J910" s="2" t="s">
        <v>3477</v>
      </c>
      <c r="K910" s="2" t="s">
        <v>3477</v>
      </c>
      <c r="L910" s="2" t="s">
        <v>3415</v>
      </c>
      <c r="M910" s="2" t="n">
        <v>51515</v>
      </c>
      <c r="N910" s="2" t="s">
        <v>3478</v>
      </c>
    </row>
    <row r="911" customFormat="false" ht="18.7" hidden="false" customHeight="true" outlineLevel="0" collapsed="false">
      <c r="A911" s="1" t="n">
        <v>910</v>
      </c>
      <c r="B911" s="7" t="str">
        <f aca="false">HYPERLINK("https://mncourtfraud.com/file/27-CR-21-12749.pdf","27-CR-21-12749")</f>
        <v>27-CR-21-12749</v>
      </c>
      <c r="C911" s="1" t="n">
        <v>1</v>
      </c>
      <c r="D911" s="2" t="s">
        <v>12</v>
      </c>
      <c r="E911" s="8" t="n">
        <v>44405</v>
      </c>
      <c r="F911" s="2" t="s">
        <v>145</v>
      </c>
      <c r="G911" s="7" t="str">
        <f aca="false">HYPERLINK("https://mncourtfraud.com/file/MCRO_27-CR-21-12749_Demand or Request for Discovery_2021-07-28_20251126181936.pdf","MCRO_27-CR-21-12749_Demand or Request for Discovery_2021-07-28_20251126181936.pdf")</f>
        <v>MCRO_27-CR-21-12749_Demand or Request for Discovery_2021-07-28_20251126181936.pdf</v>
      </c>
      <c r="H911" s="7" t="str">
        <f aca="false">HYPERLINK("https://mncourtfraud.com/file/d014ce13dd8715d5efd2505663fb382b0ce321ed21ec6a14be0aa50f581136e3.ttf","d014ce13dd8715d5efd2505663fb382b0ce321ed21ec6a14be0aa50f581136e3")</f>
        <v>d014ce13dd8715d5efd2505663fb382b0ce321ed21ec6a14be0aa50f581136e3</v>
      </c>
      <c r="I911" s="1" t="s">
        <v>3413</v>
      </c>
      <c r="J911" s="2" t="s">
        <v>3479</v>
      </c>
      <c r="K911" s="2" t="s">
        <v>3479</v>
      </c>
      <c r="L911" s="2" t="s">
        <v>3415</v>
      </c>
      <c r="M911" s="2" t="n">
        <v>98894</v>
      </c>
      <c r="N911" s="2" t="s">
        <v>3480</v>
      </c>
    </row>
    <row r="912" customFormat="false" ht="18.7" hidden="false" customHeight="true" outlineLevel="0" collapsed="false">
      <c r="A912" s="1" t="n">
        <v>911</v>
      </c>
      <c r="B912" s="7" t="str">
        <f aca="false">HYPERLINK("https://mncourtfraud.com/file/27-CR-21-12749.pdf","27-CR-21-12749")</f>
        <v>27-CR-21-12749</v>
      </c>
      <c r="C912" s="1" t="n">
        <v>1</v>
      </c>
      <c r="D912" s="2" t="s">
        <v>12</v>
      </c>
      <c r="E912" s="8" t="n">
        <v>44439</v>
      </c>
      <c r="F912" s="2" t="s">
        <v>19</v>
      </c>
      <c r="G912" s="7" t="str">
        <f aca="false">HYPERLINK("https://mncourtfraud.com/file/MCRO_27-CR-21-12749_Findings and Order_2021-08-31_20251126182009.pdf","MCRO_27-CR-21-12749_Findings and Order_2021-08-31_20251126182009.pdf")</f>
        <v>MCRO_27-CR-21-12749_Findings and Order_2021-08-31_20251126182009.pdf</v>
      </c>
      <c r="H912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912" s="1" t="s">
        <v>3413</v>
      </c>
      <c r="J912" s="2" t="s">
        <v>3426</v>
      </c>
      <c r="K912" s="2" t="s">
        <v>3426</v>
      </c>
      <c r="L912" s="2" t="s">
        <v>3415</v>
      </c>
      <c r="M912" s="2" t="n">
        <v>74997</v>
      </c>
      <c r="N912" s="2" t="s">
        <v>3427</v>
      </c>
    </row>
    <row r="913" customFormat="false" ht="18.7" hidden="false" customHeight="true" outlineLevel="0" collapsed="false">
      <c r="A913" s="1" t="n">
        <v>912</v>
      </c>
      <c r="B913" s="7" t="str">
        <f aca="false">HYPERLINK("https://mncourtfraud.com/file/27-CR-21-12749.pdf","27-CR-21-12749")</f>
        <v>27-CR-21-12749</v>
      </c>
      <c r="C913" s="1" t="n">
        <v>1</v>
      </c>
      <c r="D913" s="2" t="s">
        <v>12</v>
      </c>
      <c r="E913" s="8" t="n">
        <v>44439</v>
      </c>
      <c r="F913" s="2" t="s">
        <v>19</v>
      </c>
      <c r="G913" s="7" t="str">
        <f aca="false">HYPERLINK("https://mncourtfraud.com/file/MCRO_27-CR-21-12749_Findings and Order_2021-08-31_20251126182009.pdf","MCRO_27-CR-21-12749_Findings and Order_2021-08-31_20251126182009.pdf")</f>
        <v>MCRO_27-CR-21-12749_Findings and Order_2021-08-31_20251126182009.pdf</v>
      </c>
      <c r="H913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913" s="1" t="s">
        <v>3413</v>
      </c>
      <c r="J913" s="2" t="s">
        <v>3414</v>
      </c>
      <c r="K913" s="2" t="s">
        <v>3414</v>
      </c>
      <c r="L913" s="2" t="s">
        <v>3415</v>
      </c>
      <c r="M913" s="2" t="n">
        <v>65384</v>
      </c>
    </row>
    <row r="914" customFormat="false" ht="18.7" hidden="false" customHeight="true" outlineLevel="0" collapsed="false">
      <c r="A914" s="1" t="n">
        <v>913</v>
      </c>
      <c r="B914" s="7" t="str">
        <f aca="false">HYPERLINK("https://mncourtfraud.com/file/27-CR-21-12749.pdf","27-CR-21-12749")</f>
        <v>27-CR-21-12749</v>
      </c>
      <c r="C914" s="1" t="n">
        <v>1</v>
      </c>
      <c r="D914" s="2" t="s">
        <v>12</v>
      </c>
      <c r="E914" s="8" t="n">
        <v>44439</v>
      </c>
      <c r="F914" s="2" t="s">
        <v>19</v>
      </c>
      <c r="G914" s="7" t="str">
        <f aca="false">HYPERLINK("https://mncourtfraud.com/file/MCRO_27-CR-21-12749_Findings and Order_2021-08-31_20251126182009.pdf","MCRO_27-CR-21-12749_Findings and Order_2021-08-31_20251126182009.pdf")</f>
        <v>MCRO_27-CR-21-12749_Findings and Order_2021-08-31_20251126182009.pdf</v>
      </c>
      <c r="H914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914" s="1" t="s">
        <v>3413</v>
      </c>
      <c r="J914" s="2" t="s">
        <v>3414</v>
      </c>
      <c r="K914" s="2" t="s">
        <v>3414</v>
      </c>
      <c r="L914" s="2" t="s">
        <v>3415</v>
      </c>
      <c r="M914" s="2" t="n">
        <v>65384</v>
      </c>
    </row>
    <row r="915" customFormat="false" ht="18.7" hidden="false" customHeight="true" outlineLevel="0" collapsed="false">
      <c r="A915" s="1" t="n">
        <v>914</v>
      </c>
      <c r="B915" s="7" t="str">
        <f aca="false">HYPERLINK("https://mncourtfraud.com/file/27-CR-21-12749.pdf","27-CR-21-12749")</f>
        <v>27-CR-21-12749</v>
      </c>
      <c r="C915" s="1" t="n">
        <v>1</v>
      </c>
      <c r="D915" s="2" t="s">
        <v>12</v>
      </c>
      <c r="E915" s="8" t="n">
        <v>44439</v>
      </c>
      <c r="F915" s="2" t="s">
        <v>19</v>
      </c>
      <c r="G915" s="7" t="str">
        <f aca="false">HYPERLINK("https://mncourtfraud.com/file/MCRO_27-CR-21-12749_Findings and Order_2021-08-31_20251126182009.pdf","MCRO_27-CR-21-12749_Findings and Order_2021-08-31_20251126182009.pdf")</f>
        <v>MCRO_27-CR-21-12749_Findings and Order_2021-08-31_20251126182009.pdf</v>
      </c>
      <c r="H915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915" s="1" t="s">
        <v>3428</v>
      </c>
      <c r="J915" s="2" t="s">
        <v>3429</v>
      </c>
      <c r="K915" s="2" t="s">
        <v>3429</v>
      </c>
      <c r="L915" s="2" t="s">
        <v>3415</v>
      </c>
      <c r="M915" s="2" t="n">
        <v>86093</v>
      </c>
    </row>
    <row r="916" customFormat="false" ht="18.7" hidden="false" customHeight="true" outlineLevel="0" collapsed="false">
      <c r="A916" s="1" t="n">
        <v>915</v>
      </c>
      <c r="B916" s="7" t="str">
        <f aca="false">HYPERLINK("https://mncourtfraud.com/file/27-CR-21-12749.pdf","27-CR-21-12749")</f>
        <v>27-CR-21-12749</v>
      </c>
      <c r="C916" s="1" t="n">
        <v>1</v>
      </c>
      <c r="D916" s="2" t="s">
        <v>12</v>
      </c>
      <c r="E916" s="8" t="n">
        <v>44439</v>
      </c>
      <c r="F916" s="2" t="s">
        <v>19</v>
      </c>
      <c r="G916" s="7" t="str">
        <f aca="false">HYPERLINK("https://mncourtfraud.com/file/MCRO_27-CR-21-12749_Findings and Order_2021-08-31_20251126182009.pdf","MCRO_27-CR-21-12749_Findings and Order_2021-08-31_20251126182009.pdf")</f>
        <v>MCRO_27-CR-21-12749_Findings and Order_2021-08-31_20251126182009.pdf</v>
      </c>
      <c r="H916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916" s="1" t="s">
        <v>3406</v>
      </c>
      <c r="K916" s="2" t="s">
        <v>3430</v>
      </c>
      <c r="L916" s="2" t="s">
        <v>3408</v>
      </c>
      <c r="M916" s="2" t="n">
        <v>28069</v>
      </c>
      <c r="O916" s="2" t="s">
        <v>3409</v>
      </c>
      <c r="P916" s="2" t="s">
        <v>3410</v>
      </c>
      <c r="S916" s="2" t="n">
        <v>448</v>
      </c>
      <c r="T916" s="2" t="n">
        <v>128</v>
      </c>
    </row>
    <row r="917" customFormat="false" ht="18.7" hidden="false" customHeight="true" outlineLevel="0" collapsed="false">
      <c r="A917" s="1" t="n">
        <v>916</v>
      </c>
      <c r="B917" s="7" t="str">
        <f aca="false">HYPERLINK("https://mncourtfraud.com/file/27-CR-21-12749.pdf","27-CR-21-12749")</f>
        <v>27-CR-21-12749</v>
      </c>
      <c r="C917" s="1" t="n">
        <v>1</v>
      </c>
      <c r="D917" s="2" t="s">
        <v>12</v>
      </c>
      <c r="E917" s="8" t="n">
        <v>44439</v>
      </c>
      <c r="F917" s="2" t="s">
        <v>19</v>
      </c>
      <c r="G917" s="7" t="str">
        <f aca="false">HYPERLINK("https://mncourtfraud.com/file/MCRO_27-CR-21-12749_Findings and Order_2021-08-31_20251126182009.pdf","MCRO_27-CR-21-12749_Findings and Order_2021-08-31_20251126182009.pdf")</f>
        <v>MCRO_27-CR-21-12749_Findings and Order_2021-08-31_20251126182009.pdf</v>
      </c>
      <c r="H917" s="7" t="str">
        <f aca="false">HYPERLINK("https://mncourtfraud.com/file/d85226137c53579f37f2c87321a4ff209a309a82330591d9457774d7d697befc.ttf","d85226137c53579f37f2c87321a4ff209a309a82330591d9457774d7d697befc")</f>
        <v>d85226137c53579f37f2c87321a4ff209a309a82330591d9457774d7d697befc</v>
      </c>
      <c r="I917" s="1" t="s">
        <v>3413</v>
      </c>
      <c r="J917" s="2" t="s">
        <v>3414</v>
      </c>
      <c r="K917" s="2" t="s">
        <v>3416</v>
      </c>
      <c r="L917" s="2" t="s">
        <v>3415</v>
      </c>
      <c r="M917" s="2" t="n">
        <v>49992</v>
      </c>
    </row>
    <row r="918" customFormat="false" ht="18.7" hidden="false" customHeight="true" outlineLevel="0" collapsed="false">
      <c r="A918" s="1" t="n">
        <v>917</v>
      </c>
      <c r="B918" s="7" t="str">
        <f aca="false">HYPERLINK("https://mncourtfraud.com/file/27-CR-21-12749.pdf","27-CR-21-12749")</f>
        <v>27-CR-21-12749</v>
      </c>
      <c r="C918" s="1" t="n">
        <v>1</v>
      </c>
      <c r="D918" s="2" t="s">
        <v>12</v>
      </c>
      <c r="E918" s="8" t="n">
        <v>44460</v>
      </c>
      <c r="F918" s="2" t="s">
        <v>24</v>
      </c>
      <c r="G918" s="7" t="str">
        <f aca="false">HYPERLINK("https://mncourtfraud.com/file/MCRO_27-CR-21-12749_Order for Conditional Release_2021-09-21_20251126182103.pdf","MCRO_27-CR-21-12749_Order for Conditional Release_2021-09-21_20251126182103.pdf")</f>
        <v>MCRO_27-CR-21-12749_Order for Conditional Release_2021-09-21_20251126182103.pdf</v>
      </c>
      <c r="H918" s="7" t="str">
        <f aca="false">HYPERLINK("https://mncourtfraud.com/file/02dfb6e08fd11b3563d1b9b621b56dbf2dc11acbd85e42bfd83f728fb300bef2.ttf","02dfb6e08fd11b3563d1b9b621b56dbf2dc11acbd85e42bfd83f728fb300bef2")</f>
        <v>02dfb6e08fd11b3563d1b9b621b56dbf2dc11acbd85e42bfd83f728fb300bef2</v>
      </c>
      <c r="I918" s="1" t="s">
        <v>3413</v>
      </c>
      <c r="L918" s="2" t="s">
        <v>3415</v>
      </c>
      <c r="M918" s="2" t="n">
        <v>333576</v>
      </c>
    </row>
    <row r="919" customFormat="false" ht="18.7" hidden="false" customHeight="true" outlineLevel="0" collapsed="false">
      <c r="A919" s="1" t="n">
        <v>918</v>
      </c>
      <c r="B919" s="7" t="str">
        <f aca="false">HYPERLINK("https://mncourtfraud.com/file/27-CR-21-12749.pdf","27-CR-21-12749")</f>
        <v>27-CR-21-12749</v>
      </c>
      <c r="C919" s="1" t="n">
        <v>1</v>
      </c>
      <c r="D919" s="2" t="s">
        <v>12</v>
      </c>
      <c r="E919" s="8" t="n">
        <v>44460</v>
      </c>
      <c r="F919" s="2" t="s">
        <v>24</v>
      </c>
      <c r="G919" s="7" t="str">
        <f aca="false">HYPERLINK("https://mncourtfraud.com/file/MCRO_27-CR-21-12749_Order for Conditional Release_2021-09-21_20251126182103.pdf","MCRO_27-CR-21-12749_Order for Conditional Release_2021-09-21_20251126182103.pdf")</f>
        <v>MCRO_27-CR-21-12749_Order for Conditional Release_2021-09-21_20251126182103.pdf</v>
      </c>
      <c r="H919" s="7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919" s="1" t="s">
        <v>3406</v>
      </c>
      <c r="L919" s="2" t="s">
        <v>3412</v>
      </c>
      <c r="M919" s="2" t="n">
        <v>152962</v>
      </c>
      <c r="S919" s="2" t="n">
        <v>2560</v>
      </c>
      <c r="T919" s="2" t="n">
        <v>3300</v>
      </c>
    </row>
    <row r="920" customFormat="false" ht="18.7" hidden="false" customHeight="true" outlineLevel="0" collapsed="false">
      <c r="A920" s="1" t="n">
        <v>919</v>
      </c>
      <c r="B920" s="7" t="str">
        <f aca="false">HYPERLINK("https://mncourtfraud.com/file/27-CR-21-12749.pdf","27-CR-21-12749")</f>
        <v>27-CR-21-12749</v>
      </c>
      <c r="C920" s="1" t="n">
        <v>1</v>
      </c>
      <c r="D920" s="2" t="s">
        <v>12</v>
      </c>
      <c r="E920" s="8" t="n">
        <v>44468</v>
      </c>
      <c r="F920" s="2" t="s">
        <v>24</v>
      </c>
      <c r="G920" s="7" t="str">
        <f aca="false">HYPERLINK("https://mncourtfraud.com/file/MCRO_27-CR-21-12749_Order for Conditional Release_2021-09-29_20251126182110.pdf","MCRO_27-CR-21-12749_Order for Conditional Release_2021-09-29_20251126182110.pdf")</f>
        <v>MCRO_27-CR-21-12749_Order for Conditional Release_2021-09-29_20251126182110.pdf</v>
      </c>
      <c r="H920" s="7" t="str">
        <f aca="false">HYPERLINK("https://mncourtfraud.com/file/29d541cb6920f2a0815a72232c8164e19ffda7ff89f025261d343aef97d55c23.png","29d541cb6920f2a0815a72232c8164e19ffda7ff89f025261d343aef97d55c23")</f>
        <v>29d541cb6920f2a0815a72232c8164e19ffda7ff89f025261d343aef97d55c23</v>
      </c>
      <c r="I920" s="1" t="s">
        <v>3406</v>
      </c>
      <c r="L920" s="2" t="s">
        <v>3412</v>
      </c>
      <c r="M920" s="2" t="n">
        <v>104</v>
      </c>
      <c r="S920" s="2" t="n">
        <v>5</v>
      </c>
      <c r="T920" s="2" t="n">
        <v>75</v>
      </c>
    </row>
    <row r="921" customFormat="false" ht="18.7" hidden="false" customHeight="true" outlineLevel="0" collapsed="false">
      <c r="A921" s="1" t="n">
        <v>920</v>
      </c>
      <c r="B921" s="7" t="str">
        <f aca="false">HYPERLINK("https://mncourtfraud.com/file/27-CR-21-12749.pdf","27-CR-21-12749")</f>
        <v>27-CR-21-12749</v>
      </c>
      <c r="C921" s="1" t="n">
        <v>1</v>
      </c>
      <c r="D921" s="2" t="s">
        <v>12</v>
      </c>
      <c r="E921" s="8" t="n">
        <v>44468</v>
      </c>
      <c r="F921" s="2" t="s">
        <v>24</v>
      </c>
      <c r="G921" s="7" t="str">
        <f aca="false">HYPERLINK("https://mncourtfraud.com/file/MCRO_27-CR-21-12749_Order for Conditional Release_2021-09-29_20251126182110.pdf","MCRO_27-CR-21-12749_Order for Conditional Release_2021-09-29_20251126182110.pdf")</f>
        <v>MCRO_27-CR-21-12749_Order for Conditional Release_2021-09-29_20251126182110.pdf</v>
      </c>
      <c r="H921" s="7" t="str">
        <f aca="false">HYPERLINK("https://mncourtfraud.com/file/3d978c70f8a4a91fd25d0f653c2931516767fdd837fcadff75a8c3cd2ba3a28e.png","3d978c70f8a4a91fd25d0f653c2931516767fdd837fcadff75a8c3cd2ba3a28e")</f>
        <v>3d978c70f8a4a91fd25d0f653c2931516767fdd837fcadff75a8c3cd2ba3a28e</v>
      </c>
      <c r="I921" s="1" t="s">
        <v>3406</v>
      </c>
      <c r="L921" s="2" t="s">
        <v>3412</v>
      </c>
      <c r="M921" s="2" t="n">
        <v>2435</v>
      </c>
      <c r="S921" s="2" t="n">
        <v>1069</v>
      </c>
      <c r="T921" s="2" t="n">
        <v>679</v>
      </c>
    </row>
    <row r="922" customFormat="false" ht="18.7" hidden="false" customHeight="true" outlineLevel="0" collapsed="false">
      <c r="A922" s="1" t="n">
        <v>921</v>
      </c>
      <c r="B922" s="7" t="str">
        <f aca="false">HYPERLINK("https://mncourtfraud.com/file/27-CR-21-12749.pdf","27-CR-21-12749")</f>
        <v>27-CR-21-12749</v>
      </c>
      <c r="C922" s="1" t="n">
        <v>1</v>
      </c>
      <c r="D922" s="2" t="s">
        <v>12</v>
      </c>
      <c r="E922" s="8" t="n">
        <v>44468</v>
      </c>
      <c r="F922" s="2" t="s">
        <v>24</v>
      </c>
      <c r="G922" s="7" t="str">
        <f aca="false">HYPERLINK("https://mncourtfraud.com/file/MCRO_27-CR-21-12749_Order for Conditional Release_2021-09-29_20251126182110.pdf","MCRO_27-CR-21-12749_Order for Conditional Release_2021-09-29_20251126182110.pdf")</f>
        <v>MCRO_27-CR-21-12749_Order for Conditional Release_2021-09-29_20251126182110.pdf</v>
      </c>
      <c r="H922" s="7" t="str">
        <f aca="false">HYPERLINK("https://mncourtfraud.com/file/3f202249d41f264cabf7a4fd2c634829df7886c25cb759658f06c1a8bca28360.cid","3f202249d41f264cabf7a4fd2c634829df7886c25cb759658f06c1a8bca28360")</f>
        <v>3f202249d41f264cabf7a4fd2c634829df7886c25cb759658f06c1a8bca28360</v>
      </c>
      <c r="I922" s="1" t="s">
        <v>3431</v>
      </c>
      <c r="L922" s="2" t="s">
        <v>3415</v>
      </c>
      <c r="M922" s="2" t="n">
        <v>1397</v>
      </c>
    </row>
    <row r="923" customFormat="false" ht="18.7" hidden="false" customHeight="true" outlineLevel="0" collapsed="false">
      <c r="A923" s="1" t="n">
        <v>922</v>
      </c>
      <c r="B923" s="7" t="str">
        <f aca="false">HYPERLINK("https://mncourtfraud.com/file/27-CR-21-12749.pdf","27-CR-21-12749")</f>
        <v>27-CR-21-12749</v>
      </c>
      <c r="C923" s="1" t="n">
        <v>1</v>
      </c>
      <c r="D923" s="2" t="s">
        <v>12</v>
      </c>
      <c r="E923" s="8" t="n">
        <v>44468</v>
      </c>
      <c r="F923" s="2" t="s">
        <v>24</v>
      </c>
      <c r="G923" s="7" t="str">
        <f aca="false">HYPERLINK("https://mncourtfraud.com/file/MCRO_27-CR-21-12749_Order for Conditional Release_2021-09-29_20251126182110.pdf","MCRO_27-CR-21-12749_Order for Conditional Release_2021-09-29_20251126182110.pdf")</f>
        <v>MCRO_27-CR-21-12749_Order for Conditional Release_2021-09-29_20251126182110.pdf</v>
      </c>
      <c r="H923" s="7" t="str">
        <f aca="false">HYPERLINK("https://mncourtfraud.com/file/425a64ecdc19aa0c86b927b2be8980d179c92ac4af2a49d3c3ad0aa278728c52.png","425a64ecdc19aa0c86b927b2be8980d179c92ac4af2a49d3c3ad0aa278728c52")</f>
        <v>425a64ecdc19aa0c86b927b2be8980d179c92ac4af2a49d3c3ad0aa278728c52</v>
      </c>
      <c r="I923" s="1" t="s">
        <v>3406</v>
      </c>
      <c r="L923" s="2" t="s">
        <v>3412</v>
      </c>
      <c r="M923" s="2" t="n">
        <v>520</v>
      </c>
      <c r="S923" s="2" t="n">
        <v>126</v>
      </c>
      <c r="T923" s="2" t="n">
        <v>150</v>
      </c>
    </row>
    <row r="924" customFormat="false" ht="18.7" hidden="false" customHeight="true" outlineLevel="0" collapsed="false">
      <c r="A924" s="1" t="n">
        <v>923</v>
      </c>
      <c r="B924" s="7" t="str">
        <f aca="false">HYPERLINK("https://mncourtfraud.com/file/27-CR-21-12749.pdf","27-CR-21-12749")</f>
        <v>27-CR-21-12749</v>
      </c>
      <c r="C924" s="1" t="n">
        <v>1</v>
      </c>
      <c r="D924" s="2" t="s">
        <v>12</v>
      </c>
      <c r="E924" s="8" t="n">
        <v>44468</v>
      </c>
      <c r="F924" s="2" t="s">
        <v>24</v>
      </c>
      <c r="G924" s="7" t="str">
        <f aca="false">HYPERLINK("https://mncourtfraud.com/file/MCRO_27-CR-21-12749_Order for Conditional Release_2021-09-29_20251126182110.pdf","MCRO_27-CR-21-12749_Order for Conditional Release_2021-09-29_20251126182110.pdf")</f>
        <v>MCRO_27-CR-21-12749_Order for Conditional Release_2021-09-29_20251126182110.pdf</v>
      </c>
      <c r="H924" s="7" t="str">
        <f aca="false">HYPERLINK("https://mncourtfraud.com/file/4458a2b033c8132fd890227750c1df180ec4563b9dc0a6394b3691240425c9b3.cid","4458a2b033c8132fd890227750c1df180ec4563b9dc0a6394b3691240425c9b3")</f>
        <v>4458a2b033c8132fd890227750c1df180ec4563b9dc0a6394b3691240425c9b3</v>
      </c>
      <c r="I924" s="1" t="s">
        <v>3431</v>
      </c>
      <c r="L924" s="2" t="s">
        <v>3415</v>
      </c>
      <c r="M924" s="2" t="n">
        <v>3580</v>
      </c>
    </row>
    <row r="925" customFormat="false" ht="18.7" hidden="false" customHeight="true" outlineLevel="0" collapsed="false">
      <c r="A925" s="1" t="n">
        <v>924</v>
      </c>
      <c r="B925" s="7" t="str">
        <f aca="false">HYPERLINK("https://mncourtfraud.com/file/27-CR-21-12749.pdf","27-CR-21-12749")</f>
        <v>27-CR-21-12749</v>
      </c>
      <c r="C925" s="1" t="n">
        <v>1</v>
      </c>
      <c r="D925" s="2" t="s">
        <v>12</v>
      </c>
      <c r="E925" s="8" t="n">
        <v>44468</v>
      </c>
      <c r="F925" s="2" t="s">
        <v>24</v>
      </c>
      <c r="G925" s="7" t="str">
        <f aca="false">HYPERLINK("https://mncourtfraud.com/file/MCRO_27-CR-21-12749_Order for Conditional Release_2021-09-29_20251126182110.pdf","MCRO_27-CR-21-12749_Order for Conditional Release_2021-09-29_20251126182110.pdf")</f>
        <v>MCRO_27-CR-21-12749_Order for Conditional Release_2021-09-29_20251126182110.pdf</v>
      </c>
      <c r="H925" s="7" t="str">
        <f aca="false">HYPERLINK("https://mncourtfraud.com/file/45a9f49ddf96d4a4dcf4561d2702204f448986045babf3fdd52fa18200557e31.png","45a9f49ddf96d4a4dcf4561d2702204f448986045babf3fdd52fa18200557e31")</f>
        <v>45a9f49ddf96d4a4dcf4561d2702204f448986045babf3fdd52fa18200557e31</v>
      </c>
      <c r="I925" s="1" t="s">
        <v>3406</v>
      </c>
      <c r="L925" s="2" t="s">
        <v>3412</v>
      </c>
      <c r="M925" s="2" t="n">
        <v>97</v>
      </c>
      <c r="S925" s="2" t="n">
        <v>3</v>
      </c>
      <c r="T925" s="2" t="n">
        <v>4</v>
      </c>
    </row>
    <row r="926" customFormat="false" ht="18.7" hidden="false" customHeight="true" outlineLevel="0" collapsed="false">
      <c r="A926" s="1" t="n">
        <v>925</v>
      </c>
      <c r="B926" s="7" t="str">
        <f aca="false">HYPERLINK("https://mncourtfraud.com/file/27-CR-21-12749.pdf","27-CR-21-12749")</f>
        <v>27-CR-21-12749</v>
      </c>
      <c r="C926" s="1" t="n">
        <v>1</v>
      </c>
      <c r="D926" s="2" t="s">
        <v>12</v>
      </c>
      <c r="E926" s="8" t="n">
        <v>44468</v>
      </c>
      <c r="F926" s="2" t="s">
        <v>24</v>
      </c>
      <c r="G926" s="7" t="str">
        <f aca="false">HYPERLINK("https://mncourtfraud.com/file/MCRO_27-CR-21-12749_Order for Conditional Release_2021-09-29_20251126182110.pdf","MCRO_27-CR-21-12749_Order for Conditional Release_2021-09-29_20251126182110.pdf")</f>
        <v>MCRO_27-CR-21-12749_Order for Conditional Release_2021-09-29_20251126182110.pdf</v>
      </c>
      <c r="H926" s="7" t="str">
        <f aca="false">HYPERLINK("https://mncourtfraud.com/file/50457dc3e0bb6204f128f3222c76884dffaf132a86395902e3967a44a5d511ed.cid","50457dc3e0bb6204f128f3222c76884dffaf132a86395902e3967a44a5d511ed")</f>
        <v>50457dc3e0bb6204f128f3222c76884dffaf132a86395902e3967a44a5d511ed</v>
      </c>
      <c r="I926" s="1" t="s">
        <v>3431</v>
      </c>
      <c r="L926" s="2" t="s">
        <v>3415</v>
      </c>
      <c r="M926" s="2" t="n">
        <v>2839</v>
      </c>
    </row>
    <row r="927" customFormat="false" ht="18.7" hidden="false" customHeight="true" outlineLevel="0" collapsed="false">
      <c r="A927" s="1" t="n">
        <v>926</v>
      </c>
      <c r="B927" s="7" t="str">
        <f aca="false">HYPERLINK("https://mncourtfraud.com/file/27-CR-21-12749.pdf","27-CR-21-12749")</f>
        <v>27-CR-21-12749</v>
      </c>
      <c r="C927" s="1" t="n">
        <v>1</v>
      </c>
      <c r="D927" s="2" t="s">
        <v>12</v>
      </c>
      <c r="E927" s="8" t="n">
        <v>44468</v>
      </c>
      <c r="F927" s="2" t="s">
        <v>24</v>
      </c>
      <c r="G927" s="7" t="str">
        <f aca="false">HYPERLINK("https://mncourtfraud.com/file/MCRO_27-CR-21-12749_Order for Conditional Release_2021-09-29_20251126182110.pdf","MCRO_27-CR-21-12749_Order for Conditional Release_2021-09-29_20251126182110.pdf")</f>
        <v>MCRO_27-CR-21-12749_Order for Conditional Release_2021-09-29_20251126182110.pdf</v>
      </c>
      <c r="H927" s="7" t="str">
        <f aca="false">HYPERLINK("https://mncourtfraud.com/file/52f2827f81e9a21813e5089396a7afa6accf4023998e877d3b9460283e0bb9a5.cid","52f2827f81e9a21813e5089396a7afa6accf4023998e877d3b9460283e0bb9a5")</f>
        <v>52f2827f81e9a21813e5089396a7afa6accf4023998e877d3b9460283e0bb9a5</v>
      </c>
      <c r="I927" s="1" t="s">
        <v>3431</v>
      </c>
      <c r="L927" s="2" t="s">
        <v>3415</v>
      </c>
      <c r="M927" s="2" t="n">
        <v>381</v>
      </c>
    </row>
    <row r="928" customFormat="false" ht="18.7" hidden="false" customHeight="true" outlineLevel="0" collapsed="false">
      <c r="A928" s="1" t="n">
        <v>927</v>
      </c>
      <c r="B928" s="7" t="str">
        <f aca="false">HYPERLINK("https://mncourtfraud.com/file/27-CR-21-12749.pdf","27-CR-21-12749")</f>
        <v>27-CR-21-12749</v>
      </c>
      <c r="C928" s="1" t="n">
        <v>1</v>
      </c>
      <c r="D928" s="2" t="s">
        <v>12</v>
      </c>
      <c r="E928" s="8" t="n">
        <v>44468</v>
      </c>
      <c r="F928" s="2" t="s">
        <v>24</v>
      </c>
      <c r="G928" s="7" t="str">
        <f aca="false">HYPERLINK("https://mncourtfraud.com/file/MCRO_27-CR-21-12749_Order for Conditional Release_2021-09-29_20251126182110.pdf","MCRO_27-CR-21-12749_Order for Conditional Release_2021-09-29_20251126182110.pdf")</f>
        <v>MCRO_27-CR-21-12749_Order for Conditional Release_2021-09-29_20251126182110.pdf</v>
      </c>
      <c r="H928" s="7" t="str">
        <f aca="false">HYPERLINK("https://mncourtfraud.com/file/5bf127b8427f0831bc8864aa549643604be6b63d8ca96ff1ba7182ccec9bc2ad.cid","5bf127b8427f0831bc8864aa549643604be6b63d8ca96ff1ba7182ccec9bc2ad")</f>
        <v>5bf127b8427f0831bc8864aa549643604be6b63d8ca96ff1ba7182ccec9bc2ad</v>
      </c>
      <c r="I928" s="1" t="s">
        <v>3431</v>
      </c>
      <c r="L928" s="2" t="s">
        <v>3415</v>
      </c>
      <c r="M928" s="2" t="n">
        <v>7990</v>
      </c>
    </row>
    <row r="929" customFormat="false" ht="18.7" hidden="false" customHeight="true" outlineLevel="0" collapsed="false">
      <c r="A929" s="1" t="n">
        <v>928</v>
      </c>
      <c r="B929" s="7" t="str">
        <f aca="false">HYPERLINK("https://mncourtfraud.com/file/27-CR-21-12749.pdf","27-CR-21-12749")</f>
        <v>27-CR-21-12749</v>
      </c>
      <c r="C929" s="1" t="n">
        <v>1</v>
      </c>
      <c r="D929" s="2" t="s">
        <v>12</v>
      </c>
      <c r="E929" s="8" t="n">
        <v>44468</v>
      </c>
      <c r="F929" s="2" t="s">
        <v>24</v>
      </c>
      <c r="G929" s="7" t="str">
        <f aca="false">HYPERLINK("https://mncourtfraud.com/file/MCRO_27-CR-21-12749_Order for Conditional Release_2021-09-29_20251126182110.pdf","MCRO_27-CR-21-12749_Order for Conditional Release_2021-09-29_20251126182110.pdf")</f>
        <v>MCRO_27-CR-21-12749_Order for Conditional Release_2021-09-29_20251126182110.pdf</v>
      </c>
      <c r="H929" s="7" t="str">
        <f aca="false">HYPERLINK("https://mncourtfraud.com/file/614121b29b009262816a5b70532c1a04ec73c5d83786c4500719e9e7d614a562.cid","614121b29b009262816a5b70532c1a04ec73c5d83786c4500719e9e7d614a562")</f>
        <v>614121b29b009262816a5b70532c1a04ec73c5d83786c4500719e9e7d614a562</v>
      </c>
      <c r="I929" s="1" t="s">
        <v>3431</v>
      </c>
      <c r="L929" s="2" t="s">
        <v>3415</v>
      </c>
      <c r="M929" s="2" t="n">
        <v>5970</v>
      </c>
    </row>
    <row r="930" customFormat="false" ht="18.7" hidden="false" customHeight="true" outlineLevel="0" collapsed="false">
      <c r="A930" s="1" t="n">
        <v>929</v>
      </c>
      <c r="B930" s="7" t="str">
        <f aca="false">HYPERLINK("https://mncourtfraud.com/file/27-CR-21-12749.pdf","27-CR-21-12749")</f>
        <v>27-CR-21-12749</v>
      </c>
      <c r="C930" s="1" t="n">
        <v>1</v>
      </c>
      <c r="D930" s="2" t="s">
        <v>12</v>
      </c>
      <c r="E930" s="8" t="n">
        <v>44468</v>
      </c>
      <c r="F930" s="2" t="s">
        <v>24</v>
      </c>
      <c r="G930" s="7" t="str">
        <f aca="false">HYPERLINK("https://mncourtfraud.com/file/MCRO_27-CR-21-12749_Order for Conditional Release_2021-09-29_20251126182110.pdf","MCRO_27-CR-21-12749_Order for Conditional Release_2021-09-29_20251126182110.pdf")</f>
        <v>MCRO_27-CR-21-12749_Order for Conditional Release_2021-09-29_20251126182110.pdf</v>
      </c>
      <c r="H930" s="7" t="str">
        <f aca="false">HYPERLINK("https://mncourtfraud.com/file/7e14169e8fd6eddddd43bc2fc14557202f527587078dd29e867ad63570714e07.png","7e14169e8fd6eddddd43bc2fc14557202f527587078dd29e867ad63570714e07")</f>
        <v>7e14169e8fd6eddddd43bc2fc14557202f527587078dd29e867ad63570714e07</v>
      </c>
      <c r="I930" s="1" t="s">
        <v>3406</v>
      </c>
      <c r="L930" s="2" t="s">
        <v>3412</v>
      </c>
      <c r="M930" s="2" t="n">
        <v>100</v>
      </c>
      <c r="S930" s="2" t="n">
        <v>5</v>
      </c>
      <c r="T930" s="2" t="n">
        <v>5</v>
      </c>
    </row>
    <row r="931" customFormat="false" ht="18.7" hidden="false" customHeight="true" outlineLevel="0" collapsed="false">
      <c r="A931" s="1" t="n">
        <v>930</v>
      </c>
      <c r="B931" s="7" t="str">
        <f aca="false">HYPERLINK("https://mncourtfraud.com/file/27-CR-21-12749.pdf","27-CR-21-12749")</f>
        <v>27-CR-21-12749</v>
      </c>
      <c r="C931" s="1" t="n">
        <v>1</v>
      </c>
      <c r="D931" s="2" t="s">
        <v>12</v>
      </c>
      <c r="E931" s="8" t="n">
        <v>44468</v>
      </c>
      <c r="F931" s="2" t="s">
        <v>24</v>
      </c>
      <c r="G931" s="7" t="str">
        <f aca="false">HYPERLINK("https://mncourtfraud.com/file/MCRO_27-CR-21-12749_Order for Conditional Release_2021-09-29_20251126182110.pdf","MCRO_27-CR-21-12749_Order for Conditional Release_2021-09-29_20251126182110.pdf")</f>
        <v>MCRO_27-CR-21-12749_Order for Conditional Release_2021-09-29_20251126182110.pdf</v>
      </c>
      <c r="H931" s="7" t="str">
        <f aca="false">HYPERLINK("https://mncourtfraud.com/file/8198df5372238cac138bb64883627cf42bfc08ac483ff14b35858ae098fa3e09.cid","8198df5372238cac138bb64883627cf42bfc08ac483ff14b35858ae098fa3e09")</f>
        <v>8198df5372238cac138bb64883627cf42bfc08ac483ff14b35858ae098fa3e09</v>
      </c>
      <c r="I931" s="1" t="s">
        <v>3431</v>
      </c>
      <c r="L931" s="2" t="s">
        <v>3415</v>
      </c>
      <c r="M931" s="2" t="n">
        <v>3966</v>
      </c>
    </row>
    <row r="932" customFormat="false" ht="18.7" hidden="false" customHeight="true" outlineLevel="0" collapsed="false">
      <c r="A932" s="1" t="n">
        <v>931</v>
      </c>
      <c r="B932" s="7" t="str">
        <f aca="false">HYPERLINK("https://mncourtfraud.com/file/27-CR-21-12749.pdf","27-CR-21-12749")</f>
        <v>27-CR-21-12749</v>
      </c>
      <c r="C932" s="1" t="n">
        <v>1</v>
      </c>
      <c r="D932" s="2" t="s">
        <v>12</v>
      </c>
      <c r="E932" s="8" t="n">
        <v>44468</v>
      </c>
      <c r="F932" s="2" t="s">
        <v>24</v>
      </c>
      <c r="G932" s="7" t="str">
        <f aca="false">HYPERLINK("https://mncourtfraud.com/file/MCRO_27-CR-21-12749_Order for Conditional Release_2021-09-29_20251126182110.pdf","MCRO_27-CR-21-12749_Order for Conditional Release_2021-09-29_20251126182110.pdf")</f>
        <v>MCRO_27-CR-21-12749_Order for Conditional Release_2021-09-29_20251126182110.pdf</v>
      </c>
      <c r="H932" s="7" t="str">
        <f aca="false">HYPERLINK("https://mncourtfraud.com/file/8793bfb8eeebb59de729b22461b75a010eda532097214bf8285117449fae5b3c.png","8793bfb8eeebb59de729b22461b75a010eda532097214bf8285117449fae5b3c")</f>
        <v>8793bfb8eeebb59de729b22461b75a010eda532097214bf8285117449fae5b3c</v>
      </c>
      <c r="I932" s="1" t="s">
        <v>3406</v>
      </c>
      <c r="L932" s="2" t="s">
        <v>3412</v>
      </c>
      <c r="M932" s="2" t="n">
        <v>104</v>
      </c>
      <c r="S932" s="2" t="n">
        <v>6</v>
      </c>
      <c r="T932" s="2" t="n">
        <v>4</v>
      </c>
    </row>
    <row r="933" customFormat="false" ht="18.7" hidden="false" customHeight="true" outlineLevel="0" collapsed="false">
      <c r="A933" s="1" t="n">
        <v>932</v>
      </c>
      <c r="B933" s="7" t="str">
        <f aca="false">HYPERLINK("https://mncourtfraud.com/file/27-CR-21-12749.pdf","27-CR-21-12749")</f>
        <v>27-CR-21-12749</v>
      </c>
      <c r="C933" s="1" t="n">
        <v>1</v>
      </c>
      <c r="D933" s="2" t="s">
        <v>12</v>
      </c>
      <c r="E933" s="8" t="n">
        <v>44468</v>
      </c>
      <c r="F933" s="2" t="s">
        <v>24</v>
      </c>
      <c r="G933" s="7" t="str">
        <f aca="false">HYPERLINK("https://mncourtfraud.com/file/MCRO_27-CR-21-12749_Order for Conditional Release_2021-09-29_20251126182110.pdf","MCRO_27-CR-21-12749_Order for Conditional Release_2021-09-29_20251126182110.pdf")</f>
        <v>MCRO_27-CR-21-12749_Order for Conditional Release_2021-09-29_20251126182110.pdf</v>
      </c>
      <c r="H933" s="7" t="str">
        <f aca="false">HYPERLINK("https://mncourtfraud.com/file/8c2e00c7a4e8974eff73eba397a59d5f5f25d249433535298973d70a9f79dec8.png","8c2e00c7a4e8974eff73eba397a59d5f5f25d249433535298973d70a9f79dec8")</f>
        <v>8c2e00c7a4e8974eff73eba397a59d5f5f25d249433535298973d70a9f79dec8</v>
      </c>
      <c r="I933" s="1" t="s">
        <v>3406</v>
      </c>
      <c r="L933" s="2" t="s">
        <v>3412</v>
      </c>
      <c r="M933" s="2" t="n">
        <v>810</v>
      </c>
      <c r="S933" s="2" t="n">
        <v>519</v>
      </c>
      <c r="T933" s="2" t="n">
        <v>231</v>
      </c>
    </row>
    <row r="934" customFormat="false" ht="18.7" hidden="false" customHeight="true" outlineLevel="0" collapsed="false">
      <c r="A934" s="1" t="n">
        <v>933</v>
      </c>
      <c r="B934" s="7" t="str">
        <f aca="false">HYPERLINK("https://mncourtfraud.com/file/27-CR-21-12749.pdf","27-CR-21-12749")</f>
        <v>27-CR-21-12749</v>
      </c>
      <c r="C934" s="1" t="n">
        <v>1</v>
      </c>
      <c r="D934" s="2" t="s">
        <v>12</v>
      </c>
      <c r="E934" s="8" t="n">
        <v>44468</v>
      </c>
      <c r="F934" s="2" t="s">
        <v>24</v>
      </c>
      <c r="G934" s="7" t="str">
        <f aca="false">HYPERLINK("https://mncourtfraud.com/file/MCRO_27-CR-21-12749_Order for Conditional Release_2021-09-29_20251126182110.pdf","MCRO_27-CR-21-12749_Order for Conditional Release_2021-09-29_20251126182110.pdf")</f>
        <v>MCRO_27-CR-21-12749_Order for Conditional Release_2021-09-29_20251126182110.pdf</v>
      </c>
      <c r="H934" s="7" t="str">
        <f aca="false">HYPERLINK("https://mncourtfraud.com/file/a431b1b5f48186b4c98851d84352c1573e22c0e9b97117edbc0ad8603da3c307.png","a431b1b5f48186b4c98851d84352c1573e22c0e9b97117edbc0ad8603da3c307")</f>
        <v>a431b1b5f48186b4c98851d84352c1573e22c0e9b97117edbc0ad8603da3c307</v>
      </c>
      <c r="I934" s="1" t="s">
        <v>3406</v>
      </c>
      <c r="L934" s="2" t="s">
        <v>3412</v>
      </c>
      <c r="M934" s="2" t="n">
        <v>157</v>
      </c>
      <c r="S934" s="2" t="n">
        <v>7</v>
      </c>
      <c r="T934" s="2" t="n">
        <v>284</v>
      </c>
    </row>
    <row r="935" customFormat="false" ht="18.7" hidden="false" customHeight="true" outlineLevel="0" collapsed="false">
      <c r="A935" s="1" t="n">
        <v>934</v>
      </c>
      <c r="B935" s="7" t="str">
        <f aca="false">HYPERLINK("https://mncourtfraud.com/file/27-CR-21-12749.pdf","27-CR-21-12749")</f>
        <v>27-CR-21-12749</v>
      </c>
      <c r="C935" s="1" t="n">
        <v>1</v>
      </c>
      <c r="D935" s="2" t="s">
        <v>12</v>
      </c>
      <c r="E935" s="8" t="n">
        <v>44468</v>
      </c>
      <c r="F935" s="2" t="s">
        <v>24</v>
      </c>
      <c r="G935" s="7" t="str">
        <f aca="false">HYPERLINK("https://mncourtfraud.com/file/MCRO_27-CR-21-12749_Order for Conditional Release_2021-09-29_20251126182110.pdf","MCRO_27-CR-21-12749_Order for Conditional Release_2021-09-29_20251126182110.pdf")</f>
        <v>MCRO_27-CR-21-12749_Order for Conditional Release_2021-09-29_20251126182110.pdf</v>
      </c>
      <c r="H935" s="7" t="str">
        <f aca="false">HYPERLINK("https://mncourtfraud.com/file/ac369f378e3fbed88e7c1c71d7e27d3af59d79c8d2f8338a6182f69d0e17a2ef.cid","ac369f378e3fbed88e7c1c71d7e27d3af59d79c8d2f8338a6182f69d0e17a2ef")</f>
        <v>ac369f378e3fbed88e7c1c71d7e27d3af59d79c8d2f8338a6182f69d0e17a2ef</v>
      </c>
      <c r="I935" s="1" t="s">
        <v>3431</v>
      </c>
      <c r="L935" s="2" t="s">
        <v>3415</v>
      </c>
      <c r="M935" s="2" t="n">
        <v>14113</v>
      </c>
    </row>
    <row r="936" customFormat="false" ht="18.7" hidden="false" customHeight="true" outlineLevel="0" collapsed="false">
      <c r="A936" s="1" t="n">
        <v>935</v>
      </c>
      <c r="B936" s="7" t="str">
        <f aca="false">HYPERLINK("https://mncourtfraud.com/file/27-CR-21-12749.pdf","27-CR-21-12749")</f>
        <v>27-CR-21-12749</v>
      </c>
      <c r="C936" s="1" t="n">
        <v>1</v>
      </c>
      <c r="D936" s="2" t="s">
        <v>12</v>
      </c>
      <c r="E936" s="8" t="n">
        <v>44468</v>
      </c>
      <c r="F936" s="2" t="s">
        <v>24</v>
      </c>
      <c r="G936" s="7" t="str">
        <f aca="false">HYPERLINK("https://mncourtfraud.com/file/MCRO_27-CR-21-12749_Order for Conditional Release_2021-09-29_20251126182110.pdf","MCRO_27-CR-21-12749_Order for Conditional Release_2021-09-29_20251126182110.pdf")</f>
        <v>MCRO_27-CR-21-12749_Order for Conditional Release_2021-09-29_20251126182110.pdf</v>
      </c>
      <c r="H936" s="7" t="str">
        <f aca="false">HYPERLINK("https://mncourtfraud.com/file/b1c38e97038ce898a189d377f1fa9f4b673ae497ef07cd779e6d54764f350895.cid","b1c38e97038ce898a189d377f1fa9f4b673ae497ef07cd779e6d54764f350895")</f>
        <v>b1c38e97038ce898a189d377f1fa9f4b673ae497ef07cd779e6d54764f350895</v>
      </c>
      <c r="I936" s="1" t="s">
        <v>3431</v>
      </c>
      <c r="L936" s="2" t="s">
        <v>3415</v>
      </c>
      <c r="M936" s="2" t="n">
        <v>3783</v>
      </c>
    </row>
    <row r="937" customFormat="false" ht="18.7" hidden="false" customHeight="true" outlineLevel="0" collapsed="false">
      <c r="A937" s="1" t="n">
        <v>936</v>
      </c>
      <c r="B937" s="7" t="str">
        <f aca="false">HYPERLINK("https://mncourtfraud.com/file/27-CR-21-12749.pdf","27-CR-21-12749")</f>
        <v>27-CR-21-12749</v>
      </c>
      <c r="C937" s="1" t="n">
        <v>1</v>
      </c>
      <c r="D937" s="2" t="s">
        <v>12</v>
      </c>
      <c r="E937" s="8" t="n">
        <v>44468</v>
      </c>
      <c r="F937" s="2" t="s">
        <v>24</v>
      </c>
      <c r="G937" s="7" t="str">
        <f aca="false">HYPERLINK("https://mncourtfraud.com/file/MCRO_27-CR-21-12749_Order for Conditional Release_2021-09-29_20251126182110.pdf","MCRO_27-CR-21-12749_Order for Conditional Release_2021-09-29_20251126182110.pdf")</f>
        <v>MCRO_27-CR-21-12749_Order for Conditional Release_2021-09-29_20251126182110.pdf</v>
      </c>
      <c r="H937" s="7" t="str">
        <f aca="false">HYPERLINK("https://mncourtfraud.com/file/ba989ca65f54d43887ebbc930462a840e60360223cb0c16c223e7e9ed46afecb.cid","ba989ca65f54d43887ebbc930462a840e60360223cb0c16c223e7e9ed46afecb")</f>
        <v>ba989ca65f54d43887ebbc930462a840e60360223cb0c16c223e7e9ed46afecb</v>
      </c>
      <c r="I937" s="1" t="s">
        <v>3431</v>
      </c>
      <c r="L937" s="2" t="s">
        <v>3415</v>
      </c>
      <c r="M937" s="2" t="n">
        <v>444</v>
      </c>
    </row>
    <row r="938" customFormat="false" ht="18.7" hidden="false" customHeight="true" outlineLevel="0" collapsed="false">
      <c r="A938" s="1" t="n">
        <v>937</v>
      </c>
      <c r="B938" s="7" t="str">
        <f aca="false">HYPERLINK("https://mncourtfraud.com/file/27-CR-21-12749.pdf","27-CR-21-12749")</f>
        <v>27-CR-21-12749</v>
      </c>
      <c r="C938" s="1" t="n">
        <v>1</v>
      </c>
      <c r="D938" s="2" t="s">
        <v>12</v>
      </c>
      <c r="E938" s="8" t="n">
        <v>44468</v>
      </c>
      <c r="F938" s="2" t="s">
        <v>24</v>
      </c>
      <c r="G938" s="7" t="str">
        <f aca="false">HYPERLINK("https://mncourtfraud.com/file/MCRO_27-CR-21-12749_Order for Conditional Release_2021-09-29_20251126182110.pdf","MCRO_27-CR-21-12749_Order for Conditional Release_2021-09-29_20251126182110.pdf")</f>
        <v>MCRO_27-CR-21-12749_Order for Conditional Release_2021-09-29_20251126182110.pdf</v>
      </c>
      <c r="H938" s="7" t="str">
        <f aca="false">HYPERLINK("https://mncourtfraud.com/file/db9c8118091788c7a0a30157e363f5dd281f7a35fb525fad58599ee6371079a5.cid","db9c8118091788c7a0a30157e363f5dd281f7a35fb525fad58599ee6371079a5")</f>
        <v>db9c8118091788c7a0a30157e363f5dd281f7a35fb525fad58599ee6371079a5</v>
      </c>
      <c r="I938" s="1" t="s">
        <v>3431</v>
      </c>
      <c r="L938" s="2" t="s">
        <v>3415</v>
      </c>
      <c r="M938" s="2" t="n">
        <v>848</v>
      </c>
    </row>
    <row r="939" customFormat="false" ht="18.7" hidden="false" customHeight="true" outlineLevel="0" collapsed="false">
      <c r="A939" s="1" t="n">
        <v>938</v>
      </c>
      <c r="B939" s="7" t="str">
        <f aca="false">HYPERLINK("https://mncourtfraud.com/file/27-CR-21-12749.pdf","27-CR-21-12749")</f>
        <v>27-CR-21-12749</v>
      </c>
      <c r="C939" s="1" t="n">
        <v>1</v>
      </c>
      <c r="D939" s="2" t="s">
        <v>12</v>
      </c>
      <c r="E939" s="8" t="n">
        <v>44468</v>
      </c>
      <c r="F939" s="2" t="s">
        <v>24</v>
      </c>
      <c r="G939" s="7" t="str">
        <f aca="false">HYPERLINK("https://mncourtfraud.com/file/MCRO_27-CR-21-12749_Order for Conditional Release_2021-09-29_20251126182110.pdf","MCRO_27-CR-21-12749_Order for Conditional Release_2021-09-29_20251126182110.pdf")</f>
        <v>MCRO_27-CR-21-12749_Order for Conditional Release_2021-09-29_20251126182110.pdf</v>
      </c>
      <c r="H939" s="7" t="str">
        <f aca="false">HYPERLINK("https://mncourtfraud.com/file/e04b4db843c4bf02679b586bdc06323c2777cf59091b22718210a1dd2a0badc7.png","e04b4db843c4bf02679b586bdc06323c2777cf59091b22718210a1dd2a0badc7")</f>
        <v>e04b4db843c4bf02679b586bdc06323c2777cf59091b22718210a1dd2a0badc7</v>
      </c>
      <c r="I939" s="1" t="s">
        <v>3406</v>
      </c>
      <c r="L939" s="2" t="s">
        <v>3412</v>
      </c>
      <c r="M939" s="2" t="n">
        <v>199</v>
      </c>
      <c r="S939" s="2" t="n">
        <v>7</v>
      </c>
      <c r="T939" s="2" t="n">
        <v>347</v>
      </c>
    </row>
    <row r="940" customFormat="false" ht="18.7" hidden="false" customHeight="true" outlineLevel="0" collapsed="false">
      <c r="A940" s="1" t="n">
        <v>939</v>
      </c>
      <c r="B940" s="7" t="str">
        <f aca="false">HYPERLINK("https://mncourtfraud.com/file/27-CR-21-12749.pdf","27-CR-21-12749")</f>
        <v>27-CR-21-12749</v>
      </c>
      <c r="C940" s="1" t="n">
        <v>1</v>
      </c>
      <c r="D940" s="2" t="s">
        <v>12</v>
      </c>
      <c r="E940" s="8" t="n">
        <v>44468</v>
      </c>
      <c r="F940" s="2" t="s">
        <v>24</v>
      </c>
      <c r="G940" s="7" t="str">
        <f aca="false">HYPERLINK("https://mncourtfraud.com/file/MCRO_27-CR-21-12749_Order for Conditional Release_2021-09-29_20251126182110.pdf","MCRO_27-CR-21-12749_Order for Conditional Release_2021-09-29_20251126182110.pdf")</f>
        <v>MCRO_27-CR-21-12749_Order for Conditional Release_2021-09-29_20251126182110.pdf</v>
      </c>
      <c r="H940" s="7" t="str">
        <f aca="false">HYPERLINK("https://mncourtfraud.com/file/edbae421bba147262ba26ef60780ca6dfd5bedce23be39a1f883da7c23dae35f.cid","edbae421bba147262ba26ef60780ca6dfd5bedce23be39a1f883da7c23dae35f")</f>
        <v>edbae421bba147262ba26ef60780ca6dfd5bedce23be39a1f883da7c23dae35f</v>
      </c>
      <c r="I940" s="1" t="s">
        <v>3431</v>
      </c>
      <c r="L940" s="2" t="s">
        <v>3415</v>
      </c>
      <c r="M940" s="2" t="n">
        <v>21348</v>
      </c>
    </row>
    <row r="941" customFormat="false" ht="18.7" hidden="false" customHeight="true" outlineLevel="0" collapsed="false">
      <c r="A941" s="1" t="n">
        <v>940</v>
      </c>
      <c r="B941" s="7" t="str">
        <f aca="false">HYPERLINK("https://mncourtfraud.com/file/27-CR-21-12749.pdf","27-CR-21-12749")</f>
        <v>27-CR-21-12749</v>
      </c>
      <c r="C941" s="1" t="n">
        <v>1</v>
      </c>
      <c r="D941" s="2" t="s">
        <v>12</v>
      </c>
      <c r="E941" s="8" t="n">
        <v>44468</v>
      </c>
      <c r="F941" s="2" t="s">
        <v>24</v>
      </c>
      <c r="G941" s="7" t="str">
        <f aca="false">HYPERLINK("https://mncourtfraud.com/file/MCRO_27-CR-21-12749_Order for Conditional Release_2021-09-29_20251126182110.pdf","MCRO_27-CR-21-12749_Order for Conditional Release_2021-09-29_20251126182110.pdf")</f>
        <v>MCRO_27-CR-21-12749_Order for Conditional Release_2021-09-29_20251126182110.pdf</v>
      </c>
      <c r="H941" s="7" t="str">
        <f aca="false">HYPERLINK("https://mncourtfraud.com/file/efd944d517e9b552a77a910c5203f04540cf1249b7304a04f4907f542ec53c17.cid","efd944d517e9b552a77a910c5203f04540cf1249b7304a04f4907f542ec53c17")</f>
        <v>efd944d517e9b552a77a910c5203f04540cf1249b7304a04f4907f542ec53c17</v>
      </c>
      <c r="I941" s="1" t="s">
        <v>3431</v>
      </c>
      <c r="L941" s="2" t="s">
        <v>3415</v>
      </c>
      <c r="M941" s="2" t="n">
        <v>5521</v>
      </c>
    </row>
    <row r="942" customFormat="false" ht="18.7" hidden="false" customHeight="true" outlineLevel="0" collapsed="false">
      <c r="A942" s="1" t="n">
        <v>941</v>
      </c>
      <c r="B942" s="7" t="str">
        <f aca="false">HYPERLINK("https://mncourtfraud.com/file/27-CR-21-12749.pdf","27-CR-21-12749")</f>
        <v>27-CR-21-12749</v>
      </c>
      <c r="C942" s="1" t="n">
        <v>1</v>
      </c>
      <c r="D942" s="2" t="s">
        <v>12</v>
      </c>
      <c r="E942" s="8" t="n">
        <v>44468</v>
      </c>
      <c r="F942" s="2" t="s">
        <v>24</v>
      </c>
      <c r="G942" s="7" t="str">
        <f aca="false">HYPERLINK("https://mncourtfraud.com/file/MCRO_27-CR-21-12749_Order for Conditional Release_2021-09-29_20251126182110.pdf","MCRO_27-CR-21-12749_Order for Conditional Release_2021-09-29_20251126182110.pdf")</f>
        <v>MCRO_27-CR-21-12749_Order for Conditional Release_2021-09-29_20251126182110.pdf</v>
      </c>
      <c r="H942" s="7" t="str">
        <f aca="false">HYPERLINK("https://mncourtfraud.com/file/fe1965a60cba51fe144ad80b55474d56106539ec2835ed039f2e68d2691deed0.cid","fe1965a60cba51fe144ad80b55474d56106539ec2835ed039f2e68d2691deed0")</f>
        <v>fe1965a60cba51fe144ad80b55474d56106539ec2835ed039f2e68d2691deed0</v>
      </c>
      <c r="I942" s="1" t="s">
        <v>3431</v>
      </c>
      <c r="L942" s="2" t="s">
        <v>3415</v>
      </c>
      <c r="M942" s="2" t="n">
        <v>4323</v>
      </c>
    </row>
    <row r="943" customFormat="false" ht="18.7" hidden="false" customHeight="true" outlineLevel="0" collapsed="false">
      <c r="A943" s="1" t="n">
        <v>942</v>
      </c>
      <c r="B943" s="7" t="str">
        <f aca="false">HYPERLINK("https://mncourtfraud.com/file/27-CR-21-12749.pdf","27-CR-21-12749")</f>
        <v>27-CR-21-12749</v>
      </c>
      <c r="C943" s="1" t="n">
        <v>1</v>
      </c>
      <c r="D943" s="2" t="s">
        <v>12</v>
      </c>
      <c r="E943" s="8" t="n">
        <v>44468</v>
      </c>
      <c r="F943" s="2" t="s">
        <v>24</v>
      </c>
      <c r="G943" s="7" t="str">
        <f aca="false">HYPERLINK("https://mncourtfraud.com/file/MCRO_27-CR-21-12749_Order for Conditional Release_2021-09-29_20251126182110.pdf","MCRO_27-CR-21-12749_Order for Conditional Release_2021-09-29_20251126182110.pdf")</f>
        <v>MCRO_27-CR-21-12749_Order for Conditional Release_2021-09-29_20251126182110.pdf</v>
      </c>
      <c r="H943" s="7" t="str">
        <f aca="false">HYPERLINK("https://mncourtfraud.com/file/ff78f82f1ff3b9436a8d65df586b0bef19dd8fcf1b27941145ca7e723b37620b.cid","ff78f82f1ff3b9436a8d65df586b0bef19dd8fcf1b27941145ca7e723b37620b")</f>
        <v>ff78f82f1ff3b9436a8d65df586b0bef19dd8fcf1b27941145ca7e723b37620b</v>
      </c>
      <c r="I943" s="1" t="s">
        <v>3431</v>
      </c>
      <c r="L943" s="2" t="s">
        <v>3415</v>
      </c>
      <c r="M943" s="2" t="n">
        <v>339</v>
      </c>
    </row>
    <row r="944" customFormat="false" ht="18.7" hidden="false" customHeight="true" outlineLevel="0" collapsed="false">
      <c r="A944" s="1" t="n">
        <v>943</v>
      </c>
      <c r="B944" s="7" t="str">
        <f aca="false">HYPERLINK("https://mncourtfraud.com/file/27-CR-21-12749.pdf","27-CR-21-12749")</f>
        <v>27-CR-21-12749</v>
      </c>
      <c r="C944" s="1" t="n">
        <v>1</v>
      </c>
      <c r="D944" s="2" t="s">
        <v>12</v>
      </c>
      <c r="E944" s="8" t="n">
        <v>44543</v>
      </c>
      <c r="F944" s="2" t="s">
        <v>15</v>
      </c>
      <c r="G944" s="7" t="str">
        <f aca="false">HYPERLINK("https://mncourtfraud.com/file/MCRO_27-CR-21-12749_Order-Evaluation for Competency to Proceed (Rule 20.01)_2021-12-13_20251126182133.pdf","MCRO_27-CR-21-12749_Order-Evaluation for Competency to Proceed (Rule 20.01)_2021-12-13_20251126182133.pdf")</f>
        <v>MCRO_27-CR-21-12749_Order-Evaluation for Competency to Proceed (Rule 20.01)_2021-12-13_20251126182133.pdf</v>
      </c>
      <c r="H944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944" s="1" t="s">
        <v>3413</v>
      </c>
      <c r="J944" s="2" t="s">
        <v>3423</v>
      </c>
      <c r="K944" s="2" t="s">
        <v>3423</v>
      </c>
      <c r="L944" s="2" t="s">
        <v>3415</v>
      </c>
      <c r="M944" s="2" t="n">
        <v>11088</v>
      </c>
    </row>
    <row r="945" customFormat="false" ht="18.7" hidden="false" customHeight="true" outlineLevel="0" collapsed="false">
      <c r="A945" s="1" t="n">
        <v>944</v>
      </c>
      <c r="B945" s="7" t="str">
        <f aca="false">HYPERLINK("https://mncourtfraud.com/file/27-CR-21-12749.pdf","27-CR-21-12749")</f>
        <v>27-CR-21-12749</v>
      </c>
      <c r="C945" s="1" t="n">
        <v>1</v>
      </c>
      <c r="D945" s="2" t="s">
        <v>12</v>
      </c>
      <c r="E945" s="8" t="n">
        <v>44543</v>
      </c>
      <c r="F945" s="2" t="s">
        <v>15</v>
      </c>
      <c r="G945" s="7" t="str">
        <f aca="false">HYPERLINK("https://mncourtfraud.com/file/MCRO_27-CR-21-12749_Order-Evaluation for Competency to Proceed (Rule 20.01)_2021-12-13_20251126182133.pdf","MCRO_27-CR-21-12749_Order-Evaluation for Competency to Proceed (Rule 20.01)_2021-12-13_20251126182133.pdf")</f>
        <v>MCRO_27-CR-21-12749_Order-Evaluation for Competency to Proceed (Rule 20.01)_2021-12-13_20251126182133.pdf</v>
      </c>
      <c r="H945" s="7" t="str">
        <f aca="false">HYPERLINK("https://mncourtfraud.com/file/22be6394304ce5b678311fefb19c39c8cb0a49d25f23150f1efe21ad14b99c7b.ttf","22be6394304ce5b678311fefb19c39c8cb0a49d25f23150f1efe21ad14b99c7b")</f>
        <v>22be6394304ce5b678311fefb19c39c8cb0a49d25f23150f1efe21ad14b99c7b</v>
      </c>
      <c r="I945" s="1" t="s">
        <v>3413</v>
      </c>
      <c r="J945" s="2" t="s">
        <v>3421</v>
      </c>
      <c r="K945" s="2" t="s">
        <v>3421</v>
      </c>
      <c r="L945" s="2" t="s">
        <v>3415</v>
      </c>
      <c r="M945" s="2" t="n">
        <v>117192</v>
      </c>
    </row>
    <row r="946" customFormat="false" ht="18.7" hidden="false" customHeight="true" outlineLevel="0" collapsed="false">
      <c r="A946" s="1" t="n">
        <v>945</v>
      </c>
      <c r="B946" s="7" t="str">
        <f aca="false">HYPERLINK("https://mncourtfraud.com/file/27-CR-21-12749.pdf","27-CR-21-12749")</f>
        <v>27-CR-21-12749</v>
      </c>
      <c r="C946" s="1" t="n">
        <v>1</v>
      </c>
      <c r="D946" s="2" t="s">
        <v>12</v>
      </c>
      <c r="E946" s="8" t="n">
        <v>44543</v>
      </c>
      <c r="F946" s="2" t="s">
        <v>15</v>
      </c>
      <c r="G946" s="7" t="str">
        <f aca="false">HYPERLINK("https://mncourtfraud.com/file/MCRO_27-CR-21-12749_Order-Evaluation for Competency to Proceed (Rule 20.01)_2021-12-13_20251126182133.pdf","MCRO_27-CR-21-12749_Order-Evaluation for Competency to Proceed (Rule 20.01)_2021-12-13_20251126182133.pdf")</f>
        <v>MCRO_27-CR-21-12749_Order-Evaluation for Competency to Proceed (Rule 20.01)_2021-12-13_20251126182133.pdf</v>
      </c>
      <c r="H946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946" s="1" t="s">
        <v>3413</v>
      </c>
      <c r="J946" s="2" t="s">
        <v>3424</v>
      </c>
      <c r="K946" s="2" t="s">
        <v>3424</v>
      </c>
      <c r="L946" s="2" t="s">
        <v>3415</v>
      </c>
      <c r="M946" s="2" t="n">
        <v>14252</v>
      </c>
    </row>
    <row r="947" customFormat="false" ht="18.7" hidden="false" customHeight="true" outlineLevel="0" collapsed="false">
      <c r="A947" s="1" t="n">
        <v>946</v>
      </c>
      <c r="B947" s="7" t="str">
        <f aca="false">HYPERLINK("https://mncourtfraud.com/file/27-CR-21-12749.pdf","27-CR-21-12749")</f>
        <v>27-CR-21-12749</v>
      </c>
      <c r="C947" s="1" t="n">
        <v>1</v>
      </c>
      <c r="D947" s="2" t="s">
        <v>12</v>
      </c>
      <c r="E947" s="8" t="n">
        <v>44543</v>
      </c>
      <c r="F947" s="2" t="s">
        <v>15</v>
      </c>
      <c r="G947" s="7" t="str">
        <f aca="false">HYPERLINK("https://mncourtfraud.com/file/MCRO_27-CR-21-12749_Order-Evaluation for Competency to Proceed (Rule 20.01)_2021-12-13_20251126182133.pdf","MCRO_27-CR-21-12749_Order-Evaluation for Competency to Proceed (Rule 20.01)_2021-12-13_20251126182133.pdf")</f>
        <v>MCRO_27-CR-21-12749_Order-Evaluation for Competency to Proceed (Rule 20.01)_2021-12-13_20251126182133.pdf</v>
      </c>
      <c r="H947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947" s="1" t="s">
        <v>3406</v>
      </c>
      <c r="K947" s="2" t="s">
        <v>3420</v>
      </c>
      <c r="L947" s="2" t="s">
        <v>3408</v>
      </c>
      <c r="M947" s="2" t="n">
        <v>7306</v>
      </c>
      <c r="O947" s="2" t="s">
        <v>3409</v>
      </c>
      <c r="P947" s="2" t="s">
        <v>3410</v>
      </c>
      <c r="S947" s="2" t="n">
        <v>319</v>
      </c>
      <c r="T947" s="2" t="n">
        <v>105</v>
      </c>
    </row>
    <row r="948" customFormat="false" ht="18.7" hidden="false" customHeight="true" outlineLevel="0" collapsed="false">
      <c r="A948" s="1" t="n">
        <v>947</v>
      </c>
      <c r="B948" s="7" t="str">
        <f aca="false">HYPERLINK("https://mncourtfraud.com/file/27-CR-21-12749.pdf","27-CR-21-12749")</f>
        <v>27-CR-21-12749</v>
      </c>
      <c r="C948" s="1" t="n">
        <v>1</v>
      </c>
      <c r="D948" s="2" t="s">
        <v>12</v>
      </c>
      <c r="E948" s="8" t="n">
        <v>44543</v>
      </c>
      <c r="F948" s="2" t="s">
        <v>15</v>
      </c>
      <c r="G948" s="7" t="str">
        <f aca="false">HYPERLINK("https://mncourtfraud.com/file/MCRO_27-CR-21-12749_Order-Evaluation for Competency to Proceed (Rule 20.01)_2021-12-13_20251126182133.pdf","MCRO_27-CR-21-12749_Order-Evaluation for Competency to Proceed (Rule 20.01)_2021-12-13_20251126182133.pdf")</f>
        <v>MCRO_27-CR-21-12749_Order-Evaluation for Competency to Proceed (Rule 20.01)_2021-12-13_20251126182133.pdf</v>
      </c>
      <c r="H948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948" s="1" t="s">
        <v>3406</v>
      </c>
      <c r="K948" s="2" t="s">
        <v>3425</v>
      </c>
      <c r="L948" s="2" t="s">
        <v>3408</v>
      </c>
      <c r="M948" s="2" t="n">
        <v>21225</v>
      </c>
      <c r="O948" s="2" t="s">
        <v>3409</v>
      </c>
      <c r="P948" s="2" t="s">
        <v>3410</v>
      </c>
      <c r="S948" s="2" t="n">
        <v>319</v>
      </c>
      <c r="T948" s="2" t="n">
        <v>105</v>
      </c>
    </row>
    <row r="949" customFormat="false" ht="18.7" hidden="false" customHeight="true" outlineLevel="0" collapsed="false">
      <c r="A949" s="1" t="n">
        <v>948</v>
      </c>
      <c r="B949" s="7" t="str">
        <f aca="false">HYPERLINK("https://mncourtfraud.com/file/27-CR-21-12749.pdf","27-CR-21-12749")</f>
        <v>27-CR-21-12749</v>
      </c>
      <c r="C949" s="1" t="n">
        <v>1</v>
      </c>
      <c r="D949" s="2" t="s">
        <v>12</v>
      </c>
      <c r="E949" s="8" t="n">
        <v>44543</v>
      </c>
      <c r="F949" s="2" t="s">
        <v>15</v>
      </c>
      <c r="G949" s="7" t="str">
        <f aca="false">HYPERLINK("https://mncourtfraud.com/file/MCRO_27-CR-21-12749_Order-Evaluation for Competency to Proceed (Rule 20.01)_2021-12-13_20251126182133.pdf","MCRO_27-CR-21-12749_Order-Evaluation for Competency to Proceed (Rule 20.01)_2021-12-13_20251126182133.pdf")</f>
        <v>MCRO_27-CR-21-12749_Order-Evaluation for Competency to Proceed (Rule 20.01)_2021-12-13_20251126182133.pdf</v>
      </c>
      <c r="H949" s="7" t="str">
        <f aca="false">HYPERLINK("https://mncourtfraud.com/file/f942eca43ffd6bdbf3ee942fee873a73c8baea7707298295b91918b6d8b6d6ee.ttf","f942eca43ffd6bdbf3ee942fee873a73c8baea7707298295b91918b6d8b6d6ee")</f>
        <v>f942eca43ffd6bdbf3ee942fee873a73c8baea7707298295b91918b6d8b6d6ee</v>
      </c>
      <c r="I949" s="1" t="s">
        <v>3413</v>
      </c>
      <c r="J949" s="2" t="s">
        <v>3422</v>
      </c>
      <c r="K949" s="2" t="s">
        <v>3422</v>
      </c>
      <c r="L949" s="2" t="s">
        <v>3415</v>
      </c>
      <c r="M949" s="2" t="n">
        <v>125444</v>
      </c>
    </row>
    <row r="950" customFormat="false" ht="18.7" hidden="false" customHeight="true" outlineLevel="0" collapsed="false">
      <c r="A950" s="1" t="n">
        <v>949</v>
      </c>
      <c r="B950" s="7" t="str">
        <f aca="false">HYPERLINK("https://mncourtfraud.com/file/27-CR-21-12749.pdf","27-CR-21-12749")</f>
        <v>27-CR-21-12749</v>
      </c>
      <c r="C950" s="1" t="n">
        <v>1</v>
      </c>
      <c r="D950" s="2" t="s">
        <v>12</v>
      </c>
      <c r="E950" s="8" t="n">
        <v>44558</v>
      </c>
      <c r="F950" s="2" t="s">
        <v>15</v>
      </c>
      <c r="G950" s="7" t="str">
        <f aca="false">HYPERLINK("https://mncourtfraud.com/file/MCRO_27-CR-21-12749_Order-Evaluation for Competency to Proceed (Rule 20.01)_2021-12-28_20251126182145.pdf","MCRO_27-CR-21-12749_Order-Evaluation for Competency to Proceed (Rule 20.01)_2021-12-28_20251126182145.pdf")</f>
        <v>MCRO_27-CR-21-12749_Order-Evaluation for Competency to Proceed (Rule 20.01)_2021-12-28_20251126182145.pdf</v>
      </c>
      <c r="H950" s="7" t="str">
        <f aca="false">HYPERLINK("https://mncourtfraud.com/file/5f92de5f57ca6990cfe07064fcb28ee9e072371ba85524259f0df60f86082fdf.png","5f92de5f57ca6990cfe07064fcb28ee9e072371ba85524259f0df60f86082fdf")</f>
        <v>5f92de5f57ca6990cfe07064fcb28ee9e072371ba85524259f0df60f86082fdf</v>
      </c>
      <c r="I950" s="1" t="s">
        <v>3406</v>
      </c>
      <c r="L950" s="2" t="s">
        <v>3412</v>
      </c>
      <c r="M950" s="2" t="n">
        <v>99372</v>
      </c>
      <c r="S950" s="2" t="n">
        <v>2550</v>
      </c>
      <c r="T950" s="2" t="n">
        <v>3300</v>
      </c>
    </row>
    <row r="951" customFormat="false" ht="18.7" hidden="false" customHeight="true" outlineLevel="0" collapsed="false">
      <c r="A951" s="1" t="n">
        <v>950</v>
      </c>
      <c r="B951" s="7" t="str">
        <f aca="false">HYPERLINK("https://mncourtfraud.com/file/27-CR-21-12749.pdf","27-CR-21-12749")</f>
        <v>27-CR-21-12749</v>
      </c>
      <c r="C951" s="1" t="n">
        <v>1</v>
      </c>
      <c r="D951" s="2" t="s">
        <v>12</v>
      </c>
      <c r="E951" s="8" t="n">
        <v>44558</v>
      </c>
      <c r="F951" s="2" t="s">
        <v>15</v>
      </c>
      <c r="G951" s="7" t="str">
        <f aca="false">HYPERLINK("https://mncourtfraud.com/file/MCRO_27-CR-21-12749_Order-Evaluation for Competency to Proceed (Rule 20.01)_2021-12-28_20251126182145.pdf","MCRO_27-CR-21-12749_Order-Evaluation for Competency to Proceed (Rule 20.01)_2021-12-28_20251126182145.pdf")</f>
        <v>MCRO_27-CR-21-12749_Order-Evaluation for Competency to Proceed (Rule 20.01)_2021-12-28_20251126182145.pdf</v>
      </c>
      <c r="H951" s="7" t="str">
        <f aca="false">HYPERLINK("https://mncourtfraud.com/file/a5be49221e8d8416dd42cab8b64b8efa5695b1a1e67accc6e913a36738dd0f11.png","a5be49221e8d8416dd42cab8b64b8efa5695b1a1e67accc6e913a36738dd0f11")</f>
        <v>a5be49221e8d8416dd42cab8b64b8efa5695b1a1e67accc6e913a36738dd0f11</v>
      </c>
      <c r="I951" s="1" t="s">
        <v>3406</v>
      </c>
      <c r="L951" s="2" t="s">
        <v>3412</v>
      </c>
      <c r="M951" s="2" t="n">
        <v>130548</v>
      </c>
      <c r="S951" s="2" t="n">
        <v>2550</v>
      </c>
      <c r="T951" s="2" t="n">
        <v>3300</v>
      </c>
    </row>
    <row r="952" customFormat="false" ht="18.7" hidden="false" customHeight="true" outlineLevel="0" collapsed="false">
      <c r="A952" s="1" t="n">
        <v>951</v>
      </c>
      <c r="B952" s="7" t="str">
        <f aca="false">HYPERLINK("https://mncourtfraud.com/file/27-CR-21-12749.pdf","27-CR-21-12749")</f>
        <v>27-CR-21-12749</v>
      </c>
      <c r="C952" s="1" t="n">
        <v>1</v>
      </c>
      <c r="D952" s="2" t="s">
        <v>12</v>
      </c>
      <c r="E952" s="8" t="n">
        <v>44558</v>
      </c>
      <c r="F952" s="2" t="s">
        <v>15</v>
      </c>
      <c r="G952" s="7" t="str">
        <f aca="false">HYPERLINK("https://mncourtfraud.com/file/MCRO_27-CR-21-12749_Order-Evaluation for Competency to Proceed (Rule 20.01)_2021-12-28_20251126182145.pdf","MCRO_27-CR-21-12749_Order-Evaluation for Competency to Proceed (Rule 20.01)_2021-12-28_20251126182145.pdf")</f>
        <v>MCRO_27-CR-21-12749_Order-Evaluation for Competency to Proceed (Rule 20.01)_2021-12-28_20251126182145.pdf</v>
      </c>
      <c r="H952" s="7" t="str">
        <f aca="false">HYPERLINK("https://mncourtfraud.com/file/ade09dabe7947c639ce198c70bf6249cc72ea47864662dcdad37818a9a024659.ttf","ade09dabe7947c639ce198c70bf6249cc72ea47864662dcdad37818a9a024659")</f>
        <v>ade09dabe7947c639ce198c70bf6249cc72ea47864662dcdad37818a9a024659</v>
      </c>
      <c r="I952" s="1" t="s">
        <v>3413</v>
      </c>
      <c r="L952" s="2" t="s">
        <v>3415</v>
      </c>
      <c r="M952" s="2" t="n">
        <v>333576</v>
      </c>
    </row>
    <row r="953" customFormat="false" ht="18.7" hidden="false" customHeight="true" outlineLevel="0" collapsed="false">
      <c r="A953" s="1" t="n">
        <v>952</v>
      </c>
      <c r="B953" s="7" t="str">
        <f aca="false">HYPERLINK("https://mncourtfraud.com/file/27-CR-21-12749.pdf","27-CR-21-12749")</f>
        <v>27-CR-21-12749</v>
      </c>
      <c r="C953" s="1" t="n">
        <v>1</v>
      </c>
      <c r="D953" s="2" t="s">
        <v>12</v>
      </c>
      <c r="E953" s="8" t="n">
        <v>44558</v>
      </c>
      <c r="F953" s="2" t="s">
        <v>15</v>
      </c>
      <c r="G953" s="7" t="str">
        <f aca="false">HYPERLINK("https://mncourtfraud.com/file/MCRO_27-CR-21-12749_Order-Evaluation for Competency to Proceed (Rule 20.01)_2021-12-28_20251126182145.pdf","MCRO_27-CR-21-12749_Order-Evaluation for Competency to Proceed (Rule 20.01)_2021-12-28_20251126182145.pdf")</f>
        <v>MCRO_27-CR-21-12749_Order-Evaluation for Competency to Proceed (Rule 20.01)_2021-12-28_20251126182145.pdf</v>
      </c>
      <c r="H953" s="7" t="str">
        <f aca="false">HYPERLINK("https://mncourtfraud.com/file/c80c2400f5875e15048ab4cc2d95cd97f2b877533f8c732dff5d2fbad8a9c871.png","c80c2400f5875e15048ab4cc2d95cd97f2b877533f8c732dff5d2fbad8a9c871")</f>
        <v>c80c2400f5875e15048ab4cc2d95cd97f2b877533f8c732dff5d2fbad8a9c871</v>
      </c>
      <c r="I953" s="1" t="s">
        <v>3406</v>
      </c>
      <c r="L953" s="2" t="s">
        <v>3412</v>
      </c>
      <c r="M953" s="2" t="n">
        <v>155847</v>
      </c>
      <c r="S953" s="2" t="n">
        <v>2550</v>
      </c>
      <c r="T953" s="2" t="n">
        <v>3300</v>
      </c>
    </row>
    <row r="954" customFormat="false" ht="18.7" hidden="false" customHeight="true" outlineLevel="0" collapsed="false">
      <c r="A954" s="1" t="n">
        <v>953</v>
      </c>
      <c r="B954" s="7" t="str">
        <f aca="false">HYPERLINK("https://mncourtfraud.com/file/27-CR-21-12749.pdf","27-CR-21-12749")</f>
        <v>27-CR-21-12749</v>
      </c>
      <c r="C954" s="1" t="n">
        <v>1</v>
      </c>
      <c r="D954" s="2" t="s">
        <v>12</v>
      </c>
      <c r="E954" s="8" t="n">
        <v>44593</v>
      </c>
      <c r="F954" s="2" t="s">
        <v>19</v>
      </c>
      <c r="G954" s="7" t="str">
        <f aca="false">HYPERLINK("https://mncourtfraud.com/file/MCRO_27-CR-21-12749_Findings and Order_2022-02-01_20251126181958.pdf","MCRO_27-CR-21-12749_Findings and Order_2022-02-01_20251126181958.pdf")</f>
        <v>MCRO_27-CR-21-12749_Findings and Order_2022-02-01_20251126181958.pdf</v>
      </c>
      <c r="H954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954" s="1" t="s">
        <v>3413</v>
      </c>
      <c r="J954" s="2" t="s">
        <v>3426</v>
      </c>
      <c r="K954" s="2" t="s">
        <v>3426</v>
      </c>
      <c r="L954" s="2" t="s">
        <v>3415</v>
      </c>
      <c r="M954" s="2" t="n">
        <v>74997</v>
      </c>
      <c r="N954" s="2" t="s">
        <v>3427</v>
      </c>
    </row>
    <row r="955" customFormat="false" ht="18.7" hidden="false" customHeight="true" outlineLevel="0" collapsed="false">
      <c r="A955" s="1" t="n">
        <v>954</v>
      </c>
      <c r="B955" s="7" t="str">
        <f aca="false">HYPERLINK("https://mncourtfraud.com/file/27-CR-21-12749.pdf","27-CR-21-12749")</f>
        <v>27-CR-21-12749</v>
      </c>
      <c r="C955" s="1" t="n">
        <v>1</v>
      </c>
      <c r="D955" s="2" t="s">
        <v>12</v>
      </c>
      <c r="E955" s="8" t="n">
        <v>44593</v>
      </c>
      <c r="F955" s="2" t="s">
        <v>19</v>
      </c>
      <c r="G955" s="7" t="str">
        <f aca="false">HYPERLINK("https://mncourtfraud.com/file/MCRO_27-CR-21-12749_Findings and Order_2022-02-01_20251126181958.pdf","MCRO_27-CR-21-12749_Findings and Order_2022-02-01_20251126181958.pdf")</f>
        <v>MCRO_27-CR-21-12749_Findings and Order_2022-02-01_20251126181958.pdf</v>
      </c>
      <c r="H955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955" s="1" t="s">
        <v>3428</v>
      </c>
      <c r="J955" s="2" t="s">
        <v>3429</v>
      </c>
      <c r="K955" s="2" t="s">
        <v>3429</v>
      </c>
      <c r="L955" s="2" t="s">
        <v>3415</v>
      </c>
      <c r="M955" s="2" t="n">
        <v>86093</v>
      </c>
    </row>
    <row r="956" customFormat="false" ht="18.7" hidden="false" customHeight="true" outlineLevel="0" collapsed="false">
      <c r="A956" s="1" t="n">
        <v>955</v>
      </c>
      <c r="B956" s="7" t="str">
        <f aca="false">HYPERLINK("https://mncourtfraud.com/file/27-CR-21-12749.pdf","27-CR-21-12749")</f>
        <v>27-CR-21-12749</v>
      </c>
      <c r="C956" s="1" t="n">
        <v>1</v>
      </c>
      <c r="D956" s="2" t="s">
        <v>12</v>
      </c>
      <c r="E956" s="8" t="n">
        <v>44593</v>
      </c>
      <c r="F956" s="2" t="s">
        <v>19</v>
      </c>
      <c r="G956" s="7" t="str">
        <f aca="false">HYPERLINK("https://mncourtfraud.com/file/MCRO_27-CR-21-12749_Findings and Order_2022-02-01_20251126181958.pdf","MCRO_27-CR-21-12749_Findings and Order_2022-02-01_20251126181958.pdf")</f>
        <v>MCRO_27-CR-21-12749_Findings and Order_2022-02-01_20251126181958.pdf</v>
      </c>
      <c r="H956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956" s="1" t="s">
        <v>3413</v>
      </c>
      <c r="J956" s="2" t="s">
        <v>3414</v>
      </c>
      <c r="K956" s="2" t="s">
        <v>3414</v>
      </c>
      <c r="L956" s="2" t="s">
        <v>3415</v>
      </c>
      <c r="M956" s="2" t="n">
        <v>42332</v>
      </c>
    </row>
    <row r="957" customFormat="false" ht="18.7" hidden="false" customHeight="true" outlineLevel="0" collapsed="false">
      <c r="A957" s="1" t="n">
        <v>956</v>
      </c>
      <c r="B957" s="7" t="str">
        <f aca="false">HYPERLINK("https://mncourtfraud.com/file/27-CR-21-12749.pdf","27-CR-21-12749")</f>
        <v>27-CR-21-12749</v>
      </c>
      <c r="C957" s="1" t="n">
        <v>1</v>
      </c>
      <c r="D957" s="2" t="s">
        <v>12</v>
      </c>
      <c r="E957" s="8" t="n">
        <v>44593</v>
      </c>
      <c r="F957" s="2" t="s">
        <v>19</v>
      </c>
      <c r="G957" s="7" t="str">
        <f aca="false">HYPERLINK("https://mncourtfraud.com/file/MCRO_27-CR-21-12749_Findings and Order_2022-02-01_20251126181958.pdf","MCRO_27-CR-21-12749_Findings and Order_2022-02-01_20251126181958.pdf")</f>
        <v>MCRO_27-CR-21-12749_Findings and Order_2022-02-01_20251126181958.pdf</v>
      </c>
      <c r="H957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957" s="1" t="s">
        <v>3413</v>
      </c>
      <c r="J957" s="2" t="s">
        <v>3414</v>
      </c>
      <c r="K957" s="2" t="s">
        <v>3414</v>
      </c>
      <c r="L957" s="2" t="s">
        <v>3415</v>
      </c>
      <c r="M957" s="2" t="n">
        <v>42332</v>
      </c>
    </row>
    <row r="958" customFormat="false" ht="18.7" hidden="false" customHeight="true" outlineLevel="0" collapsed="false">
      <c r="A958" s="1" t="n">
        <v>957</v>
      </c>
      <c r="B958" s="7" t="str">
        <f aca="false">HYPERLINK("https://mncourtfraud.com/file/27-CR-21-12749.pdf","27-CR-21-12749")</f>
        <v>27-CR-21-12749</v>
      </c>
      <c r="C958" s="1" t="n">
        <v>1</v>
      </c>
      <c r="D958" s="2" t="s">
        <v>12</v>
      </c>
      <c r="E958" s="8" t="n">
        <v>44593</v>
      </c>
      <c r="F958" s="2" t="s">
        <v>19</v>
      </c>
      <c r="G958" s="7" t="str">
        <f aca="false">HYPERLINK("https://mncourtfraud.com/file/MCRO_27-CR-21-12749_Findings and Order_2022-02-01_20251126181958.pdf","MCRO_27-CR-21-12749_Findings and Order_2022-02-01_20251126181958.pdf")</f>
        <v>MCRO_27-CR-21-12749_Findings and Order_2022-02-01_20251126181958.pdf</v>
      </c>
      <c r="H958" s="7" t="str">
        <f aca="false">HYPERLINK("https://mncourtfraud.com/file/d1e06f7a12c8d4ae1de62861dbfeadf4f6b52b1cfd6801e548bc1d08782c1451.ttf","d1e06f7a12c8d4ae1de62861dbfeadf4f6b52b1cfd6801e548bc1d08782c1451")</f>
        <v>d1e06f7a12c8d4ae1de62861dbfeadf4f6b52b1cfd6801e548bc1d08782c1451</v>
      </c>
      <c r="I958" s="1" t="s">
        <v>3413</v>
      </c>
      <c r="J958" s="2" t="s">
        <v>3414</v>
      </c>
      <c r="K958" s="2" t="s">
        <v>3416</v>
      </c>
      <c r="L958" s="2" t="s">
        <v>3415</v>
      </c>
      <c r="M958" s="2" t="n">
        <v>28584</v>
      </c>
    </row>
    <row r="959" customFormat="false" ht="18.7" hidden="false" customHeight="true" outlineLevel="0" collapsed="false">
      <c r="A959" s="1" t="n">
        <v>958</v>
      </c>
      <c r="B959" s="7" t="str">
        <f aca="false">HYPERLINK("https://mncourtfraud.com/file/27-CR-21-12749.pdf","27-CR-21-12749")</f>
        <v>27-CR-21-12749</v>
      </c>
      <c r="C959" s="1" t="n">
        <v>1</v>
      </c>
      <c r="D959" s="2" t="s">
        <v>12</v>
      </c>
      <c r="E959" s="8" t="n">
        <v>44593</v>
      </c>
      <c r="F959" s="2" t="s">
        <v>19</v>
      </c>
      <c r="G959" s="7" t="str">
        <f aca="false">HYPERLINK("https://mncourtfraud.com/file/MCRO_27-CR-21-12749_Findings and Order_2022-02-01_20251126181958.pdf","MCRO_27-CR-21-12749_Findings and Order_2022-02-01_20251126181958.pdf")</f>
        <v>MCRO_27-CR-21-12749_Findings and Order_2022-02-01_20251126181958.pdf</v>
      </c>
      <c r="H959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959" s="1" t="s">
        <v>3406</v>
      </c>
      <c r="K959" s="2" t="s">
        <v>3430</v>
      </c>
      <c r="L959" s="2" t="s">
        <v>3408</v>
      </c>
      <c r="M959" s="2" t="n">
        <v>28069</v>
      </c>
      <c r="O959" s="2" t="s">
        <v>3409</v>
      </c>
      <c r="P959" s="2" t="s">
        <v>3410</v>
      </c>
      <c r="S959" s="2" t="n">
        <v>448</v>
      </c>
      <c r="T959" s="2" t="n">
        <v>128</v>
      </c>
    </row>
    <row r="960" customFormat="false" ht="18.7" hidden="false" customHeight="true" outlineLevel="0" collapsed="false">
      <c r="A960" s="1" t="n">
        <v>959</v>
      </c>
      <c r="B960" s="7" t="str">
        <f aca="false">HYPERLINK("https://mncourtfraud.com/file/27-CR-21-12749.pdf","27-CR-21-12749")</f>
        <v>27-CR-21-12749</v>
      </c>
      <c r="C960" s="1" t="n">
        <v>1</v>
      </c>
      <c r="D960" s="2" t="s">
        <v>12</v>
      </c>
      <c r="E960" s="8" t="n">
        <v>44692</v>
      </c>
      <c r="F960" s="2" t="s">
        <v>15</v>
      </c>
      <c r="G960" s="7" t="str">
        <f aca="false">HYPERLINK("https://mncourtfraud.com/file/MCRO_27-CR-21-12749_Order-Evaluation for Competency to Proceed (Rule 20.01)_2022-05-11_20251126182155.pdf","MCRO_27-CR-21-12749_Order-Evaluation for Competency to Proceed (Rule 20.01)_2022-05-11_20251126182155.pdf")</f>
        <v>MCRO_27-CR-21-12749_Order-Evaluation for Competency to Proceed (Rule 20.01)_2022-05-11_20251126182155.pdf</v>
      </c>
      <c r="H960" s="7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960" s="1" t="s">
        <v>3406</v>
      </c>
      <c r="K960" s="2" t="s">
        <v>3432</v>
      </c>
      <c r="L960" s="2" t="s">
        <v>3408</v>
      </c>
      <c r="M960" s="2" t="n">
        <v>21121</v>
      </c>
      <c r="O960" s="2" t="s">
        <v>3409</v>
      </c>
      <c r="P960" s="2" t="s">
        <v>3410</v>
      </c>
      <c r="S960" s="2" t="n">
        <v>695</v>
      </c>
      <c r="T960" s="2" t="n">
        <v>233</v>
      </c>
    </row>
    <row r="961" customFormat="false" ht="18.7" hidden="false" customHeight="true" outlineLevel="0" collapsed="false">
      <c r="A961" s="1" t="n">
        <v>960</v>
      </c>
      <c r="B961" s="7" t="str">
        <f aca="false">HYPERLINK("https://mncourtfraud.com/file/27-CR-21-12749.pdf","27-CR-21-12749")</f>
        <v>27-CR-21-12749</v>
      </c>
      <c r="C961" s="1" t="n">
        <v>1</v>
      </c>
      <c r="D961" s="2" t="s">
        <v>12</v>
      </c>
      <c r="E961" s="8" t="n">
        <v>44692</v>
      </c>
      <c r="F961" s="2" t="s">
        <v>15</v>
      </c>
      <c r="G961" s="7" t="str">
        <f aca="false">HYPERLINK("https://mncourtfraud.com/file/MCRO_27-CR-21-12749_Order-Evaluation for Competency to Proceed (Rule 20.01)_2022-05-11_20251126182155.pdf","MCRO_27-CR-21-12749_Order-Evaluation for Competency to Proceed (Rule 20.01)_2022-05-11_20251126182155.pdf")</f>
        <v>MCRO_27-CR-21-12749_Order-Evaluation for Competency to Proceed (Rule 20.01)_2022-05-11_20251126182155.pdf</v>
      </c>
      <c r="H961" s="7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961" s="1" t="s">
        <v>3406</v>
      </c>
      <c r="K961" s="2" t="s">
        <v>3433</v>
      </c>
      <c r="L961" s="2" t="s">
        <v>3408</v>
      </c>
      <c r="M961" s="2" t="n">
        <v>53838</v>
      </c>
      <c r="O961" s="2" t="s">
        <v>3409</v>
      </c>
      <c r="P961" s="2" t="s">
        <v>3410</v>
      </c>
      <c r="S961" s="2" t="n">
        <v>695</v>
      </c>
      <c r="T961" s="2" t="n">
        <v>233</v>
      </c>
    </row>
    <row r="962" customFormat="false" ht="18.7" hidden="false" customHeight="true" outlineLevel="0" collapsed="false">
      <c r="A962" s="1" t="n">
        <v>961</v>
      </c>
      <c r="B962" s="7" t="str">
        <f aca="false">HYPERLINK("https://mncourtfraud.com/file/27-CR-21-12749.pdf","27-CR-21-12749")</f>
        <v>27-CR-21-12749</v>
      </c>
      <c r="C962" s="1" t="n">
        <v>1</v>
      </c>
      <c r="D962" s="2" t="s">
        <v>12</v>
      </c>
      <c r="E962" s="8" t="n">
        <v>44692</v>
      </c>
      <c r="F962" s="2" t="s">
        <v>15</v>
      </c>
      <c r="G962" s="7" t="str">
        <f aca="false">HYPERLINK("https://mncourtfraud.com/file/MCRO_27-CR-21-12749_Order-Evaluation for Competency to Proceed (Rule 20.01)_2022-05-11_20251126182155.pdf","MCRO_27-CR-21-12749_Order-Evaluation for Competency to Proceed (Rule 20.01)_2022-05-11_20251126182155.pdf")</f>
        <v>MCRO_27-CR-21-12749_Order-Evaluation for Competency to Proceed (Rule 20.01)_2022-05-11_20251126182155.pdf</v>
      </c>
      <c r="H962" s="7" t="str">
        <f aca="false">HYPERLINK("https://mncourtfraud.com/file/322fe0e9595a4df4693edf307e5f8a42a470721d59f006a7b0e86def92125a58.ttf","322fe0e9595a4df4693edf307e5f8a42a470721d59f006a7b0e86def92125a58")</f>
        <v>322fe0e9595a4df4693edf307e5f8a42a470721d59f006a7b0e86def92125a58</v>
      </c>
      <c r="I962" s="1" t="s">
        <v>3413</v>
      </c>
      <c r="J962" s="2" t="s">
        <v>3434</v>
      </c>
      <c r="K962" s="2" t="s">
        <v>3434</v>
      </c>
      <c r="L962" s="2" t="s">
        <v>3415</v>
      </c>
      <c r="M962" s="2" t="n">
        <v>46736</v>
      </c>
      <c r="N962" s="2" t="s">
        <v>3435</v>
      </c>
    </row>
    <row r="963" customFormat="false" ht="18.7" hidden="false" customHeight="true" outlineLevel="0" collapsed="false">
      <c r="A963" s="1" t="n">
        <v>962</v>
      </c>
      <c r="B963" s="7" t="str">
        <f aca="false">HYPERLINK("https://mncourtfraud.com/file/27-CR-21-12749.pdf","27-CR-21-12749")</f>
        <v>27-CR-21-12749</v>
      </c>
      <c r="C963" s="1" t="n">
        <v>1</v>
      </c>
      <c r="D963" s="2" t="s">
        <v>12</v>
      </c>
      <c r="E963" s="8" t="n">
        <v>44692</v>
      </c>
      <c r="F963" s="2" t="s">
        <v>15</v>
      </c>
      <c r="G963" s="7" t="str">
        <f aca="false">HYPERLINK("https://mncourtfraud.com/file/MCRO_27-CR-21-12749_Order-Evaluation for Competency to Proceed (Rule 20.01)_2022-05-11_20251126182155.pdf","MCRO_27-CR-21-12749_Order-Evaluation for Competency to Proceed (Rule 20.01)_2022-05-11_20251126182155.pdf")</f>
        <v>MCRO_27-CR-21-12749_Order-Evaluation for Competency to Proceed (Rule 20.01)_2022-05-11_20251126182155.pdf</v>
      </c>
      <c r="H963" s="7" t="str">
        <f aca="false">HYPERLINK("https://mncourtfraud.com/file/32ebada21768d6238e03c647b5e5acdf6ce656f0735d59c3fb698ce40418a709.ttf","32ebada21768d6238e03c647b5e5acdf6ce656f0735d59c3fb698ce40418a709")</f>
        <v>32ebada21768d6238e03c647b5e5acdf6ce656f0735d59c3fb698ce40418a709</v>
      </c>
      <c r="I963" s="1" t="s">
        <v>3413</v>
      </c>
      <c r="J963" s="2" t="s">
        <v>3436</v>
      </c>
      <c r="K963" s="2" t="s">
        <v>3436</v>
      </c>
      <c r="L963" s="2" t="s">
        <v>3415</v>
      </c>
      <c r="M963" s="2" t="n">
        <v>65744</v>
      </c>
      <c r="N963" s="2" t="s">
        <v>3437</v>
      </c>
    </row>
    <row r="964" customFormat="false" ht="18.7" hidden="false" customHeight="true" outlineLevel="0" collapsed="false">
      <c r="A964" s="1" t="n">
        <v>963</v>
      </c>
      <c r="B964" s="7" t="str">
        <f aca="false">HYPERLINK("https://mncourtfraud.com/file/27-CR-21-12749.pdf","27-CR-21-12749")</f>
        <v>27-CR-21-12749</v>
      </c>
      <c r="C964" s="1" t="n">
        <v>1</v>
      </c>
      <c r="D964" s="2" t="s">
        <v>12</v>
      </c>
      <c r="E964" s="8" t="n">
        <v>44692</v>
      </c>
      <c r="F964" s="2" t="s">
        <v>15</v>
      </c>
      <c r="G964" s="7" t="str">
        <f aca="false">HYPERLINK("https://mncourtfraud.com/file/MCRO_27-CR-21-12749_Order-Evaluation for Competency to Proceed (Rule 20.01)_2022-05-11_20251126182155.pdf","MCRO_27-CR-21-12749_Order-Evaluation for Competency to Proceed (Rule 20.01)_2022-05-11_20251126182155.pdf")</f>
        <v>MCRO_27-CR-21-12749_Order-Evaluation for Competency to Proceed (Rule 20.01)_2022-05-11_20251126182155.pdf</v>
      </c>
      <c r="H964" s="7" t="str">
        <f aca="false">HYPERLINK("https://mncourtfraud.com/file/694dcb82a5515430b7fddfbf16881b942820c8c41fee3eea3505a20c7d4e41e6.ttf","694dcb82a5515430b7fddfbf16881b942820c8c41fee3eea3505a20c7d4e41e6")</f>
        <v>694dcb82a5515430b7fddfbf16881b942820c8c41fee3eea3505a20c7d4e41e6</v>
      </c>
      <c r="I964" s="1" t="s">
        <v>3413</v>
      </c>
      <c r="J964" s="2" t="s">
        <v>3438</v>
      </c>
      <c r="K964" s="2" t="s">
        <v>3438</v>
      </c>
      <c r="L964" s="2" t="s">
        <v>3415</v>
      </c>
      <c r="M964" s="2" t="n">
        <v>72828</v>
      </c>
      <c r="N964" s="2" t="s">
        <v>3439</v>
      </c>
    </row>
    <row r="965" customFormat="false" ht="18.7" hidden="false" customHeight="true" outlineLevel="0" collapsed="false">
      <c r="A965" s="1" t="n">
        <v>964</v>
      </c>
      <c r="B965" s="7" t="str">
        <f aca="false">HYPERLINK("https://mncourtfraud.com/file/27-CR-21-12749.pdf","27-CR-21-12749")</f>
        <v>27-CR-21-12749</v>
      </c>
      <c r="C965" s="1" t="n">
        <v>1</v>
      </c>
      <c r="D965" s="2" t="s">
        <v>12</v>
      </c>
      <c r="E965" s="8" t="n">
        <v>44692</v>
      </c>
      <c r="F965" s="2" t="s">
        <v>15</v>
      </c>
      <c r="G965" s="7" t="str">
        <f aca="false">HYPERLINK("https://mncourtfraud.com/file/MCRO_27-CR-21-12749_Order-Evaluation for Competency to Proceed (Rule 20.01)_2022-05-11_20251126182155.pdf","MCRO_27-CR-21-12749_Order-Evaluation for Competency to Proceed (Rule 20.01)_2022-05-11_20251126182155.pdf")</f>
        <v>MCRO_27-CR-21-12749_Order-Evaluation for Competency to Proceed (Rule 20.01)_2022-05-11_20251126182155.pdf</v>
      </c>
      <c r="H965" s="7" t="str">
        <f aca="false">HYPERLINK("https://mncourtfraud.com/file/87764021d6d62f7c396208d3f1fa8113e5ad5f90bd03c35e7200536389af4e6a.ttf","87764021d6d62f7c396208d3f1fa8113e5ad5f90bd03c35e7200536389af4e6a")</f>
        <v>87764021d6d62f7c396208d3f1fa8113e5ad5f90bd03c35e7200536389af4e6a</v>
      </c>
      <c r="I965" s="1" t="s">
        <v>3413</v>
      </c>
      <c r="J965" s="2" t="s">
        <v>3440</v>
      </c>
      <c r="K965" s="2" t="s">
        <v>3440</v>
      </c>
      <c r="L965" s="2" t="s">
        <v>3415</v>
      </c>
      <c r="M965" s="2" t="n">
        <v>6280</v>
      </c>
      <c r="N965" s="2" t="s">
        <v>3441</v>
      </c>
    </row>
    <row r="966" customFormat="false" ht="18.7" hidden="false" customHeight="true" outlineLevel="0" collapsed="false">
      <c r="A966" s="1" t="n">
        <v>965</v>
      </c>
      <c r="B966" s="7" t="str">
        <f aca="false">HYPERLINK("https://mncourtfraud.com/file/27-CR-21-12749.pdf","27-CR-21-12749")</f>
        <v>27-CR-21-12749</v>
      </c>
      <c r="C966" s="1" t="n">
        <v>1</v>
      </c>
      <c r="D966" s="2" t="s">
        <v>12</v>
      </c>
      <c r="E966" s="8" t="n">
        <v>44692</v>
      </c>
      <c r="F966" s="2" t="s">
        <v>15</v>
      </c>
      <c r="G966" s="7" t="str">
        <f aca="false">HYPERLINK("https://mncourtfraud.com/file/MCRO_27-CR-21-12749_Order-Evaluation for Competency to Proceed (Rule 20.01)_2022-05-11_20251126182155.pdf","MCRO_27-CR-21-12749_Order-Evaluation for Competency to Proceed (Rule 20.01)_2022-05-11_20251126182155.pdf")</f>
        <v>MCRO_27-CR-21-12749_Order-Evaluation for Competency to Proceed (Rule 20.01)_2022-05-11_20251126182155.pdf</v>
      </c>
      <c r="H966" s="7" t="str">
        <f aca="false">HYPERLINK("https://mncourtfraud.com/file/a1ad71f465be26cf6bb430c59ae6133d3c381ada339ba3c6b2eadf32a9b4096b.ttf","a1ad71f465be26cf6bb430c59ae6133d3c381ada339ba3c6b2eadf32a9b4096b")</f>
        <v>a1ad71f465be26cf6bb430c59ae6133d3c381ada339ba3c6b2eadf32a9b4096b</v>
      </c>
      <c r="I966" s="1" t="s">
        <v>3413</v>
      </c>
      <c r="J966" s="2" t="s">
        <v>3442</v>
      </c>
      <c r="K966" s="2" t="s">
        <v>3442</v>
      </c>
      <c r="L966" s="2" t="s">
        <v>3415</v>
      </c>
      <c r="M966" s="2" t="n">
        <v>5988</v>
      </c>
      <c r="N966" s="2" t="s">
        <v>3443</v>
      </c>
    </row>
    <row r="967" customFormat="false" ht="18.7" hidden="false" customHeight="true" outlineLevel="0" collapsed="false">
      <c r="A967" s="1" t="n">
        <v>966</v>
      </c>
      <c r="B967" s="7" t="str">
        <f aca="false">HYPERLINK("https://mncourtfraud.com/file/27-CR-21-12749.pdf","27-CR-21-12749")</f>
        <v>27-CR-21-12749</v>
      </c>
      <c r="C967" s="1" t="n">
        <v>1</v>
      </c>
      <c r="D967" s="2" t="s">
        <v>12</v>
      </c>
      <c r="E967" s="8" t="n">
        <v>44692</v>
      </c>
      <c r="F967" s="2" t="s">
        <v>15</v>
      </c>
      <c r="G967" s="7" t="str">
        <f aca="false">HYPERLINK("https://mncourtfraud.com/file/MCRO_27-CR-21-12749_Order-Evaluation for Competency to Proceed (Rule 20.01)_2022-05-11_20251126182155.pdf","MCRO_27-CR-21-12749_Order-Evaluation for Competency to Proceed (Rule 20.01)_2022-05-11_20251126182155.pdf")</f>
        <v>MCRO_27-CR-21-12749_Order-Evaluation for Competency to Proceed (Rule 20.01)_2022-05-11_20251126182155.pdf</v>
      </c>
      <c r="H967" s="7" t="str">
        <f aca="false">HYPERLINK("https://mncourtfraud.com/file/e1befe23dc5d05be4c8e965e6fc9e74e95400600e0da0c86dd389645355f3ad1.ttf","e1befe23dc5d05be4c8e965e6fc9e74e95400600e0da0c86dd389645355f3ad1")</f>
        <v>e1befe23dc5d05be4c8e965e6fc9e74e95400600e0da0c86dd389645355f3ad1</v>
      </c>
      <c r="I967" s="1" t="s">
        <v>3413</v>
      </c>
      <c r="J967" s="2" t="s">
        <v>3444</v>
      </c>
      <c r="K967" s="2" t="s">
        <v>3444</v>
      </c>
      <c r="L967" s="2" t="s">
        <v>3415</v>
      </c>
      <c r="M967" s="2" t="n">
        <v>94308</v>
      </c>
      <c r="N967" s="2" t="s">
        <v>3445</v>
      </c>
    </row>
    <row r="968" customFormat="false" ht="18.7" hidden="false" customHeight="true" outlineLevel="0" collapsed="false">
      <c r="A968" s="1" t="n">
        <v>967</v>
      </c>
      <c r="B968" s="7" t="str">
        <f aca="false">HYPERLINK("https://mncourtfraud.com/file/27-CR-21-12749.pdf","27-CR-21-12749")</f>
        <v>27-CR-21-12749</v>
      </c>
      <c r="C968" s="1" t="n">
        <v>1</v>
      </c>
      <c r="D968" s="2" t="s">
        <v>12</v>
      </c>
      <c r="E968" s="8" t="n">
        <v>44895</v>
      </c>
      <c r="F968" s="2" t="s">
        <v>15</v>
      </c>
      <c r="G968" s="7" t="str">
        <f aca="false">HYPERLINK("https://mncourtfraud.com/file/MCRO_27-CR-21-12749_Order-Evaluation for Competency to Proceed (Rule 20.01)_2022-11-30_20251126182203.pdf","MCRO_27-CR-21-12749_Order-Evaluation for Competency to Proceed (Rule 20.01)_2022-11-30_20251126182203.pdf")</f>
        <v>MCRO_27-CR-21-12749_Order-Evaluation for Competency to Proceed (Rule 20.01)_2022-11-30_20251126182203.pdf</v>
      </c>
      <c r="H968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968" s="1" t="s">
        <v>3413</v>
      </c>
      <c r="J968" s="2" t="s">
        <v>3423</v>
      </c>
      <c r="K968" s="2" t="s">
        <v>3423</v>
      </c>
      <c r="L968" s="2" t="s">
        <v>3415</v>
      </c>
      <c r="M968" s="2" t="n">
        <v>11088</v>
      </c>
    </row>
    <row r="969" customFormat="false" ht="18.7" hidden="false" customHeight="true" outlineLevel="0" collapsed="false">
      <c r="A969" s="1" t="n">
        <v>968</v>
      </c>
      <c r="B969" s="7" t="str">
        <f aca="false">HYPERLINK("https://mncourtfraud.com/file/27-CR-21-12749.pdf","27-CR-21-12749")</f>
        <v>27-CR-21-12749</v>
      </c>
      <c r="C969" s="1" t="n">
        <v>1</v>
      </c>
      <c r="D969" s="2" t="s">
        <v>12</v>
      </c>
      <c r="E969" s="8" t="n">
        <v>44895</v>
      </c>
      <c r="F969" s="2" t="s">
        <v>15</v>
      </c>
      <c r="G969" s="7" t="str">
        <f aca="false">HYPERLINK("https://mncourtfraud.com/file/MCRO_27-CR-21-12749_Order-Evaluation for Competency to Proceed (Rule 20.01)_2022-11-30_20251126182203.pdf","MCRO_27-CR-21-12749_Order-Evaluation for Competency to Proceed (Rule 20.01)_2022-11-30_20251126182203.pdf")</f>
        <v>MCRO_27-CR-21-12749_Order-Evaluation for Competency to Proceed (Rule 20.01)_2022-11-30_20251126182203.pdf</v>
      </c>
      <c r="H969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969" s="1" t="s">
        <v>3413</v>
      </c>
      <c r="J969" s="2" t="s">
        <v>3446</v>
      </c>
      <c r="K969" s="2" t="s">
        <v>3446</v>
      </c>
      <c r="L969" s="2" t="s">
        <v>3415</v>
      </c>
      <c r="M969" s="2" t="n">
        <v>55072</v>
      </c>
      <c r="N969" s="2" t="s">
        <v>3447</v>
      </c>
    </row>
    <row r="970" customFormat="false" ht="18.7" hidden="false" customHeight="true" outlineLevel="0" collapsed="false">
      <c r="A970" s="1" t="n">
        <v>969</v>
      </c>
      <c r="B970" s="7" t="str">
        <f aca="false">HYPERLINK("https://mncourtfraud.com/file/27-CR-21-12749.pdf","27-CR-21-12749")</f>
        <v>27-CR-21-12749</v>
      </c>
      <c r="C970" s="1" t="n">
        <v>1</v>
      </c>
      <c r="D970" s="2" t="s">
        <v>12</v>
      </c>
      <c r="E970" s="8" t="n">
        <v>44895</v>
      </c>
      <c r="F970" s="2" t="s">
        <v>15</v>
      </c>
      <c r="G970" s="7" t="str">
        <f aca="false">HYPERLINK("https://mncourtfraud.com/file/MCRO_27-CR-21-12749_Order-Evaluation for Competency to Proceed (Rule 20.01)_2022-11-30_20251126182203.pdf","MCRO_27-CR-21-12749_Order-Evaluation for Competency to Proceed (Rule 20.01)_2022-11-30_20251126182203.pdf")</f>
        <v>MCRO_27-CR-21-12749_Order-Evaluation for Competency to Proceed (Rule 20.01)_2022-11-30_20251126182203.pdf</v>
      </c>
      <c r="H970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970" s="1" t="s">
        <v>3413</v>
      </c>
      <c r="J970" s="2" t="s">
        <v>3424</v>
      </c>
      <c r="K970" s="2" t="s">
        <v>3424</v>
      </c>
      <c r="L970" s="2" t="s">
        <v>3415</v>
      </c>
      <c r="M970" s="2" t="n">
        <v>14252</v>
      </c>
    </row>
    <row r="971" customFormat="false" ht="18.7" hidden="false" customHeight="true" outlineLevel="0" collapsed="false">
      <c r="A971" s="1" t="n">
        <v>970</v>
      </c>
      <c r="B971" s="7" t="str">
        <f aca="false">HYPERLINK("https://mncourtfraud.com/file/27-CR-21-12749.pdf","27-CR-21-12749")</f>
        <v>27-CR-21-12749</v>
      </c>
      <c r="C971" s="1" t="n">
        <v>1</v>
      </c>
      <c r="D971" s="2" t="s">
        <v>12</v>
      </c>
      <c r="E971" s="8" t="n">
        <v>44895</v>
      </c>
      <c r="F971" s="2" t="s">
        <v>15</v>
      </c>
      <c r="G971" s="7" t="str">
        <f aca="false">HYPERLINK("https://mncourtfraud.com/file/MCRO_27-CR-21-12749_Order-Evaluation for Competency to Proceed (Rule 20.01)_2022-11-30_20251126182203.pdf","MCRO_27-CR-21-12749_Order-Evaluation for Competency to Proceed (Rule 20.01)_2022-11-30_20251126182203.pdf")</f>
        <v>MCRO_27-CR-21-12749_Order-Evaluation for Competency to Proceed (Rule 20.01)_2022-11-30_20251126182203.pdf</v>
      </c>
      <c r="H971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971" s="1" t="s">
        <v>3406</v>
      </c>
      <c r="K971" s="2" t="s">
        <v>3420</v>
      </c>
      <c r="L971" s="2" t="s">
        <v>3408</v>
      </c>
      <c r="M971" s="2" t="n">
        <v>7306</v>
      </c>
      <c r="O971" s="2" t="s">
        <v>3409</v>
      </c>
      <c r="P971" s="2" t="s">
        <v>3410</v>
      </c>
      <c r="S971" s="2" t="n">
        <v>319</v>
      </c>
      <c r="T971" s="2" t="n">
        <v>105</v>
      </c>
    </row>
    <row r="972" customFormat="false" ht="18.7" hidden="false" customHeight="true" outlineLevel="0" collapsed="false">
      <c r="A972" s="1" t="n">
        <v>971</v>
      </c>
      <c r="B972" s="7" t="str">
        <f aca="false">HYPERLINK("https://mncourtfraud.com/file/27-CR-21-12749.pdf","27-CR-21-12749")</f>
        <v>27-CR-21-12749</v>
      </c>
      <c r="C972" s="1" t="n">
        <v>1</v>
      </c>
      <c r="D972" s="2" t="s">
        <v>12</v>
      </c>
      <c r="E972" s="8" t="n">
        <v>44895</v>
      </c>
      <c r="F972" s="2" t="s">
        <v>15</v>
      </c>
      <c r="G972" s="7" t="str">
        <f aca="false">HYPERLINK("https://mncourtfraud.com/file/MCRO_27-CR-21-12749_Order-Evaluation for Competency to Proceed (Rule 20.01)_2022-11-30_20251126182203.pdf","MCRO_27-CR-21-12749_Order-Evaluation for Competency to Proceed (Rule 20.01)_2022-11-30_20251126182203.pdf")</f>
        <v>MCRO_27-CR-21-12749_Order-Evaluation for Competency to Proceed (Rule 20.01)_2022-11-30_20251126182203.pdf</v>
      </c>
      <c r="H972" s="7" t="str">
        <f aca="false">HYPERLINK("https://mncourtfraud.com/file/677e52a3b8403ce87e338b0a2e31e6f8e5ddf03fb0ca7043a341135cf0255eaa.ttf","677e52a3b8403ce87e338b0a2e31e6f8e5ddf03fb0ca7043a341135cf0255eaa")</f>
        <v>677e52a3b8403ce87e338b0a2e31e6f8e5ddf03fb0ca7043a341135cf0255eaa</v>
      </c>
      <c r="I972" s="1" t="s">
        <v>3413</v>
      </c>
      <c r="J972" s="2" t="s">
        <v>3422</v>
      </c>
      <c r="K972" s="2" t="s">
        <v>3422</v>
      </c>
      <c r="L972" s="2" t="s">
        <v>3415</v>
      </c>
      <c r="M972" s="2" t="n">
        <v>149960</v>
      </c>
    </row>
    <row r="973" customFormat="false" ht="18.7" hidden="false" customHeight="true" outlineLevel="0" collapsed="false">
      <c r="A973" s="1" t="n">
        <v>972</v>
      </c>
      <c r="B973" s="7" t="str">
        <f aca="false">HYPERLINK("https://mncourtfraud.com/file/27-CR-21-12749.pdf","27-CR-21-12749")</f>
        <v>27-CR-21-12749</v>
      </c>
      <c r="C973" s="1" t="n">
        <v>1</v>
      </c>
      <c r="D973" s="2" t="s">
        <v>12</v>
      </c>
      <c r="E973" s="8" t="n">
        <v>44895</v>
      </c>
      <c r="F973" s="2" t="s">
        <v>15</v>
      </c>
      <c r="G973" s="7" t="str">
        <f aca="false">HYPERLINK("https://mncourtfraud.com/file/MCRO_27-CR-21-12749_Order-Evaluation for Competency to Proceed (Rule 20.01)_2022-11-30_20251126182203.pdf","MCRO_27-CR-21-12749_Order-Evaluation for Competency to Proceed (Rule 20.01)_2022-11-30_20251126182203.pdf")</f>
        <v>MCRO_27-CR-21-12749_Order-Evaluation for Competency to Proceed (Rule 20.01)_2022-11-30_20251126182203.pdf</v>
      </c>
      <c r="H973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973" s="1" t="s">
        <v>3413</v>
      </c>
      <c r="J973" s="2" t="s">
        <v>3448</v>
      </c>
      <c r="K973" s="2" t="s">
        <v>3448</v>
      </c>
      <c r="L973" s="2" t="s">
        <v>3415</v>
      </c>
      <c r="M973" s="2" t="n">
        <v>916684</v>
      </c>
    </row>
    <row r="974" customFormat="false" ht="18.7" hidden="false" customHeight="true" outlineLevel="0" collapsed="false">
      <c r="A974" s="1" t="n">
        <v>973</v>
      </c>
      <c r="B974" s="7" t="str">
        <f aca="false">HYPERLINK("https://mncourtfraud.com/file/27-CR-21-12749.pdf","27-CR-21-12749")</f>
        <v>27-CR-21-12749</v>
      </c>
      <c r="C974" s="1" t="n">
        <v>1</v>
      </c>
      <c r="D974" s="2" t="s">
        <v>12</v>
      </c>
      <c r="E974" s="8" t="n">
        <v>44895</v>
      </c>
      <c r="F974" s="2" t="s">
        <v>15</v>
      </c>
      <c r="G974" s="7" t="str">
        <f aca="false">HYPERLINK("https://mncourtfraud.com/file/MCRO_27-CR-21-12749_Order-Evaluation for Competency to Proceed (Rule 20.01)_2022-11-30_20251126182203.pdf","MCRO_27-CR-21-12749_Order-Evaluation for Competency to Proceed (Rule 20.01)_2022-11-30_20251126182203.pdf")</f>
        <v>MCRO_27-CR-21-12749_Order-Evaluation for Competency to Proceed (Rule 20.01)_2022-11-30_20251126182203.pdf</v>
      </c>
      <c r="H974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974" s="1" t="s">
        <v>3406</v>
      </c>
      <c r="K974" s="2" t="s">
        <v>3425</v>
      </c>
      <c r="L974" s="2" t="s">
        <v>3408</v>
      </c>
      <c r="M974" s="2" t="n">
        <v>21225</v>
      </c>
      <c r="O974" s="2" t="s">
        <v>3409</v>
      </c>
      <c r="P974" s="2" t="s">
        <v>3410</v>
      </c>
      <c r="S974" s="2" t="n">
        <v>319</v>
      </c>
      <c r="T974" s="2" t="n">
        <v>105</v>
      </c>
    </row>
    <row r="975" customFormat="false" ht="18.7" hidden="false" customHeight="true" outlineLevel="0" collapsed="false">
      <c r="A975" s="1" t="n">
        <v>974</v>
      </c>
      <c r="B975" s="7" t="str">
        <f aca="false">HYPERLINK("https://mncourtfraud.com/file/27-CR-21-12749.pdf","27-CR-21-12749")</f>
        <v>27-CR-21-12749</v>
      </c>
      <c r="C975" s="1" t="n">
        <v>1</v>
      </c>
      <c r="D975" s="2" t="s">
        <v>12</v>
      </c>
      <c r="E975" s="8" t="n">
        <v>44895</v>
      </c>
      <c r="F975" s="2" t="s">
        <v>15</v>
      </c>
      <c r="G975" s="7" t="str">
        <f aca="false">HYPERLINK("https://mncourtfraud.com/file/MCRO_27-CR-21-12749_Order-Evaluation for Competency to Proceed (Rule 20.01)_2022-11-30_20251126182203.pdf","MCRO_27-CR-21-12749_Order-Evaluation for Competency to Proceed (Rule 20.01)_2022-11-30_20251126182203.pdf")</f>
        <v>MCRO_27-CR-21-12749_Order-Evaluation for Competency to Proceed (Rule 20.01)_2022-11-30_20251126182203.pdf</v>
      </c>
      <c r="H975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975" s="1" t="s">
        <v>3413</v>
      </c>
      <c r="J975" s="2" t="s">
        <v>3449</v>
      </c>
      <c r="K975" s="2" t="s">
        <v>3449</v>
      </c>
      <c r="L975" s="2" t="s">
        <v>3415</v>
      </c>
      <c r="M975" s="2" t="n">
        <v>124664</v>
      </c>
    </row>
    <row r="976" customFormat="false" ht="18.7" hidden="false" customHeight="true" outlineLevel="0" collapsed="false">
      <c r="A976" s="1" t="n">
        <v>975</v>
      </c>
      <c r="B976" s="7" t="str">
        <f aca="false">HYPERLINK("https://mncourtfraud.com/file/27-CR-21-12749.pdf","27-CR-21-12749")</f>
        <v>27-CR-21-12749</v>
      </c>
      <c r="C976" s="1" t="n">
        <v>1</v>
      </c>
      <c r="D976" s="2" t="s">
        <v>12</v>
      </c>
      <c r="E976" s="8" t="n">
        <v>44895</v>
      </c>
      <c r="F976" s="2" t="s">
        <v>15</v>
      </c>
      <c r="G976" s="7" t="str">
        <f aca="false">HYPERLINK("https://mncourtfraud.com/file/MCRO_27-CR-21-12749_Order-Evaluation for Competency to Proceed (Rule 20.01)_2022-11-30_20251126182203.pdf","MCRO_27-CR-21-12749_Order-Evaluation for Competency to Proceed (Rule 20.01)_2022-11-30_20251126182203.pdf")</f>
        <v>MCRO_27-CR-21-12749_Order-Evaluation for Competency to Proceed (Rule 20.01)_2022-11-30_20251126182203.pdf</v>
      </c>
      <c r="H976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976" s="1" t="s">
        <v>3413</v>
      </c>
      <c r="J976" s="2" t="s">
        <v>3449</v>
      </c>
      <c r="K976" s="2" t="s">
        <v>3449</v>
      </c>
      <c r="L976" s="2" t="s">
        <v>3415</v>
      </c>
      <c r="M976" s="2" t="n">
        <v>124664</v>
      </c>
    </row>
    <row r="977" customFormat="false" ht="18.7" hidden="false" customHeight="true" outlineLevel="0" collapsed="false">
      <c r="A977" s="1" t="n">
        <v>976</v>
      </c>
      <c r="B977" s="7" t="str">
        <f aca="false">HYPERLINK("https://mncourtfraud.com/file/27-CR-21-12749.pdf","27-CR-21-12749")</f>
        <v>27-CR-21-12749</v>
      </c>
      <c r="C977" s="1" t="n">
        <v>1</v>
      </c>
      <c r="D977" s="2" t="s">
        <v>12</v>
      </c>
      <c r="E977" s="8" t="n">
        <v>45048</v>
      </c>
      <c r="F977" s="2" t="s">
        <v>80</v>
      </c>
      <c r="G977" s="7" t="str">
        <f aca="false">HYPERLINK("https://mncourtfraud.com/file/MCRO_27-CR-21-12749_Finding of Incompetency and Order_2023-05-02_20251126181946.pdf","MCRO_27-CR-21-12749_Finding of Incompetency and Order_2023-05-02_20251126181946.pdf")</f>
        <v>MCRO_27-CR-21-12749_Finding of Incompetency and Order_2023-05-02_20251126181946.pdf</v>
      </c>
      <c r="H977" s="7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977" s="1" t="s">
        <v>3406</v>
      </c>
      <c r="L977" s="2" t="s">
        <v>3412</v>
      </c>
      <c r="M977" s="2" t="n">
        <v>3506</v>
      </c>
      <c r="S977" s="2" t="n">
        <v>1410</v>
      </c>
      <c r="T977" s="2" t="n">
        <v>150</v>
      </c>
    </row>
    <row r="978" customFormat="false" ht="18.7" hidden="false" customHeight="true" outlineLevel="0" collapsed="false">
      <c r="A978" s="1" t="n">
        <v>977</v>
      </c>
      <c r="B978" s="7" t="str">
        <f aca="false">HYPERLINK("https://mncourtfraud.com/file/27-CR-21-12749.pdf","27-CR-21-12749")</f>
        <v>27-CR-21-12749</v>
      </c>
      <c r="C978" s="1" t="n">
        <v>1</v>
      </c>
      <c r="D978" s="2" t="s">
        <v>12</v>
      </c>
      <c r="E978" s="8" t="n">
        <v>45048</v>
      </c>
      <c r="F978" s="2" t="s">
        <v>80</v>
      </c>
      <c r="G978" s="7" t="str">
        <f aca="false">HYPERLINK("https://mncourtfraud.com/file/MCRO_27-CR-21-12749_Finding of Incompetency and Order_2023-05-02_20251126181946.pdf","MCRO_27-CR-21-12749_Finding of Incompetency and Order_2023-05-02_20251126181946.pdf")</f>
        <v>MCRO_27-CR-21-12749_Finding of Incompetency and Order_2023-05-02_20251126181946.pdf</v>
      </c>
      <c r="H978" s="7" t="str">
        <f aca="false">HYPERLINK("https://mncourtfraud.com/file/18befca089509ee2fbaddf9c5b79bf5988523b22d2369743ed9a591b9fc3bdb6.ttf","18befca089509ee2fbaddf9c5b79bf5988523b22d2369743ed9a591b9fc3bdb6")</f>
        <v>18befca089509ee2fbaddf9c5b79bf5988523b22d2369743ed9a591b9fc3bdb6</v>
      </c>
      <c r="I978" s="1" t="s">
        <v>3413</v>
      </c>
      <c r="J978" s="2" t="s">
        <v>3421</v>
      </c>
      <c r="K978" s="2" t="s">
        <v>3450</v>
      </c>
      <c r="L978" s="2" t="s">
        <v>3415</v>
      </c>
      <c r="M978" s="2" t="n">
        <v>115928</v>
      </c>
    </row>
    <row r="979" customFormat="false" ht="18.7" hidden="false" customHeight="true" outlineLevel="0" collapsed="false">
      <c r="A979" s="1" t="n">
        <v>978</v>
      </c>
      <c r="B979" s="7" t="str">
        <f aca="false">HYPERLINK("https://mncourtfraud.com/file/27-CR-21-12749.pdf","27-CR-21-12749")</f>
        <v>27-CR-21-12749</v>
      </c>
      <c r="C979" s="1" t="n">
        <v>1</v>
      </c>
      <c r="D979" s="2" t="s">
        <v>12</v>
      </c>
      <c r="E979" s="8" t="n">
        <v>45048</v>
      </c>
      <c r="F979" s="2" t="s">
        <v>80</v>
      </c>
      <c r="G979" s="7" t="str">
        <f aca="false">HYPERLINK("https://mncourtfraud.com/file/MCRO_27-CR-21-12749_Finding of Incompetency and Order_2023-05-02_20251126181946.pdf","MCRO_27-CR-21-12749_Finding of Incompetency and Order_2023-05-02_20251126181946.pdf")</f>
        <v>MCRO_27-CR-21-12749_Finding of Incompetency and Order_2023-05-02_20251126181946.pdf</v>
      </c>
      <c r="H979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979" s="1" t="s">
        <v>3413</v>
      </c>
      <c r="J979" s="2" t="s">
        <v>3446</v>
      </c>
      <c r="K979" s="2" t="s">
        <v>3446</v>
      </c>
      <c r="L979" s="2" t="s">
        <v>3415</v>
      </c>
      <c r="M979" s="2" t="n">
        <v>55072</v>
      </c>
      <c r="N979" s="2" t="s">
        <v>3447</v>
      </c>
    </row>
    <row r="980" customFormat="false" ht="18.7" hidden="false" customHeight="true" outlineLevel="0" collapsed="false">
      <c r="A980" s="1" t="n">
        <v>979</v>
      </c>
      <c r="B980" s="7" t="str">
        <f aca="false">HYPERLINK("https://mncourtfraud.com/file/27-CR-21-12749.pdf","27-CR-21-12749")</f>
        <v>27-CR-21-12749</v>
      </c>
      <c r="C980" s="1" t="n">
        <v>1</v>
      </c>
      <c r="D980" s="2" t="s">
        <v>12</v>
      </c>
      <c r="E980" s="8" t="n">
        <v>45048</v>
      </c>
      <c r="F980" s="2" t="s">
        <v>80</v>
      </c>
      <c r="G980" s="7" t="str">
        <f aca="false">HYPERLINK("https://mncourtfraud.com/file/MCRO_27-CR-21-12749_Finding of Incompetency and Order_2023-05-02_20251126181946.pdf","MCRO_27-CR-21-12749_Finding of Incompetency and Order_2023-05-02_20251126181946.pdf")</f>
        <v>MCRO_27-CR-21-12749_Finding of Incompetency and Order_2023-05-02_20251126181946.pdf</v>
      </c>
      <c r="H980" s="7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980" s="1" t="s">
        <v>3406</v>
      </c>
      <c r="K980" s="2" t="s">
        <v>3451</v>
      </c>
      <c r="L980" s="2" t="s">
        <v>3408</v>
      </c>
      <c r="M980" s="2" t="n">
        <v>5295</v>
      </c>
      <c r="O980" s="2" t="s">
        <v>3452</v>
      </c>
      <c r="P980" s="2" t="s">
        <v>3410</v>
      </c>
      <c r="S980" s="2" t="n">
        <v>833</v>
      </c>
      <c r="T980" s="2" t="n">
        <v>186</v>
      </c>
    </row>
    <row r="981" customFormat="false" ht="18.7" hidden="false" customHeight="true" outlineLevel="0" collapsed="false">
      <c r="A981" s="1" t="n">
        <v>980</v>
      </c>
      <c r="B981" s="7" t="str">
        <f aca="false">HYPERLINK("https://mncourtfraud.com/file/27-CR-21-12749.pdf","27-CR-21-12749")</f>
        <v>27-CR-21-12749</v>
      </c>
      <c r="C981" s="1" t="n">
        <v>1</v>
      </c>
      <c r="D981" s="2" t="s">
        <v>12</v>
      </c>
      <c r="E981" s="8" t="n">
        <v>45048</v>
      </c>
      <c r="F981" s="2" t="s">
        <v>80</v>
      </c>
      <c r="G981" s="7" t="str">
        <f aca="false">HYPERLINK("https://mncourtfraud.com/file/MCRO_27-CR-21-12749_Finding of Incompetency and Order_2023-05-02_20251126181946.pdf","MCRO_27-CR-21-12749_Finding of Incompetency and Order_2023-05-02_20251126181946.pdf")</f>
        <v>MCRO_27-CR-21-12749_Finding of Incompetency and Order_2023-05-02_20251126181946.pdf</v>
      </c>
      <c r="H981" s="7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981" s="1" t="s">
        <v>3406</v>
      </c>
      <c r="K981" s="2" t="s">
        <v>3453</v>
      </c>
      <c r="L981" s="2" t="s">
        <v>3408</v>
      </c>
      <c r="M981" s="2" t="n">
        <v>3442</v>
      </c>
      <c r="O981" s="2" t="s">
        <v>3454</v>
      </c>
      <c r="P981" s="2" t="s">
        <v>3410</v>
      </c>
      <c r="S981" s="2" t="n">
        <v>857</v>
      </c>
      <c r="T981" s="2" t="n">
        <v>184</v>
      </c>
    </row>
    <row r="982" customFormat="false" ht="18.7" hidden="false" customHeight="true" outlineLevel="0" collapsed="false">
      <c r="A982" s="1" t="n">
        <v>981</v>
      </c>
      <c r="B982" s="7" t="str">
        <f aca="false">HYPERLINK("https://mncourtfraud.com/file/27-CR-21-12749.pdf","27-CR-21-12749")</f>
        <v>27-CR-21-12749</v>
      </c>
      <c r="C982" s="1" t="n">
        <v>1</v>
      </c>
      <c r="D982" s="2" t="s">
        <v>12</v>
      </c>
      <c r="E982" s="8" t="n">
        <v>45048</v>
      </c>
      <c r="F982" s="2" t="s">
        <v>80</v>
      </c>
      <c r="G982" s="7" t="str">
        <f aca="false">HYPERLINK("https://mncourtfraud.com/file/MCRO_27-CR-21-12749_Finding of Incompetency and Order_2023-05-02_20251126181946.pdf","MCRO_27-CR-21-12749_Finding of Incompetency and Order_2023-05-02_20251126181946.pdf")</f>
        <v>MCRO_27-CR-21-12749_Finding of Incompetency and Order_2023-05-02_20251126181946.pdf</v>
      </c>
      <c r="H982" s="7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982" s="1" t="s">
        <v>3406</v>
      </c>
      <c r="L982" s="2" t="s">
        <v>3412</v>
      </c>
      <c r="M982" s="2" t="n">
        <v>3824</v>
      </c>
      <c r="S982" s="2" t="n">
        <v>1850</v>
      </c>
      <c r="T982" s="2" t="n">
        <v>160</v>
      </c>
    </row>
    <row r="983" customFormat="false" ht="18.7" hidden="false" customHeight="true" outlineLevel="0" collapsed="false">
      <c r="A983" s="1" t="n">
        <v>982</v>
      </c>
      <c r="B983" s="7" t="str">
        <f aca="false">HYPERLINK("https://mncourtfraud.com/file/27-CR-21-12749.pdf","27-CR-21-12749")</f>
        <v>27-CR-21-12749</v>
      </c>
      <c r="C983" s="1" t="n">
        <v>1</v>
      </c>
      <c r="D983" s="2" t="s">
        <v>12</v>
      </c>
      <c r="E983" s="8" t="n">
        <v>45048</v>
      </c>
      <c r="F983" s="2" t="s">
        <v>80</v>
      </c>
      <c r="G983" s="7" t="str">
        <f aca="false">HYPERLINK("https://mncourtfraud.com/file/MCRO_27-CR-21-12749_Finding of Incompetency and Order_2023-05-02_20251126181946.pdf","MCRO_27-CR-21-12749_Finding of Incompetency and Order_2023-05-02_20251126181946.pdf")</f>
        <v>MCRO_27-CR-21-12749_Finding of Incompetency and Order_2023-05-02_20251126181946.pdf</v>
      </c>
      <c r="H983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983" s="1" t="s">
        <v>3413</v>
      </c>
      <c r="J983" s="2" t="s">
        <v>3448</v>
      </c>
      <c r="K983" s="2" t="s">
        <v>3448</v>
      </c>
      <c r="L983" s="2" t="s">
        <v>3415</v>
      </c>
      <c r="M983" s="2" t="n">
        <v>916684</v>
      </c>
    </row>
    <row r="984" customFormat="false" ht="18.7" hidden="false" customHeight="true" outlineLevel="0" collapsed="false">
      <c r="A984" s="1" t="n">
        <v>983</v>
      </c>
      <c r="B984" s="7" t="str">
        <f aca="false">HYPERLINK("https://mncourtfraud.com/file/27-CR-21-12749.pdf","27-CR-21-12749")</f>
        <v>27-CR-21-12749</v>
      </c>
      <c r="C984" s="1" t="n">
        <v>1</v>
      </c>
      <c r="D984" s="2" t="s">
        <v>12</v>
      </c>
      <c r="E984" s="8" t="n">
        <v>45093</v>
      </c>
      <c r="F984" s="2" t="s">
        <v>82</v>
      </c>
      <c r="G984" s="7" t="str">
        <f aca="false">HYPERLINK("https://mncourtfraud.com/file/MCRO_27-CR-21-12749_Notice of Case Reassignment_2023-06-16_20251126182023.pdf","MCRO_27-CR-21-12749_Notice of Case Reassignment_2023-06-16_20251126182023.pdf")</f>
        <v>MCRO_27-CR-21-12749_Notice of Case Reassignment_2023-06-16_20251126182023.pdf</v>
      </c>
      <c r="H984" s="7" t="str">
        <f aca="false">HYPERLINK("https://mncourtfraud.com/file/1fd1136a5ae69c0e5068fedf111533c283fb06da71a1aebe96b41cad9a15bb33.ttf","1fd1136a5ae69c0e5068fedf111533c283fb06da71a1aebe96b41cad9a15bb33")</f>
        <v>1fd1136a5ae69c0e5068fedf111533c283fb06da71a1aebe96b41cad9a15bb33</v>
      </c>
      <c r="I984" s="1" t="s">
        <v>3413</v>
      </c>
      <c r="J984" s="2" t="s">
        <v>3455</v>
      </c>
      <c r="K984" s="2" t="s">
        <v>3455</v>
      </c>
      <c r="L984" s="2" t="s">
        <v>3415</v>
      </c>
      <c r="M984" s="2" t="n">
        <v>96348</v>
      </c>
      <c r="N984" s="2" t="s">
        <v>3456</v>
      </c>
    </row>
    <row r="985" customFormat="false" ht="18.7" hidden="false" customHeight="true" outlineLevel="0" collapsed="false">
      <c r="A985" s="1" t="n">
        <v>984</v>
      </c>
      <c r="B985" s="7" t="str">
        <f aca="false">HYPERLINK("https://mncourtfraud.com/file/27-CR-21-12749.pdf","27-CR-21-12749")</f>
        <v>27-CR-21-12749</v>
      </c>
      <c r="C985" s="1" t="n">
        <v>1</v>
      </c>
      <c r="D985" s="2" t="s">
        <v>12</v>
      </c>
      <c r="E985" s="8" t="n">
        <v>45093</v>
      </c>
      <c r="F985" s="2" t="s">
        <v>82</v>
      </c>
      <c r="G985" s="7" t="str">
        <f aca="false">HYPERLINK("https://mncourtfraud.com/file/MCRO_27-CR-21-12749_Notice of Case Reassignment_2023-06-16_20251126182023.pdf","MCRO_27-CR-21-12749_Notice of Case Reassignment_2023-06-16_20251126182023.pdf")</f>
        <v>MCRO_27-CR-21-12749_Notice of Case Reassignment_2023-06-16_20251126182023.pdf</v>
      </c>
      <c r="H985" s="7" t="str">
        <f aca="false">HYPERLINK("https://mncourtfraud.com/file/4b0b043cb476134a2e47a5f4c233d3d0f7a52a3b063b8831356383f89fcd1118.ttf","4b0b043cb476134a2e47a5f4c233d3d0f7a52a3b063b8831356383f89fcd1118")</f>
        <v>4b0b043cb476134a2e47a5f4c233d3d0f7a52a3b063b8831356383f89fcd1118</v>
      </c>
      <c r="I985" s="1" t="s">
        <v>3413</v>
      </c>
      <c r="J985" s="2" t="s">
        <v>3457</v>
      </c>
      <c r="K985" s="2" t="s">
        <v>3457</v>
      </c>
      <c r="L985" s="2" t="s">
        <v>3415</v>
      </c>
      <c r="M985" s="2" t="n">
        <v>79764</v>
      </c>
      <c r="N985" s="2" t="s">
        <v>3458</v>
      </c>
    </row>
    <row r="986" customFormat="false" ht="18.7" hidden="false" customHeight="true" outlineLevel="0" collapsed="false">
      <c r="A986" s="1" t="n">
        <v>985</v>
      </c>
      <c r="B986" s="7" t="str">
        <f aca="false">HYPERLINK("https://mncourtfraud.com/file/27-CR-21-12749.pdf","27-CR-21-12749")</f>
        <v>27-CR-21-12749</v>
      </c>
      <c r="C986" s="1" t="n">
        <v>1</v>
      </c>
      <c r="D986" s="2" t="s">
        <v>12</v>
      </c>
      <c r="E986" s="8" t="n">
        <v>45160</v>
      </c>
      <c r="F986" s="2" t="s">
        <v>15</v>
      </c>
      <c r="G986" s="7" t="str">
        <f aca="false">HYPERLINK("https://mncourtfraud.com/file/MCRO_27-CR-21-12749_Order-Evaluation for Competency to Proceed (Rule 20.01)_2023-08-22_20251126182213.pdf","MCRO_27-CR-21-12749_Order-Evaluation for Competency to Proceed (Rule 20.01)_2023-08-22_20251126182213.pdf")</f>
        <v>MCRO_27-CR-21-12749_Order-Evaluation for Competency to Proceed (Rule 20.01)_2023-08-22_20251126182213.pdf</v>
      </c>
      <c r="H986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986" s="1" t="s">
        <v>3413</v>
      </c>
      <c r="J986" s="2" t="s">
        <v>3449</v>
      </c>
      <c r="K986" s="2" t="s">
        <v>3449</v>
      </c>
      <c r="L986" s="2" t="s">
        <v>3415</v>
      </c>
      <c r="M986" s="2" t="n">
        <v>125504</v>
      </c>
    </row>
    <row r="987" customFormat="false" ht="18.7" hidden="false" customHeight="true" outlineLevel="0" collapsed="false">
      <c r="A987" s="1" t="n">
        <v>986</v>
      </c>
      <c r="B987" s="7" t="str">
        <f aca="false">HYPERLINK("https://mncourtfraud.com/file/27-CR-21-12749.pdf","27-CR-21-12749")</f>
        <v>27-CR-21-12749</v>
      </c>
      <c r="C987" s="1" t="n">
        <v>1</v>
      </c>
      <c r="D987" s="2" t="s">
        <v>12</v>
      </c>
      <c r="E987" s="8" t="n">
        <v>45160</v>
      </c>
      <c r="F987" s="2" t="s">
        <v>15</v>
      </c>
      <c r="G987" s="7" t="str">
        <f aca="false">HYPERLINK("https://mncourtfraud.com/file/MCRO_27-CR-21-12749_Order-Evaluation for Competency to Proceed (Rule 20.01)_2023-08-22_20251126182213.pdf","MCRO_27-CR-21-12749_Order-Evaluation for Competency to Proceed (Rule 20.01)_2023-08-22_20251126182213.pdf")</f>
        <v>MCRO_27-CR-21-12749_Order-Evaluation for Competency to Proceed (Rule 20.01)_2023-08-22_20251126182213.pdf</v>
      </c>
      <c r="H987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987" s="1" t="s">
        <v>3413</v>
      </c>
      <c r="J987" s="2" t="s">
        <v>3449</v>
      </c>
      <c r="K987" s="2" t="s">
        <v>3449</v>
      </c>
      <c r="L987" s="2" t="s">
        <v>3415</v>
      </c>
      <c r="M987" s="2" t="n">
        <v>125504</v>
      </c>
    </row>
    <row r="988" customFormat="false" ht="18.7" hidden="false" customHeight="true" outlineLevel="0" collapsed="false">
      <c r="A988" s="1" t="n">
        <v>987</v>
      </c>
      <c r="B988" s="7" t="str">
        <f aca="false">HYPERLINK("https://mncourtfraud.com/file/27-CR-21-12749.pdf","27-CR-21-12749")</f>
        <v>27-CR-21-12749</v>
      </c>
      <c r="C988" s="1" t="n">
        <v>1</v>
      </c>
      <c r="D988" s="2" t="s">
        <v>12</v>
      </c>
      <c r="E988" s="8" t="n">
        <v>45160</v>
      </c>
      <c r="F988" s="2" t="s">
        <v>15</v>
      </c>
      <c r="G988" s="7" t="str">
        <f aca="false">HYPERLINK("https://mncourtfraud.com/file/MCRO_27-CR-21-12749_Order-Evaluation for Competency to Proceed (Rule 20.01)_2023-08-22_20251126182213.pdf","MCRO_27-CR-21-12749_Order-Evaluation for Competency to Proceed (Rule 20.01)_2023-08-22_20251126182213.pdf")</f>
        <v>MCRO_27-CR-21-12749_Order-Evaluation for Competency to Proceed (Rule 20.01)_2023-08-22_20251126182213.pdf</v>
      </c>
      <c r="H988" s="7" t="str">
        <f aca="false">HYPERLINK("https://mncourtfraud.com/file/0174a154b1dd2c8824c0108a525fa6ced84bf8b7d2fc9696a847700a4f83bb3b.ttf","0174a154b1dd2c8824c0108a525fa6ced84bf8b7d2fc9696a847700a4f83bb3b")</f>
        <v>0174a154b1dd2c8824c0108a525fa6ced84bf8b7d2fc9696a847700a4f83bb3b</v>
      </c>
      <c r="I988" s="1" t="s">
        <v>3413</v>
      </c>
      <c r="J988" s="2" t="s">
        <v>3422</v>
      </c>
      <c r="K988" s="2" t="s">
        <v>3422</v>
      </c>
      <c r="L988" s="2" t="s">
        <v>3415</v>
      </c>
      <c r="M988" s="2" t="n">
        <v>101216</v>
      </c>
    </row>
    <row r="989" customFormat="false" ht="18.7" hidden="false" customHeight="true" outlineLevel="0" collapsed="false">
      <c r="A989" s="1" t="n">
        <v>988</v>
      </c>
      <c r="B989" s="7" t="str">
        <f aca="false">HYPERLINK("https://mncourtfraud.com/file/27-CR-21-12749.pdf","27-CR-21-12749")</f>
        <v>27-CR-21-12749</v>
      </c>
      <c r="C989" s="1" t="n">
        <v>1</v>
      </c>
      <c r="D989" s="2" t="s">
        <v>12</v>
      </c>
      <c r="E989" s="8" t="n">
        <v>45160</v>
      </c>
      <c r="F989" s="2" t="s">
        <v>15</v>
      </c>
      <c r="G989" s="7" t="str">
        <f aca="false">HYPERLINK("https://mncourtfraud.com/file/MCRO_27-CR-21-12749_Order-Evaluation for Competency to Proceed (Rule 20.01)_2023-08-22_20251126182213.pdf","MCRO_27-CR-21-12749_Order-Evaluation for Competency to Proceed (Rule 20.01)_2023-08-22_20251126182213.pdf")</f>
        <v>MCRO_27-CR-21-12749_Order-Evaluation for Competency to Proceed (Rule 20.01)_2023-08-22_20251126182213.pdf</v>
      </c>
      <c r="H989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989" s="1" t="s">
        <v>3413</v>
      </c>
      <c r="J989" s="2" t="s">
        <v>3423</v>
      </c>
      <c r="K989" s="2" t="s">
        <v>3423</v>
      </c>
      <c r="L989" s="2" t="s">
        <v>3415</v>
      </c>
      <c r="M989" s="2" t="n">
        <v>11088</v>
      </c>
    </row>
    <row r="990" customFormat="false" ht="18.7" hidden="false" customHeight="true" outlineLevel="0" collapsed="false">
      <c r="A990" s="1" t="n">
        <v>989</v>
      </c>
      <c r="B990" s="7" t="str">
        <f aca="false">HYPERLINK("https://mncourtfraud.com/file/27-CR-21-12749.pdf","27-CR-21-12749")</f>
        <v>27-CR-21-12749</v>
      </c>
      <c r="C990" s="1" t="n">
        <v>1</v>
      </c>
      <c r="D990" s="2" t="s">
        <v>12</v>
      </c>
      <c r="E990" s="8" t="n">
        <v>45160</v>
      </c>
      <c r="F990" s="2" t="s">
        <v>15</v>
      </c>
      <c r="G990" s="7" t="str">
        <f aca="false">HYPERLINK("https://mncourtfraud.com/file/MCRO_27-CR-21-12749_Order-Evaluation for Competency to Proceed (Rule 20.01)_2023-08-22_20251126182213.pdf","MCRO_27-CR-21-12749_Order-Evaluation for Competency to Proceed (Rule 20.01)_2023-08-22_20251126182213.pdf")</f>
        <v>MCRO_27-CR-21-12749_Order-Evaluation for Competency to Proceed (Rule 20.01)_2023-08-22_20251126182213.pdf</v>
      </c>
      <c r="H990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990" s="1" t="s">
        <v>3413</v>
      </c>
      <c r="J990" s="2" t="s">
        <v>3446</v>
      </c>
      <c r="K990" s="2" t="s">
        <v>3446</v>
      </c>
      <c r="L990" s="2" t="s">
        <v>3415</v>
      </c>
      <c r="M990" s="2" t="n">
        <v>55072</v>
      </c>
      <c r="N990" s="2" t="s">
        <v>3447</v>
      </c>
    </row>
    <row r="991" customFormat="false" ht="18.7" hidden="false" customHeight="true" outlineLevel="0" collapsed="false">
      <c r="A991" s="1" t="n">
        <v>990</v>
      </c>
      <c r="B991" s="7" t="str">
        <f aca="false">HYPERLINK("https://mncourtfraud.com/file/27-CR-21-12749.pdf","27-CR-21-12749")</f>
        <v>27-CR-21-12749</v>
      </c>
      <c r="C991" s="1" t="n">
        <v>1</v>
      </c>
      <c r="D991" s="2" t="s">
        <v>12</v>
      </c>
      <c r="E991" s="8" t="n">
        <v>45160</v>
      </c>
      <c r="F991" s="2" t="s">
        <v>15</v>
      </c>
      <c r="G991" s="7" t="str">
        <f aca="false">HYPERLINK("https://mncourtfraud.com/file/MCRO_27-CR-21-12749_Order-Evaluation for Competency to Proceed (Rule 20.01)_2023-08-22_20251126182213.pdf","MCRO_27-CR-21-12749_Order-Evaluation for Competency to Proceed (Rule 20.01)_2023-08-22_20251126182213.pdf")</f>
        <v>MCRO_27-CR-21-12749_Order-Evaluation for Competency to Proceed (Rule 20.01)_2023-08-22_20251126182213.pdf</v>
      </c>
      <c r="H991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991" s="1" t="s">
        <v>3413</v>
      </c>
      <c r="J991" s="2" t="s">
        <v>3424</v>
      </c>
      <c r="K991" s="2" t="s">
        <v>3424</v>
      </c>
      <c r="L991" s="2" t="s">
        <v>3415</v>
      </c>
      <c r="M991" s="2" t="n">
        <v>14252</v>
      </c>
    </row>
    <row r="992" customFormat="false" ht="18.7" hidden="false" customHeight="true" outlineLevel="0" collapsed="false">
      <c r="A992" s="1" t="n">
        <v>991</v>
      </c>
      <c r="B992" s="7" t="str">
        <f aca="false">HYPERLINK("https://mncourtfraud.com/file/27-CR-21-12749.pdf","27-CR-21-12749")</f>
        <v>27-CR-21-12749</v>
      </c>
      <c r="C992" s="1" t="n">
        <v>1</v>
      </c>
      <c r="D992" s="2" t="s">
        <v>12</v>
      </c>
      <c r="E992" s="8" t="n">
        <v>45160</v>
      </c>
      <c r="F992" s="2" t="s">
        <v>15</v>
      </c>
      <c r="G992" s="7" t="str">
        <f aca="false">HYPERLINK("https://mncourtfraud.com/file/MCRO_27-CR-21-12749_Order-Evaluation for Competency to Proceed (Rule 20.01)_2023-08-22_20251126182213.pdf","MCRO_27-CR-21-12749_Order-Evaluation for Competency to Proceed (Rule 20.01)_2023-08-22_20251126182213.pdf")</f>
        <v>MCRO_27-CR-21-12749_Order-Evaluation for Competency to Proceed (Rule 20.01)_2023-08-22_20251126182213.pdf</v>
      </c>
      <c r="H992" s="7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992" s="1" t="s">
        <v>3406</v>
      </c>
      <c r="L992" s="2" t="s">
        <v>3412</v>
      </c>
      <c r="M992" s="2" t="n">
        <v>5012</v>
      </c>
      <c r="S992" s="2" t="n">
        <v>2740</v>
      </c>
      <c r="T992" s="2" t="n">
        <v>180</v>
      </c>
    </row>
    <row r="993" customFormat="false" ht="18.7" hidden="false" customHeight="true" outlineLevel="0" collapsed="false">
      <c r="A993" s="1" t="n">
        <v>992</v>
      </c>
      <c r="B993" s="7" t="str">
        <f aca="false">HYPERLINK("https://mncourtfraud.com/file/27-CR-21-12749.pdf","27-CR-21-12749")</f>
        <v>27-CR-21-12749</v>
      </c>
      <c r="C993" s="1" t="n">
        <v>1</v>
      </c>
      <c r="D993" s="2" t="s">
        <v>12</v>
      </c>
      <c r="E993" s="8" t="n">
        <v>45160</v>
      </c>
      <c r="F993" s="2" t="s">
        <v>15</v>
      </c>
      <c r="G993" s="7" t="str">
        <f aca="false">HYPERLINK("https://mncourtfraud.com/file/MCRO_27-CR-21-12749_Order-Evaluation for Competency to Proceed (Rule 20.01)_2023-08-22_20251126182213.pdf","MCRO_27-CR-21-12749_Order-Evaluation for Competency to Proceed (Rule 20.01)_2023-08-22_20251126182213.pdf")</f>
        <v>MCRO_27-CR-21-12749_Order-Evaluation for Competency to Proceed (Rule 20.01)_2023-08-22_20251126182213.pdf</v>
      </c>
      <c r="H993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993" s="1" t="s">
        <v>3413</v>
      </c>
      <c r="J993" s="2" t="s">
        <v>3448</v>
      </c>
      <c r="K993" s="2" t="s">
        <v>3448</v>
      </c>
      <c r="L993" s="2" t="s">
        <v>3415</v>
      </c>
      <c r="M993" s="2" t="n">
        <v>916684</v>
      </c>
    </row>
    <row r="994" customFormat="false" ht="18.7" hidden="false" customHeight="true" outlineLevel="0" collapsed="false">
      <c r="A994" s="1" t="n">
        <v>993</v>
      </c>
      <c r="B994" s="7" t="str">
        <f aca="false">HYPERLINK("https://mncourtfraud.com/file/27-CR-21-12749.pdf","27-CR-21-12749")</f>
        <v>27-CR-21-12749</v>
      </c>
      <c r="C994" s="1" t="n">
        <v>1</v>
      </c>
      <c r="D994" s="2" t="s">
        <v>12</v>
      </c>
      <c r="E994" s="8" t="n">
        <v>45160</v>
      </c>
      <c r="F994" s="2" t="s">
        <v>15</v>
      </c>
      <c r="G994" s="7" t="str">
        <f aca="false">HYPERLINK("https://mncourtfraud.com/file/MCRO_27-CR-21-12749_Order-Evaluation for Competency to Proceed (Rule 20.01)_2023-08-22_20251126182213.pdf","MCRO_27-CR-21-12749_Order-Evaluation for Competency to Proceed (Rule 20.01)_2023-08-22_20251126182213.pdf")</f>
        <v>MCRO_27-CR-21-12749_Order-Evaluation for Competency to Proceed (Rule 20.01)_2023-08-22_20251126182213.pdf</v>
      </c>
      <c r="H994" s="7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994" s="1" t="s">
        <v>3406</v>
      </c>
      <c r="K994" s="2" t="s">
        <v>3459</v>
      </c>
      <c r="L994" s="2" t="s">
        <v>3408</v>
      </c>
      <c r="M994" s="2" t="n">
        <v>5220</v>
      </c>
      <c r="O994" s="2" t="s">
        <v>3460</v>
      </c>
      <c r="P994" s="2" t="s">
        <v>3410</v>
      </c>
      <c r="S994" s="2" t="n">
        <v>881</v>
      </c>
      <c r="T994" s="2" t="n">
        <v>216</v>
      </c>
    </row>
    <row r="995" customFormat="false" ht="18.7" hidden="false" customHeight="true" outlineLevel="0" collapsed="false">
      <c r="A995" s="1" t="n">
        <v>994</v>
      </c>
      <c r="B995" s="7" t="str">
        <f aca="false">HYPERLINK("https://mncourtfraud.com/file/27-CR-21-12749.pdf","27-CR-21-12749")</f>
        <v>27-CR-21-12749</v>
      </c>
      <c r="C995" s="1" t="n">
        <v>1</v>
      </c>
      <c r="D995" s="2" t="s">
        <v>12</v>
      </c>
      <c r="E995" s="8" t="n">
        <v>45412</v>
      </c>
      <c r="F995" s="2" t="s">
        <v>15</v>
      </c>
      <c r="G995" s="7" t="str">
        <f aca="false">HYPERLINK("https://mncourtfraud.com/file/MCRO_27-CR-21-12749_Order-Evaluation for Competency to Proceed (Rule 20.01)_2024-04-30_20251126182222.pdf","MCRO_27-CR-21-12749_Order-Evaluation for Competency to Proceed (Rule 20.01)_2024-04-30_20251126182222.pdf")</f>
        <v>MCRO_27-CR-21-12749_Order-Evaluation for Competency to Proceed (Rule 20.01)_2024-04-30_20251126182222.pdf</v>
      </c>
      <c r="H995" s="7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995" s="1" t="s">
        <v>3406</v>
      </c>
      <c r="L995" s="2" t="s">
        <v>3412</v>
      </c>
      <c r="M995" s="2" t="n">
        <v>154549</v>
      </c>
      <c r="S995" s="2" t="n">
        <v>2560</v>
      </c>
      <c r="T995" s="2" t="n">
        <v>3300</v>
      </c>
    </row>
    <row r="996" customFormat="false" ht="18.7" hidden="false" customHeight="true" outlineLevel="0" collapsed="false">
      <c r="A996" s="1" t="n">
        <v>995</v>
      </c>
      <c r="B996" s="7" t="str">
        <f aca="false">HYPERLINK("https://mncourtfraud.com/file/27-CR-21-12749.pdf","27-CR-21-12749")</f>
        <v>27-CR-21-12749</v>
      </c>
      <c r="C996" s="1" t="n">
        <v>1</v>
      </c>
      <c r="D996" s="2" t="s">
        <v>12</v>
      </c>
      <c r="E996" s="8" t="n">
        <v>45412</v>
      </c>
      <c r="F996" s="2" t="s">
        <v>15</v>
      </c>
      <c r="G996" s="7" t="str">
        <f aca="false">HYPERLINK("https://mncourtfraud.com/file/MCRO_27-CR-21-12749_Order-Evaluation for Competency to Proceed (Rule 20.01)_2024-04-30_20251126182222.pdf","MCRO_27-CR-21-12749_Order-Evaluation for Competency to Proceed (Rule 20.01)_2024-04-30_20251126182222.pdf")</f>
        <v>MCRO_27-CR-21-12749_Order-Evaluation for Competency to Proceed (Rule 20.01)_2024-04-30_20251126182222.pdf</v>
      </c>
      <c r="H996" s="7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996" s="1" t="s">
        <v>3406</v>
      </c>
      <c r="L996" s="2" t="s">
        <v>3412</v>
      </c>
      <c r="M996" s="2" t="n">
        <v>180051</v>
      </c>
      <c r="S996" s="2" t="n">
        <v>2560</v>
      </c>
      <c r="T996" s="2" t="n">
        <v>3300</v>
      </c>
    </row>
    <row r="997" customFormat="false" ht="18.7" hidden="false" customHeight="true" outlineLevel="0" collapsed="false">
      <c r="A997" s="1" t="n">
        <v>996</v>
      </c>
      <c r="B997" s="7" t="str">
        <f aca="false">HYPERLINK("https://mncourtfraud.com/file/27-CR-21-12749.pdf","27-CR-21-12749")</f>
        <v>27-CR-21-12749</v>
      </c>
      <c r="C997" s="1" t="n">
        <v>1</v>
      </c>
      <c r="D997" s="2" t="s">
        <v>12</v>
      </c>
      <c r="E997" s="8" t="n">
        <v>45412</v>
      </c>
      <c r="F997" s="2" t="s">
        <v>24</v>
      </c>
      <c r="G997" s="7" t="str">
        <f aca="false">HYPERLINK("https://mncourtfraud.com/file/MCRO_27-CR-21-12749_Order for Conditional Release_2024-04-30_20251126182051.pdf","MCRO_27-CR-21-12749_Order for Conditional Release_2024-04-30_20251126182051.pdf")</f>
        <v>MCRO_27-CR-21-12749_Order for Conditional Release_2024-04-30_20251126182051.pdf</v>
      </c>
      <c r="H997" s="7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997" s="1" t="s">
        <v>3406</v>
      </c>
      <c r="L997" s="2" t="s">
        <v>3412</v>
      </c>
      <c r="M997" s="2" t="n">
        <v>38726</v>
      </c>
      <c r="S997" s="2" t="n">
        <v>2560</v>
      </c>
      <c r="T997" s="2" t="n">
        <v>3300</v>
      </c>
    </row>
    <row r="998" customFormat="false" ht="18.7" hidden="false" customHeight="true" outlineLevel="0" collapsed="false">
      <c r="A998" s="1" t="n">
        <v>997</v>
      </c>
      <c r="B998" s="7" t="str">
        <f aca="false">HYPERLINK("https://mncourtfraud.com/file/27-CR-21-12749.pdf","27-CR-21-12749")</f>
        <v>27-CR-21-12749</v>
      </c>
      <c r="C998" s="1" t="n">
        <v>1</v>
      </c>
      <c r="D998" s="2" t="s">
        <v>12</v>
      </c>
      <c r="E998" s="8" t="n">
        <v>45412</v>
      </c>
      <c r="F998" s="2" t="s">
        <v>15</v>
      </c>
      <c r="G998" s="7" t="str">
        <f aca="false">HYPERLINK("https://mncourtfraud.com/file/MCRO_27-CR-21-12749_Order-Evaluation for Competency to Proceed (Rule 20.01)_2024-04-30_20251126182222.pdf","MCRO_27-CR-21-12749_Order-Evaluation for Competency to Proceed (Rule 20.01)_2024-04-30_20251126182222.pdf")</f>
        <v>MCRO_27-CR-21-12749_Order-Evaluation for Competency to Proceed (Rule 20.01)_2024-04-30_20251126182222.pdf</v>
      </c>
      <c r="H998" s="7" t="str">
        <f aca="false">HYPERLINK("https://mncourtfraud.com/file/4db7d2599119dc45c08adba3b9b2ba67e6a3d697261d3f95ca4c5b01777bcfbe.ttf","4db7d2599119dc45c08adba3b9b2ba67e6a3d697261d3f95ca4c5b01777bcfbe")</f>
        <v>4db7d2599119dc45c08adba3b9b2ba67e6a3d697261d3f95ca4c5b01777bcfbe</v>
      </c>
      <c r="I998" s="1" t="s">
        <v>3413</v>
      </c>
      <c r="L998" s="2" t="s">
        <v>3415</v>
      </c>
      <c r="M998" s="2" t="n">
        <v>333576</v>
      </c>
    </row>
    <row r="999" customFormat="false" ht="18.7" hidden="false" customHeight="true" outlineLevel="0" collapsed="false">
      <c r="A999" s="1" t="n">
        <v>998</v>
      </c>
      <c r="B999" s="7" t="str">
        <f aca="false">HYPERLINK("https://mncourtfraud.com/file/27-CR-21-12749.pdf","27-CR-21-12749")</f>
        <v>27-CR-21-12749</v>
      </c>
      <c r="C999" s="1" t="n">
        <v>1</v>
      </c>
      <c r="D999" s="2" t="s">
        <v>12</v>
      </c>
      <c r="E999" s="8" t="n">
        <v>45412</v>
      </c>
      <c r="F999" s="2" t="s">
        <v>15</v>
      </c>
      <c r="G999" s="7" t="str">
        <f aca="false">HYPERLINK("https://mncourtfraud.com/file/MCRO_27-CR-21-12749_Order-Evaluation for Competency to Proceed (Rule 20.01)_2024-04-30_20251126182222.pdf","MCRO_27-CR-21-12749_Order-Evaluation for Competency to Proceed (Rule 20.01)_2024-04-30_20251126182222.pdf")</f>
        <v>MCRO_27-CR-21-12749_Order-Evaluation for Competency to Proceed (Rule 20.01)_2024-04-30_20251126182222.pdf</v>
      </c>
      <c r="H999" s="7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999" s="1" t="s">
        <v>3406</v>
      </c>
      <c r="L999" s="2" t="s">
        <v>3412</v>
      </c>
      <c r="M999" s="2" t="n">
        <v>71271</v>
      </c>
      <c r="S999" s="2" t="n">
        <v>2560</v>
      </c>
      <c r="T999" s="2" t="n">
        <v>3300</v>
      </c>
    </row>
    <row r="1000" customFormat="false" ht="18.7" hidden="false" customHeight="true" outlineLevel="0" collapsed="false">
      <c r="A1000" s="1" t="n">
        <v>999</v>
      </c>
      <c r="B1000" s="7" t="str">
        <f aca="false">HYPERLINK("https://mncourtfraud.com/file/27-CR-21-12749.pdf","27-CR-21-12749")</f>
        <v>27-CR-21-12749</v>
      </c>
      <c r="C1000" s="1" t="n">
        <v>1</v>
      </c>
      <c r="D1000" s="2" t="s">
        <v>12</v>
      </c>
      <c r="E1000" s="8" t="n">
        <v>45412</v>
      </c>
      <c r="F1000" s="2" t="s">
        <v>24</v>
      </c>
      <c r="G1000" s="7" t="str">
        <f aca="false">HYPERLINK("https://mncourtfraud.com/file/MCRO_27-CR-21-12749_Order for Conditional Release_2024-04-30_20251126182051.pdf","MCRO_27-CR-21-12749_Order for Conditional Release_2024-04-30_20251126182051.pdf")</f>
        <v>MCRO_27-CR-21-12749_Order for Conditional Release_2024-04-30_20251126182051.pdf</v>
      </c>
      <c r="H1000" s="7" t="str">
        <f aca="false">HYPERLINK("https://mncourtfraud.com/file/d5cf4f06aaee8f372e6af86dab12d75d131a3ba68ba6baeac4b7b514ef3e0b85.ttf","d5cf4f06aaee8f372e6af86dab12d75d131a3ba68ba6baeac4b7b514ef3e0b85")</f>
        <v>d5cf4f06aaee8f372e6af86dab12d75d131a3ba68ba6baeac4b7b514ef3e0b85</v>
      </c>
      <c r="I1000" s="1" t="s">
        <v>3413</v>
      </c>
      <c r="L1000" s="2" t="s">
        <v>3415</v>
      </c>
      <c r="M1000" s="2" t="n">
        <v>333576</v>
      </c>
    </row>
    <row r="1001" customFormat="false" ht="18.7" hidden="false" customHeight="true" outlineLevel="0" collapsed="false">
      <c r="A1001" s="1" t="n">
        <v>1000</v>
      </c>
      <c r="B1001" s="7" t="str">
        <f aca="false">HYPERLINK("https://mncourtfraud.com/file/27-CR-21-12749.pdf","27-CR-21-12749")</f>
        <v>27-CR-21-12749</v>
      </c>
      <c r="C1001" s="1" t="n">
        <v>1</v>
      </c>
      <c r="D1001" s="2" t="s">
        <v>12</v>
      </c>
      <c r="E1001" s="8" t="n">
        <v>45412</v>
      </c>
      <c r="F1001" s="2" t="s">
        <v>24</v>
      </c>
      <c r="G1001" s="7" t="str">
        <f aca="false">HYPERLINK("https://mncourtfraud.com/file/MCRO_27-CR-21-12749_Order for Conditional Release_2024-04-30_20251126182051.pdf","MCRO_27-CR-21-12749_Order for Conditional Release_2024-04-30_20251126182051.pdf")</f>
        <v>MCRO_27-CR-21-12749_Order for Conditional Release_2024-04-30_20251126182051.pdf</v>
      </c>
      <c r="H1001" s="7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1001" s="1" t="s">
        <v>3406</v>
      </c>
      <c r="L1001" s="2" t="s">
        <v>3412</v>
      </c>
      <c r="M1001" s="2" t="n">
        <v>195018</v>
      </c>
      <c r="S1001" s="2" t="n">
        <v>2560</v>
      </c>
      <c r="T1001" s="2" t="n">
        <v>3300</v>
      </c>
    </row>
    <row r="1002" customFormat="false" ht="18.7" hidden="false" customHeight="true" outlineLevel="0" collapsed="false">
      <c r="A1002" s="1" t="n">
        <v>1001</v>
      </c>
      <c r="B1002" s="7" t="str">
        <f aca="false">HYPERLINK("https://mncourtfraud.com/file/27-CR-21-12762.pdf","27-CR-21-12762")</f>
        <v>27-CR-21-12762</v>
      </c>
      <c r="C1002" s="1" t="n">
        <v>1</v>
      </c>
      <c r="D1002" s="2" t="s">
        <v>12</v>
      </c>
      <c r="E1002" s="8" t="n">
        <v>44396</v>
      </c>
      <c r="F1002" s="2" t="s">
        <v>15</v>
      </c>
      <c r="G1002" s="7" t="str">
        <f aca="false">HYPERLINK("https://mncourtfraud.com/file/MCRO_27-CR-21-12762_Order-Evaluation for Competency to Proceed (Rule 20.01)_2021-07-19_20251126182430.pdf","MCRO_27-CR-21-12762_Order-Evaluation for Competency to Proceed (Rule 20.01)_2021-07-19_20251126182430.pdf")</f>
        <v>MCRO_27-CR-21-12762_Order-Evaluation for Competency to Proceed (Rule 20.01)_2021-07-19_20251126182430.pdf</v>
      </c>
      <c r="H1002" s="7" t="str">
        <f aca="false">HYPERLINK("https://mncourtfraud.com/file/0518ceb5bf5ef4f4774fd75a2b11ea7b2227b4f50b1382b9b489cfcef8d1dd2e.png","0518ceb5bf5ef4f4774fd75a2b11ea7b2227b4f50b1382b9b489cfcef8d1dd2e")</f>
        <v>0518ceb5bf5ef4f4774fd75a2b11ea7b2227b4f50b1382b9b489cfcef8d1dd2e</v>
      </c>
      <c r="I1002" s="1" t="s">
        <v>3406</v>
      </c>
      <c r="L1002" s="2" t="s">
        <v>3412</v>
      </c>
      <c r="M1002" s="2" t="n">
        <v>156301</v>
      </c>
      <c r="S1002" s="2" t="n">
        <v>2550</v>
      </c>
      <c r="T1002" s="2" t="n">
        <v>3300</v>
      </c>
    </row>
    <row r="1003" customFormat="false" ht="18.7" hidden="false" customHeight="true" outlineLevel="0" collapsed="false">
      <c r="A1003" s="1" t="n">
        <v>1002</v>
      </c>
      <c r="B1003" s="7" t="str">
        <f aca="false">HYPERLINK("https://mncourtfraud.com/file/27-CR-21-12762.pdf","27-CR-21-12762")</f>
        <v>27-CR-21-12762</v>
      </c>
      <c r="C1003" s="1" t="n">
        <v>1</v>
      </c>
      <c r="D1003" s="2" t="s">
        <v>12</v>
      </c>
      <c r="E1003" s="8" t="n">
        <v>44396</v>
      </c>
      <c r="F1003" s="2" t="s">
        <v>15</v>
      </c>
      <c r="G1003" s="7" t="str">
        <f aca="false">HYPERLINK("https://mncourtfraud.com/file/MCRO_27-CR-21-12762_Order-Evaluation for Competency to Proceed (Rule 20.01)_2021-07-19_20251126182430.pdf","MCRO_27-CR-21-12762_Order-Evaluation for Competency to Proceed (Rule 20.01)_2021-07-19_20251126182430.pdf")</f>
        <v>MCRO_27-CR-21-12762_Order-Evaluation for Competency to Proceed (Rule 20.01)_2021-07-19_20251126182430.pdf</v>
      </c>
      <c r="H1003" s="7" t="str">
        <f aca="false">HYPERLINK("https://mncourtfraud.com/file/1ece54f093ee4da0cf5d63695161aace394db115d8fa35cf335ad68262c74945.png","1ece54f093ee4da0cf5d63695161aace394db115d8fa35cf335ad68262c74945")</f>
        <v>1ece54f093ee4da0cf5d63695161aace394db115d8fa35cf335ad68262c74945</v>
      </c>
      <c r="I1003" s="1" t="s">
        <v>3406</v>
      </c>
      <c r="L1003" s="2" t="s">
        <v>3412</v>
      </c>
      <c r="M1003" s="2" t="n">
        <v>145873</v>
      </c>
      <c r="S1003" s="2" t="n">
        <v>2550</v>
      </c>
      <c r="T1003" s="2" t="n">
        <v>3300</v>
      </c>
    </row>
    <row r="1004" customFormat="false" ht="18.7" hidden="false" customHeight="true" outlineLevel="0" collapsed="false">
      <c r="A1004" s="1" t="n">
        <v>1003</v>
      </c>
      <c r="B1004" s="7" t="str">
        <f aca="false">HYPERLINK("https://mncourtfraud.com/file/27-CR-21-12762.pdf","27-CR-21-12762")</f>
        <v>27-CR-21-12762</v>
      </c>
      <c r="C1004" s="1" t="n">
        <v>1</v>
      </c>
      <c r="D1004" s="2" t="s">
        <v>12</v>
      </c>
      <c r="E1004" s="8" t="n">
        <v>44396</v>
      </c>
      <c r="F1004" s="2" t="s">
        <v>15</v>
      </c>
      <c r="G1004" s="7" t="str">
        <f aca="false">HYPERLINK("https://mncourtfraud.com/file/MCRO_27-CR-21-12762_Order-Evaluation for Competency to Proceed (Rule 20.01)_2021-07-19_20251126182430.pdf","MCRO_27-CR-21-12762_Order-Evaluation for Competency to Proceed (Rule 20.01)_2021-07-19_20251126182430.pdf")</f>
        <v>MCRO_27-CR-21-12762_Order-Evaluation for Competency to Proceed (Rule 20.01)_2021-07-19_20251126182430.pdf</v>
      </c>
      <c r="H1004" s="7" t="str">
        <f aca="false">HYPERLINK("https://mncourtfraud.com/file/67148e4f2e67fb0003e31a2b9d74ccf8fddae1e322ec6473a648e31b088939fb.ttf","67148e4f2e67fb0003e31a2b9d74ccf8fddae1e322ec6473a648e31b088939fb")</f>
        <v>67148e4f2e67fb0003e31a2b9d74ccf8fddae1e322ec6473a648e31b088939fb</v>
      </c>
      <c r="I1004" s="1" t="s">
        <v>3413</v>
      </c>
      <c r="L1004" s="2" t="s">
        <v>3415</v>
      </c>
      <c r="M1004" s="2" t="n">
        <v>333584</v>
      </c>
    </row>
    <row r="1005" customFormat="false" ht="18.7" hidden="false" customHeight="true" outlineLevel="0" collapsed="false">
      <c r="A1005" s="1" t="n">
        <v>1004</v>
      </c>
      <c r="B1005" s="7" t="str">
        <f aca="false">HYPERLINK("https://mncourtfraud.com/file/27-CR-21-12762.pdf","27-CR-21-12762")</f>
        <v>27-CR-21-12762</v>
      </c>
      <c r="C1005" s="1" t="n">
        <v>1</v>
      </c>
      <c r="D1005" s="2" t="s">
        <v>12</v>
      </c>
      <c r="E1005" s="8" t="n">
        <v>44405</v>
      </c>
      <c r="F1005" s="2" t="s">
        <v>145</v>
      </c>
      <c r="G1005" s="7" t="str">
        <f aca="false">HYPERLINK("https://mncourtfraud.com/file/MCRO_27-CR-21-12762_Demand or Request for Discovery_2021-07-28_20251126182249.pdf","MCRO_27-CR-21-12762_Demand or Request for Discovery_2021-07-28_20251126182249.pdf")</f>
        <v>MCRO_27-CR-21-12762_Demand or Request for Discovery_2021-07-28_20251126182249.pdf</v>
      </c>
      <c r="H1005" s="7" t="str">
        <f aca="false">HYPERLINK("https://mncourtfraud.com/file/19120f012d257a81a0ea90458d3de4944fbb08aa6cfb8c097ccb5a4b78860a91.ttf","19120f012d257a81a0ea90458d3de4944fbb08aa6cfb8c097ccb5a4b78860a91")</f>
        <v>19120f012d257a81a0ea90458d3de4944fbb08aa6cfb8c097ccb5a4b78860a91</v>
      </c>
      <c r="I1005" s="1" t="s">
        <v>3413</v>
      </c>
      <c r="J1005" s="2" t="s">
        <v>3481</v>
      </c>
      <c r="K1005" s="2" t="s">
        <v>3481</v>
      </c>
      <c r="L1005" s="2" t="s">
        <v>3415</v>
      </c>
      <c r="M1005" s="2" t="n">
        <v>51515</v>
      </c>
      <c r="N1005" s="2" t="s">
        <v>3482</v>
      </c>
    </row>
    <row r="1006" customFormat="false" ht="18.7" hidden="false" customHeight="true" outlineLevel="0" collapsed="false">
      <c r="A1006" s="1" t="n">
        <v>1005</v>
      </c>
      <c r="B1006" s="7" t="str">
        <f aca="false">HYPERLINK("https://mncourtfraud.com/file/27-CR-21-12762.pdf","27-CR-21-12762")</f>
        <v>27-CR-21-12762</v>
      </c>
      <c r="C1006" s="1" t="n">
        <v>1</v>
      </c>
      <c r="D1006" s="2" t="s">
        <v>12</v>
      </c>
      <c r="E1006" s="8" t="n">
        <v>44405</v>
      </c>
      <c r="F1006" s="2" t="s">
        <v>145</v>
      </c>
      <c r="G1006" s="7" t="str">
        <f aca="false">HYPERLINK("https://mncourtfraud.com/file/MCRO_27-CR-21-12762_Demand or Request for Discovery_2021-07-28_20251126182249.pdf","MCRO_27-CR-21-12762_Demand or Request for Discovery_2021-07-28_20251126182249.pdf")</f>
        <v>MCRO_27-CR-21-12762_Demand or Request for Discovery_2021-07-28_20251126182249.pdf</v>
      </c>
      <c r="H1006" s="7" t="str">
        <f aca="false">HYPERLINK("https://mncourtfraud.com/file/40c285137124831a2a2f30c11b9605cfe6e2c7d463ae60ff9cb0bdd80993f511.ttf","40c285137124831a2a2f30c11b9605cfe6e2c7d463ae60ff9cb0bdd80993f511")</f>
        <v>40c285137124831a2a2f30c11b9605cfe6e2c7d463ae60ff9cb0bdd80993f511</v>
      </c>
      <c r="I1006" s="1" t="s">
        <v>3413</v>
      </c>
      <c r="J1006" s="2" t="s">
        <v>3483</v>
      </c>
      <c r="K1006" s="2" t="s">
        <v>3483</v>
      </c>
      <c r="L1006" s="2" t="s">
        <v>3415</v>
      </c>
      <c r="M1006" s="2" t="n">
        <v>77280</v>
      </c>
      <c r="N1006" s="2" t="s">
        <v>3484</v>
      </c>
    </row>
    <row r="1007" customFormat="false" ht="18.7" hidden="false" customHeight="true" outlineLevel="0" collapsed="false">
      <c r="A1007" s="1" t="n">
        <v>1006</v>
      </c>
      <c r="B1007" s="7" t="str">
        <f aca="false">HYPERLINK("https://mncourtfraud.com/file/27-CR-21-12762.pdf","27-CR-21-12762")</f>
        <v>27-CR-21-12762</v>
      </c>
      <c r="C1007" s="1" t="n">
        <v>1</v>
      </c>
      <c r="D1007" s="2" t="s">
        <v>12</v>
      </c>
      <c r="E1007" s="8" t="n">
        <v>44405</v>
      </c>
      <c r="F1007" s="2" t="s">
        <v>145</v>
      </c>
      <c r="G1007" s="7" t="str">
        <f aca="false">HYPERLINK("https://mncourtfraud.com/file/MCRO_27-CR-21-12762_Demand or Request for Discovery_2021-07-28_20251126182249.pdf","MCRO_27-CR-21-12762_Demand or Request for Discovery_2021-07-28_20251126182249.pdf")</f>
        <v>MCRO_27-CR-21-12762_Demand or Request for Discovery_2021-07-28_20251126182249.pdf</v>
      </c>
      <c r="H1007" s="7" t="str">
        <f aca="false">HYPERLINK("https://mncourtfraud.com/file/7cce3bcb8e6410517dfc38a0144d16ddd265462083b1419656992fb7a5f50528.ttf","7cce3bcb8e6410517dfc38a0144d16ddd265462083b1419656992fb7a5f50528")</f>
        <v>7cce3bcb8e6410517dfc38a0144d16ddd265462083b1419656992fb7a5f50528</v>
      </c>
      <c r="I1007" s="1" t="s">
        <v>3413</v>
      </c>
      <c r="J1007" s="2" t="s">
        <v>3485</v>
      </c>
      <c r="K1007" s="2" t="s">
        <v>3485</v>
      </c>
      <c r="L1007" s="2" t="s">
        <v>3415</v>
      </c>
      <c r="M1007" s="2" t="n">
        <v>98894</v>
      </c>
      <c r="N1007" s="2" t="s">
        <v>3486</v>
      </c>
    </row>
    <row r="1008" customFormat="false" ht="18.7" hidden="false" customHeight="true" outlineLevel="0" collapsed="false">
      <c r="A1008" s="1" t="n">
        <v>1007</v>
      </c>
      <c r="B1008" s="7" t="str">
        <f aca="false">HYPERLINK("https://mncourtfraud.com/file/27-CR-21-12762.pdf","27-CR-21-12762")</f>
        <v>27-CR-21-12762</v>
      </c>
      <c r="C1008" s="1" t="n">
        <v>1</v>
      </c>
      <c r="D1008" s="2" t="s">
        <v>12</v>
      </c>
      <c r="E1008" s="8" t="n">
        <v>44405</v>
      </c>
      <c r="F1008" s="2" t="s">
        <v>145</v>
      </c>
      <c r="G1008" s="7" t="str">
        <f aca="false">HYPERLINK("https://mncourtfraud.com/file/MCRO_27-CR-21-12762_Demand or Request for Discovery_2021-07-28_20251126182249.pdf","MCRO_27-CR-21-12762_Demand or Request for Discovery_2021-07-28_20251126182249.pdf")</f>
        <v>MCRO_27-CR-21-12762_Demand or Request for Discovery_2021-07-28_20251126182249.pdf</v>
      </c>
      <c r="H1008" s="7" t="str">
        <f aca="false">HYPERLINK("https://mncourtfraud.com/file/9be02e37aac4aa37fd6a9853235c5ceca885b8133956313b0cd77ae33c41a054.ttf","9be02e37aac4aa37fd6a9853235c5ceca885b8133956313b0cd77ae33c41a054")</f>
        <v>9be02e37aac4aa37fd6a9853235c5ceca885b8133956313b0cd77ae33c41a054</v>
      </c>
      <c r="I1008" s="1" t="s">
        <v>3413</v>
      </c>
      <c r="J1008" s="2" t="s">
        <v>3487</v>
      </c>
      <c r="K1008" s="2" t="s">
        <v>3487</v>
      </c>
      <c r="L1008" s="2" t="s">
        <v>3415</v>
      </c>
      <c r="M1008" s="2" t="n">
        <v>38978</v>
      </c>
      <c r="N1008" s="2" t="s">
        <v>3488</v>
      </c>
    </row>
    <row r="1009" customFormat="false" ht="18.7" hidden="false" customHeight="true" outlineLevel="0" collapsed="false">
      <c r="A1009" s="1" t="n">
        <v>1008</v>
      </c>
      <c r="B1009" s="7" t="str">
        <f aca="false">HYPERLINK("https://mncourtfraud.com/file/27-CR-21-12762.pdf","27-CR-21-12762")</f>
        <v>27-CR-21-12762</v>
      </c>
      <c r="C1009" s="1" t="n">
        <v>1</v>
      </c>
      <c r="D1009" s="2" t="s">
        <v>12</v>
      </c>
      <c r="E1009" s="8" t="n">
        <v>44439</v>
      </c>
      <c r="F1009" s="2" t="s">
        <v>19</v>
      </c>
      <c r="G1009" s="7" t="str">
        <f aca="false">HYPERLINK("https://mncourtfraud.com/file/MCRO_27-CR-21-12762_Findings and Order_2021-08-31_20251126182327.pdf","MCRO_27-CR-21-12762_Findings and Order_2021-08-31_20251126182327.pdf")</f>
        <v>MCRO_27-CR-21-12762_Findings and Order_2021-08-31_20251126182327.pdf</v>
      </c>
      <c r="H1009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1009" s="1" t="s">
        <v>3413</v>
      </c>
      <c r="J1009" s="2" t="s">
        <v>3426</v>
      </c>
      <c r="K1009" s="2" t="s">
        <v>3426</v>
      </c>
      <c r="L1009" s="2" t="s">
        <v>3415</v>
      </c>
      <c r="M1009" s="2" t="n">
        <v>74997</v>
      </c>
      <c r="N1009" s="2" t="s">
        <v>3427</v>
      </c>
    </row>
    <row r="1010" customFormat="false" ht="18.7" hidden="false" customHeight="true" outlineLevel="0" collapsed="false">
      <c r="A1010" s="1" t="n">
        <v>1009</v>
      </c>
      <c r="B1010" s="7" t="str">
        <f aca="false">HYPERLINK("https://mncourtfraud.com/file/27-CR-21-12762.pdf","27-CR-21-12762")</f>
        <v>27-CR-21-12762</v>
      </c>
      <c r="C1010" s="1" t="n">
        <v>1</v>
      </c>
      <c r="D1010" s="2" t="s">
        <v>12</v>
      </c>
      <c r="E1010" s="8" t="n">
        <v>44439</v>
      </c>
      <c r="F1010" s="2" t="s">
        <v>19</v>
      </c>
      <c r="G1010" s="7" t="str">
        <f aca="false">HYPERLINK("https://mncourtfraud.com/file/MCRO_27-CR-21-12762_Findings and Order_2021-08-31_20251126182327.pdf","MCRO_27-CR-21-12762_Findings and Order_2021-08-31_20251126182327.pdf")</f>
        <v>MCRO_27-CR-21-12762_Findings and Order_2021-08-31_20251126182327.pdf</v>
      </c>
      <c r="H1010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1010" s="1" t="s">
        <v>3413</v>
      </c>
      <c r="J1010" s="2" t="s">
        <v>3414</v>
      </c>
      <c r="K1010" s="2" t="s">
        <v>3414</v>
      </c>
      <c r="L1010" s="2" t="s">
        <v>3415</v>
      </c>
      <c r="M1010" s="2" t="n">
        <v>65384</v>
      </c>
    </row>
    <row r="1011" customFormat="false" ht="18.7" hidden="false" customHeight="true" outlineLevel="0" collapsed="false">
      <c r="A1011" s="1" t="n">
        <v>1010</v>
      </c>
      <c r="B1011" s="7" t="str">
        <f aca="false">HYPERLINK("https://mncourtfraud.com/file/27-CR-21-12762.pdf","27-CR-21-12762")</f>
        <v>27-CR-21-12762</v>
      </c>
      <c r="C1011" s="1" t="n">
        <v>1</v>
      </c>
      <c r="D1011" s="2" t="s">
        <v>12</v>
      </c>
      <c r="E1011" s="8" t="n">
        <v>44439</v>
      </c>
      <c r="F1011" s="2" t="s">
        <v>19</v>
      </c>
      <c r="G1011" s="7" t="str">
        <f aca="false">HYPERLINK("https://mncourtfraud.com/file/MCRO_27-CR-21-12762_Findings and Order_2021-08-31_20251126182327.pdf","MCRO_27-CR-21-12762_Findings and Order_2021-08-31_20251126182327.pdf")</f>
        <v>MCRO_27-CR-21-12762_Findings and Order_2021-08-31_20251126182327.pdf</v>
      </c>
      <c r="H1011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1011" s="1" t="s">
        <v>3413</v>
      </c>
      <c r="J1011" s="2" t="s">
        <v>3414</v>
      </c>
      <c r="K1011" s="2" t="s">
        <v>3414</v>
      </c>
      <c r="L1011" s="2" t="s">
        <v>3415</v>
      </c>
      <c r="M1011" s="2" t="n">
        <v>65384</v>
      </c>
    </row>
    <row r="1012" customFormat="false" ht="18.7" hidden="false" customHeight="true" outlineLevel="0" collapsed="false">
      <c r="A1012" s="1" t="n">
        <v>1011</v>
      </c>
      <c r="B1012" s="7" t="str">
        <f aca="false">HYPERLINK("https://mncourtfraud.com/file/27-CR-21-12762.pdf","27-CR-21-12762")</f>
        <v>27-CR-21-12762</v>
      </c>
      <c r="C1012" s="1" t="n">
        <v>1</v>
      </c>
      <c r="D1012" s="2" t="s">
        <v>12</v>
      </c>
      <c r="E1012" s="8" t="n">
        <v>44439</v>
      </c>
      <c r="F1012" s="2" t="s">
        <v>19</v>
      </c>
      <c r="G1012" s="7" t="str">
        <f aca="false">HYPERLINK("https://mncourtfraud.com/file/MCRO_27-CR-21-12762_Findings and Order_2021-08-31_20251126182327.pdf","MCRO_27-CR-21-12762_Findings and Order_2021-08-31_20251126182327.pdf")</f>
        <v>MCRO_27-CR-21-12762_Findings and Order_2021-08-31_20251126182327.pdf</v>
      </c>
      <c r="H1012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1012" s="1" t="s">
        <v>3428</v>
      </c>
      <c r="J1012" s="2" t="s">
        <v>3429</v>
      </c>
      <c r="K1012" s="2" t="s">
        <v>3429</v>
      </c>
      <c r="L1012" s="2" t="s">
        <v>3415</v>
      </c>
      <c r="M1012" s="2" t="n">
        <v>86093</v>
      </c>
    </row>
    <row r="1013" customFormat="false" ht="18.7" hidden="false" customHeight="true" outlineLevel="0" collapsed="false">
      <c r="A1013" s="1" t="n">
        <v>1012</v>
      </c>
      <c r="B1013" s="7" t="str">
        <f aca="false">HYPERLINK("https://mncourtfraud.com/file/27-CR-21-12762.pdf","27-CR-21-12762")</f>
        <v>27-CR-21-12762</v>
      </c>
      <c r="C1013" s="1" t="n">
        <v>1</v>
      </c>
      <c r="D1013" s="2" t="s">
        <v>12</v>
      </c>
      <c r="E1013" s="8" t="n">
        <v>44439</v>
      </c>
      <c r="F1013" s="2" t="s">
        <v>19</v>
      </c>
      <c r="G1013" s="7" t="str">
        <f aca="false">HYPERLINK("https://mncourtfraud.com/file/MCRO_27-CR-21-12762_Findings and Order_2021-08-31_20251126182327.pdf","MCRO_27-CR-21-12762_Findings and Order_2021-08-31_20251126182327.pdf")</f>
        <v>MCRO_27-CR-21-12762_Findings and Order_2021-08-31_20251126182327.pdf</v>
      </c>
      <c r="H1013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1013" s="1" t="s">
        <v>3406</v>
      </c>
      <c r="K1013" s="2" t="s">
        <v>3430</v>
      </c>
      <c r="L1013" s="2" t="s">
        <v>3408</v>
      </c>
      <c r="M1013" s="2" t="n">
        <v>28069</v>
      </c>
      <c r="O1013" s="2" t="s">
        <v>3409</v>
      </c>
      <c r="P1013" s="2" t="s">
        <v>3410</v>
      </c>
      <c r="S1013" s="2" t="n">
        <v>448</v>
      </c>
      <c r="T1013" s="2" t="n">
        <v>128</v>
      </c>
    </row>
    <row r="1014" customFormat="false" ht="18.7" hidden="false" customHeight="true" outlineLevel="0" collapsed="false">
      <c r="A1014" s="1" t="n">
        <v>1013</v>
      </c>
      <c r="B1014" s="7" t="str">
        <f aca="false">HYPERLINK("https://mncourtfraud.com/file/27-CR-21-12762.pdf","27-CR-21-12762")</f>
        <v>27-CR-21-12762</v>
      </c>
      <c r="C1014" s="1" t="n">
        <v>1</v>
      </c>
      <c r="D1014" s="2" t="s">
        <v>12</v>
      </c>
      <c r="E1014" s="8" t="n">
        <v>44439</v>
      </c>
      <c r="F1014" s="2" t="s">
        <v>19</v>
      </c>
      <c r="G1014" s="7" t="str">
        <f aca="false">HYPERLINK("https://mncourtfraud.com/file/MCRO_27-CR-21-12762_Findings and Order_2021-08-31_20251126182327.pdf","MCRO_27-CR-21-12762_Findings and Order_2021-08-31_20251126182327.pdf")</f>
        <v>MCRO_27-CR-21-12762_Findings and Order_2021-08-31_20251126182327.pdf</v>
      </c>
      <c r="H1014" s="7" t="str">
        <f aca="false">HYPERLINK("https://mncourtfraud.com/file/d85226137c53579f37f2c87321a4ff209a309a82330591d9457774d7d697befc.ttf","d85226137c53579f37f2c87321a4ff209a309a82330591d9457774d7d697befc")</f>
        <v>d85226137c53579f37f2c87321a4ff209a309a82330591d9457774d7d697befc</v>
      </c>
      <c r="I1014" s="1" t="s">
        <v>3413</v>
      </c>
      <c r="J1014" s="2" t="s">
        <v>3414</v>
      </c>
      <c r="K1014" s="2" t="s">
        <v>3416</v>
      </c>
      <c r="L1014" s="2" t="s">
        <v>3415</v>
      </c>
      <c r="M1014" s="2" t="n">
        <v>49992</v>
      </c>
    </row>
    <row r="1015" customFormat="false" ht="18.7" hidden="false" customHeight="true" outlineLevel="0" collapsed="false">
      <c r="A1015" s="1" t="n">
        <v>1014</v>
      </c>
      <c r="B1015" s="7" t="str">
        <f aca="false">HYPERLINK("https://mncourtfraud.com/file/27-CR-21-12762.pdf","27-CR-21-12762")</f>
        <v>27-CR-21-12762</v>
      </c>
      <c r="C1015" s="1" t="n">
        <v>1</v>
      </c>
      <c r="D1015" s="2" t="s">
        <v>12</v>
      </c>
      <c r="E1015" s="8" t="n">
        <v>44460</v>
      </c>
      <c r="F1015" s="2" t="s">
        <v>24</v>
      </c>
      <c r="G1015" s="7" t="str">
        <f aca="false">HYPERLINK("https://mncourtfraud.com/file/MCRO_27-CR-21-12762_Order for Conditional Release_2021-09-21_20251126182412.pdf","MCRO_27-CR-21-12762_Order for Conditional Release_2021-09-21_20251126182412.pdf")</f>
        <v>MCRO_27-CR-21-12762_Order for Conditional Release_2021-09-21_20251126182412.pdf</v>
      </c>
      <c r="H1015" s="7" t="str">
        <f aca="false">HYPERLINK("https://mncourtfraud.com/file/02dfb6e08fd11b3563d1b9b621b56dbf2dc11acbd85e42bfd83f728fb300bef2.ttf","02dfb6e08fd11b3563d1b9b621b56dbf2dc11acbd85e42bfd83f728fb300bef2")</f>
        <v>02dfb6e08fd11b3563d1b9b621b56dbf2dc11acbd85e42bfd83f728fb300bef2</v>
      </c>
      <c r="I1015" s="1" t="s">
        <v>3413</v>
      </c>
      <c r="L1015" s="2" t="s">
        <v>3415</v>
      </c>
      <c r="M1015" s="2" t="n">
        <v>333576</v>
      </c>
    </row>
    <row r="1016" customFormat="false" ht="18.7" hidden="false" customHeight="true" outlineLevel="0" collapsed="false">
      <c r="A1016" s="1" t="n">
        <v>1015</v>
      </c>
      <c r="B1016" s="7" t="str">
        <f aca="false">HYPERLINK("https://mncourtfraud.com/file/27-CR-21-12762.pdf","27-CR-21-12762")</f>
        <v>27-CR-21-12762</v>
      </c>
      <c r="C1016" s="1" t="n">
        <v>1</v>
      </c>
      <c r="D1016" s="2" t="s">
        <v>12</v>
      </c>
      <c r="E1016" s="8" t="n">
        <v>44460</v>
      </c>
      <c r="F1016" s="2" t="s">
        <v>24</v>
      </c>
      <c r="G1016" s="7" t="str">
        <f aca="false">HYPERLINK("https://mncourtfraud.com/file/MCRO_27-CR-21-12762_Order for Conditional Release_2021-09-21_20251126182412.pdf","MCRO_27-CR-21-12762_Order for Conditional Release_2021-09-21_20251126182412.pdf")</f>
        <v>MCRO_27-CR-21-12762_Order for Conditional Release_2021-09-21_20251126182412.pdf</v>
      </c>
      <c r="H1016" s="7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1016" s="1" t="s">
        <v>3406</v>
      </c>
      <c r="L1016" s="2" t="s">
        <v>3412</v>
      </c>
      <c r="M1016" s="2" t="n">
        <v>152962</v>
      </c>
      <c r="S1016" s="2" t="n">
        <v>2560</v>
      </c>
      <c r="T1016" s="2" t="n">
        <v>3300</v>
      </c>
    </row>
    <row r="1017" customFormat="false" ht="18.7" hidden="false" customHeight="true" outlineLevel="0" collapsed="false">
      <c r="A1017" s="1" t="n">
        <v>1016</v>
      </c>
      <c r="B1017" s="7" t="str">
        <f aca="false">HYPERLINK("https://mncourtfraud.com/file/27-CR-21-12762.pdf","27-CR-21-12762")</f>
        <v>27-CR-21-12762</v>
      </c>
      <c r="C1017" s="1" t="n">
        <v>1</v>
      </c>
      <c r="D1017" s="2" t="s">
        <v>12</v>
      </c>
      <c r="E1017" s="8" t="n">
        <v>44468</v>
      </c>
      <c r="F1017" s="2" t="s">
        <v>24</v>
      </c>
      <c r="G1017" s="7" t="str">
        <f aca="false">HYPERLINK("https://mncourtfraud.com/file/MCRO_27-CR-21-12762_Order for Conditional Release_2021-09-29_20251126182418.pdf","MCRO_27-CR-21-12762_Order for Conditional Release_2021-09-29_20251126182418.pdf")</f>
        <v>MCRO_27-CR-21-12762_Order for Conditional Release_2021-09-29_20251126182418.pdf</v>
      </c>
      <c r="H1017" s="7" t="str">
        <f aca="false">HYPERLINK("https://mncourtfraud.com/file/29d541cb6920f2a0815a72232c8164e19ffda7ff89f025261d343aef97d55c23.png","29d541cb6920f2a0815a72232c8164e19ffda7ff89f025261d343aef97d55c23")</f>
        <v>29d541cb6920f2a0815a72232c8164e19ffda7ff89f025261d343aef97d55c23</v>
      </c>
      <c r="I1017" s="1" t="s">
        <v>3406</v>
      </c>
      <c r="L1017" s="2" t="s">
        <v>3412</v>
      </c>
      <c r="M1017" s="2" t="n">
        <v>104</v>
      </c>
      <c r="S1017" s="2" t="n">
        <v>5</v>
      </c>
      <c r="T1017" s="2" t="n">
        <v>75</v>
      </c>
    </row>
    <row r="1018" customFormat="false" ht="18.7" hidden="false" customHeight="true" outlineLevel="0" collapsed="false">
      <c r="A1018" s="1" t="n">
        <v>1017</v>
      </c>
      <c r="B1018" s="7" t="str">
        <f aca="false">HYPERLINK("https://mncourtfraud.com/file/27-CR-21-12762.pdf","27-CR-21-12762")</f>
        <v>27-CR-21-12762</v>
      </c>
      <c r="C1018" s="1" t="n">
        <v>1</v>
      </c>
      <c r="D1018" s="2" t="s">
        <v>12</v>
      </c>
      <c r="E1018" s="8" t="n">
        <v>44468</v>
      </c>
      <c r="F1018" s="2" t="s">
        <v>24</v>
      </c>
      <c r="G1018" s="7" t="str">
        <f aca="false">HYPERLINK("https://mncourtfraud.com/file/MCRO_27-CR-21-12762_Order for Conditional Release_2021-09-29_20251126182418.pdf","MCRO_27-CR-21-12762_Order for Conditional Release_2021-09-29_20251126182418.pdf")</f>
        <v>MCRO_27-CR-21-12762_Order for Conditional Release_2021-09-29_20251126182418.pdf</v>
      </c>
      <c r="H1018" s="7" t="str">
        <f aca="false">HYPERLINK("https://mncourtfraud.com/file/3d978c70f8a4a91fd25d0f653c2931516767fdd837fcadff75a8c3cd2ba3a28e.png","3d978c70f8a4a91fd25d0f653c2931516767fdd837fcadff75a8c3cd2ba3a28e")</f>
        <v>3d978c70f8a4a91fd25d0f653c2931516767fdd837fcadff75a8c3cd2ba3a28e</v>
      </c>
      <c r="I1018" s="1" t="s">
        <v>3406</v>
      </c>
      <c r="L1018" s="2" t="s">
        <v>3412</v>
      </c>
      <c r="M1018" s="2" t="n">
        <v>2435</v>
      </c>
      <c r="S1018" s="2" t="n">
        <v>1069</v>
      </c>
      <c r="T1018" s="2" t="n">
        <v>679</v>
      </c>
    </row>
    <row r="1019" customFormat="false" ht="18.7" hidden="false" customHeight="true" outlineLevel="0" collapsed="false">
      <c r="A1019" s="1" t="n">
        <v>1018</v>
      </c>
      <c r="B1019" s="7" t="str">
        <f aca="false">HYPERLINK("https://mncourtfraud.com/file/27-CR-21-12762.pdf","27-CR-21-12762")</f>
        <v>27-CR-21-12762</v>
      </c>
      <c r="C1019" s="1" t="n">
        <v>1</v>
      </c>
      <c r="D1019" s="2" t="s">
        <v>12</v>
      </c>
      <c r="E1019" s="8" t="n">
        <v>44468</v>
      </c>
      <c r="F1019" s="2" t="s">
        <v>24</v>
      </c>
      <c r="G1019" s="7" t="str">
        <f aca="false">HYPERLINK("https://mncourtfraud.com/file/MCRO_27-CR-21-12762_Order for Conditional Release_2021-09-29_20251126182418.pdf","MCRO_27-CR-21-12762_Order for Conditional Release_2021-09-29_20251126182418.pdf")</f>
        <v>MCRO_27-CR-21-12762_Order for Conditional Release_2021-09-29_20251126182418.pdf</v>
      </c>
      <c r="H1019" s="7" t="str">
        <f aca="false">HYPERLINK("https://mncourtfraud.com/file/3f202249d41f264cabf7a4fd2c634829df7886c25cb759658f06c1a8bca28360.cid","3f202249d41f264cabf7a4fd2c634829df7886c25cb759658f06c1a8bca28360")</f>
        <v>3f202249d41f264cabf7a4fd2c634829df7886c25cb759658f06c1a8bca28360</v>
      </c>
      <c r="I1019" s="1" t="s">
        <v>3431</v>
      </c>
      <c r="L1019" s="2" t="s">
        <v>3415</v>
      </c>
      <c r="M1019" s="2" t="n">
        <v>1397</v>
      </c>
    </row>
    <row r="1020" customFormat="false" ht="18.7" hidden="false" customHeight="true" outlineLevel="0" collapsed="false">
      <c r="A1020" s="1" t="n">
        <v>1019</v>
      </c>
      <c r="B1020" s="7" t="str">
        <f aca="false">HYPERLINK("https://mncourtfraud.com/file/27-CR-21-12762.pdf","27-CR-21-12762")</f>
        <v>27-CR-21-12762</v>
      </c>
      <c r="C1020" s="1" t="n">
        <v>1</v>
      </c>
      <c r="D1020" s="2" t="s">
        <v>12</v>
      </c>
      <c r="E1020" s="8" t="n">
        <v>44468</v>
      </c>
      <c r="F1020" s="2" t="s">
        <v>24</v>
      </c>
      <c r="G1020" s="7" t="str">
        <f aca="false">HYPERLINK("https://mncourtfraud.com/file/MCRO_27-CR-21-12762_Order for Conditional Release_2021-09-29_20251126182418.pdf","MCRO_27-CR-21-12762_Order for Conditional Release_2021-09-29_20251126182418.pdf")</f>
        <v>MCRO_27-CR-21-12762_Order for Conditional Release_2021-09-29_20251126182418.pdf</v>
      </c>
      <c r="H1020" s="7" t="str">
        <f aca="false">HYPERLINK("https://mncourtfraud.com/file/425a64ecdc19aa0c86b927b2be8980d179c92ac4af2a49d3c3ad0aa278728c52.png","425a64ecdc19aa0c86b927b2be8980d179c92ac4af2a49d3c3ad0aa278728c52")</f>
        <v>425a64ecdc19aa0c86b927b2be8980d179c92ac4af2a49d3c3ad0aa278728c52</v>
      </c>
      <c r="I1020" s="1" t="s">
        <v>3406</v>
      </c>
      <c r="L1020" s="2" t="s">
        <v>3412</v>
      </c>
      <c r="M1020" s="2" t="n">
        <v>520</v>
      </c>
      <c r="S1020" s="2" t="n">
        <v>126</v>
      </c>
      <c r="T1020" s="2" t="n">
        <v>150</v>
      </c>
    </row>
    <row r="1021" customFormat="false" ht="18.7" hidden="false" customHeight="true" outlineLevel="0" collapsed="false">
      <c r="A1021" s="1" t="n">
        <v>1020</v>
      </c>
      <c r="B1021" s="7" t="str">
        <f aca="false">HYPERLINK("https://mncourtfraud.com/file/27-CR-21-12762.pdf","27-CR-21-12762")</f>
        <v>27-CR-21-12762</v>
      </c>
      <c r="C1021" s="1" t="n">
        <v>1</v>
      </c>
      <c r="D1021" s="2" t="s">
        <v>12</v>
      </c>
      <c r="E1021" s="8" t="n">
        <v>44468</v>
      </c>
      <c r="F1021" s="2" t="s">
        <v>24</v>
      </c>
      <c r="G1021" s="7" t="str">
        <f aca="false">HYPERLINK("https://mncourtfraud.com/file/MCRO_27-CR-21-12762_Order for Conditional Release_2021-09-29_20251126182418.pdf","MCRO_27-CR-21-12762_Order for Conditional Release_2021-09-29_20251126182418.pdf")</f>
        <v>MCRO_27-CR-21-12762_Order for Conditional Release_2021-09-29_20251126182418.pdf</v>
      </c>
      <c r="H1021" s="7" t="str">
        <f aca="false">HYPERLINK("https://mncourtfraud.com/file/4458a2b033c8132fd890227750c1df180ec4563b9dc0a6394b3691240425c9b3.cid","4458a2b033c8132fd890227750c1df180ec4563b9dc0a6394b3691240425c9b3")</f>
        <v>4458a2b033c8132fd890227750c1df180ec4563b9dc0a6394b3691240425c9b3</v>
      </c>
      <c r="I1021" s="1" t="s">
        <v>3431</v>
      </c>
      <c r="L1021" s="2" t="s">
        <v>3415</v>
      </c>
      <c r="M1021" s="2" t="n">
        <v>3580</v>
      </c>
    </row>
    <row r="1022" customFormat="false" ht="18.7" hidden="false" customHeight="true" outlineLevel="0" collapsed="false">
      <c r="A1022" s="1" t="n">
        <v>1021</v>
      </c>
      <c r="B1022" s="7" t="str">
        <f aca="false">HYPERLINK("https://mncourtfraud.com/file/27-CR-21-12762.pdf","27-CR-21-12762")</f>
        <v>27-CR-21-12762</v>
      </c>
      <c r="C1022" s="1" t="n">
        <v>1</v>
      </c>
      <c r="D1022" s="2" t="s">
        <v>12</v>
      </c>
      <c r="E1022" s="8" t="n">
        <v>44468</v>
      </c>
      <c r="F1022" s="2" t="s">
        <v>24</v>
      </c>
      <c r="G1022" s="7" t="str">
        <f aca="false">HYPERLINK("https://mncourtfraud.com/file/MCRO_27-CR-21-12762_Order for Conditional Release_2021-09-29_20251126182418.pdf","MCRO_27-CR-21-12762_Order for Conditional Release_2021-09-29_20251126182418.pdf")</f>
        <v>MCRO_27-CR-21-12762_Order for Conditional Release_2021-09-29_20251126182418.pdf</v>
      </c>
      <c r="H1022" s="7" t="str">
        <f aca="false">HYPERLINK("https://mncourtfraud.com/file/45a9f49ddf96d4a4dcf4561d2702204f448986045babf3fdd52fa18200557e31.png","45a9f49ddf96d4a4dcf4561d2702204f448986045babf3fdd52fa18200557e31")</f>
        <v>45a9f49ddf96d4a4dcf4561d2702204f448986045babf3fdd52fa18200557e31</v>
      </c>
      <c r="I1022" s="1" t="s">
        <v>3406</v>
      </c>
      <c r="L1022" s="2" t="s">
        <v>3412</v>
      </c>
      <c r="M1022" s="2" t="n">
        <v>97</v>
      </c>
      <c r="S1022" s="2" t="n">
        <v>3</v>
      </c>
      <c r="T1022" s="2" t="n">
        <v>4</v>
      </c>
    </row>
    <row r="1023" customFormat="false" ht="18.7" hidden="false" customHeight="true" outlineLevel="0" collapsed="false">
      <c r="A1023" s="1" t="n">
        <v>1022</v>
      </c>
      <c r="B1023" s="7" t="str">
        <f aca="false">HYPERLINK("https://mncourtfraud.com/file/27-CR-21-12762.pdf","27-CR-21-12762")</f>
        <v>27-CR-21-12762</v>
      </c>
      <c r="C1023" s="1" t="n">
        <v>1</v>
      </c>
      <c r="D1023" s="2" t="s">
        <v>12</v>
      </c>
      <c r="E1023" s="8" t="n">
        <v>44468</v>
      </c>
      <c r="F1023" s="2" t="s">
        <v>24</v>
      </c>
      <c r="G1023" s="7" t="str">
        <f aca="false">HYPERLINK("https://mncourtfraud.com/file/MCRO_27-CR-21-12762_Order for Conditional Release_2021-09-29_20251126182418.pdf","MCRO_27-CR-21-12762_Order for Conditional Release_2021-09-29_20251126182418.pdf")</f>
        <v>MCRO_27-CR-21-12762_Order for Conditional Release_2021-09-29_20251126182418.pdf</v>
      </c>
      <c r="H1023" s="7" t="str">
        <f aca="false">HYPERLINK("https://mncourtfraud.com/file/50457dc3e0bb6204f128f3222c76884dffaf132a86395902e3967a44a5d511ed.cid","50457dc3e0bb6204f128f3222c76884dffaf132a86395902e3967a44a5d511ed")</f>
        <v>50457dc3e0bb6204f128f3222c76884dffaf132a86395902e3967a44a5d511ed</v>
      </c>
      <c r="I1023" s="1" t="s">
        <v>3431</v>
      </c>
      <c r="L1023" s="2" t="s">
        <v>3415</v>
      </c>
      <c r="M1023" s="2" t="n">
        <v>2839</v>
      </c>
    </row>
    <row r="1024" customFormat="false" ht="18.7" hidden="false" customHeight="true" outlineLevel="0" collapsed="false">
      <c r="A1024" s="1" t="n">
        <v>1023</v>
      </c>
      <c r="B1024" s="7" t="str">
        <f aca="false">HYPERLINK("https://mncourtfraud.com/file/27-CR-21-12762.pdf","27-CR-21-12762")</f>
        <v>27-CR-21-12762</v>
      </c>
      <c r="C1024" s="1" t="n">
        <v>1</v>
      </c>
      <c r="D1024" s="2" t="s">
        <v>12</v>
      </c>
      <c r="E1024" s="8" t="n">
        <v>44468</v>
      </c>
      <c r="F1024" s="2" t="s">
        <v>24</v>
      </c>
      <c r="G1024" s="7" t="str">
        <f aca="false">HYPERLINK("https://mncourtfraud.com/file/MCRO_27-CR-21-12762_Order for Conditional Release_2021-09-29_20251126182418.pdf","MCRO_27-CR-21-12762_Order for Conditional Release_2021-09-29_20251126182418.pdf")</f>
        <v>MCRO_27-CR-21-12762_Order for Conditional Release_2021-09-29_20251126182418.pdf</v>
      </c>
      <c r="H1024" s="7" t="str">
        <f aca="false">HYPERLINK("https://mncourtfraud.com/file/52f2827f81e9a21813e5089396a7afa6accf4023998e877d3b9460283e0bb9a5.cid","52f2827f81e9a21813e5089396a7afa6accf4023998e877d3b9460283e0bb9a5")</f>
        <v>52f2827f81e9a21813e5089396a7afa6accf4023998e877d3b9460283e0bb9a5</v>
      </c>
      <c r="I1024" s="1" t="s">
        <v>3431</v>
      </c>
      <c r="L1024" s="2" t="s">
        <v>3415</v>
      </c>
      <c r="M1024" s="2" t="n">
        <v>381</v>
      </c>
    </row>
    <row r="1025" customFormat="false" ht="18.7" hidden="false" customHeight="true" outlineLevel="0" collapsed="false">
      <c r="A1025" s="1" t="n">
        <v>1024</v>
      </c>
      <c r="B1025" s="7" t="str">
        <f aca="false">HYPERLINK("https://mncourtfraud.com/file/27-CR-21-12762.pdf","27-CR-21-12762")</f>
        <v>27-CR-21-12762</v>
      </c>
      <c r="C1025" s="1" t="n">
        <v>1</v>
      </c>
      <c r="D1025" s="2" t="s">
        <v>12</v>
      </c>
      <c r="E1025" s="8" t="n">
        <v>44468</v>
      </c>
      <c r="F1025" s="2" t="s">
        <v>24</v>
      </c>
      <c r="G1025" s="7" t="str">
        <f aca="false">HYPERLINK("https://mncourtfraud.com/file/MCRO_27-CR-21-12762_Order for Conditional Release_2021-09-29_20251126182418.pdf","MCRO_27-CR-21-12762_Order for Conditional Release_2021-09-29_20251126182418.pdf")</f>
        <v>MCRO_27-CR-21-12762_Order for Conditional Release_2021-09-29_20251126182418.pdf</v>
      </c>
      <c r="H1025" s="7" t="str">
        <f aca="false">HYPERLINK("https://mncourtfraud.com/file/5bf127b8427f0831bc8864aa549643604be6b63d8ca96ff1ba7182ccec9bc2ad.cid","5bf127b8427f0831bc8864aa549643604be6b63d8ca96ff1ba7182ccec9bc2ad")</f>
        <v>5bf127b8427f0831bc8864aa549643604be6b63d8ca96ff1ba7182ccec9bc2ad</v>
      </c>
      <c r="I1025" s="1" t="s">
        <v>3431</v>
      </c>
      <c r="L1025" s="2" t="s">
        <v>3415</v>
      </c>
      <c r="M1025" s="2" t="n">
        <v>7990</v>
      </c>
    </row>
    <row r="1026" customFormat="false" ht="18.7" hidden="false" customHeight="true" outlineLevel="0" collapsed="false">
      <c r="A1026" s="1" t="n">
        <v>1025</v>
      </c>
      <c r="B1026" s="7" t="str">
        <f aca="false">HYPERLINK("https://mncourtfraud.com/file/27-CR-21-12762.pdf","27-CR-21-12762")</f>
        <v>27-CR-21-12762</v>
      </c>
      <c r="C1026" s="1" t="n">
        <v>1</v>
      </c>
      <c r="D1026" s="2" t="s">
        <v>12</v>
      </c>
      <c r="E1026" s="8" t="n">
        <v>44468</v>
      </c>
      <c r="F1026" s="2" t="s">
        <v>24</v>
      </c>
      <c r="G1026" s="7" t="str">
        <f aca="false">HYPERLINK("https://mncourtfraud.com/file/MCRO_27-CR-21-12762_Order for Conditional Release_2021-09-29_20251126182418.pdf","MCRO_27-CR-21-12762_Order for Conditional Release_2021-09-29_20251126182418.pdf")</f>
        <v>MCRO_27-CR-21-12762_Order for Conditional Release_2021-09-29_20251126182418.pdf</v>
      </c>
      <c r="H1026" s="7" t="str">
        <f aca="false">HYPERLINK("https://mncourtfraud.com/file/614121b29b009262816a5b70532c1a04ec73c5d83786c4500719e9e7d614a562.cid","614121b29b009262816a5b70532c1a04ec73c5d83786c4500719e9e7d614a562")</f>
        <v>614121b29b009262816a5b70532c1a04ec73c5d83786c4500719e9e7d614a562</v>
      </c>
      <c r="I1026" s="1" t="s">
        <v>3431</v>
      </c>
      <c r="L1026" s="2" t="s">
        <v>3415</v>
      </c>
      <c r="M1026" s="2" t="n">
        <v>5970</v>
      </c>
    </row>
    <row r="1027" customFormat="false" ht="18.7" hidden="false" customHeight="true" outlineLevel="0" collapsed="false">
      <c r="A1027" s="1" t="n">
        <v>1026</v>
      </c>
      <c r="B1027" s="7" t="str">
        <f aca="false">HYPERLINK("https://mncourtfraud.com/file/27-CR-21-12762.pdf","27-CR-21-12762")</f>
        <v>27-CR-21-12762</v>
      </c>
      <c r="C1027" s="1" t="n">
        <v>1</v>
      </c>
      <c r="D1027" s="2" t="s">
        <v>12</v>
      </c>
      <c r="E1027" s="8" t="n">
        <v>44468</v>
      </c>
      <c r="F1027" s="2" t="s">
        <v>24</v>
      </c>
      <c r="G1027" s="7" t="str">
        <f aca="false">HYPERLINK("https://mncourtfraud.com/file/MCRO_27-CR-21-12762_Order for Conditional Release_2021-09-29_20251126182418.pdf","MCRO_27-CR-21-12762_Order for Conditional Release_2021-09-29_20251126182418.pdf")</f>
        <v>MCRO_27-CR-21-12762_Order for Conditional Release_2021-09-29_20251126182418.pdf</v>
      </c>
      <c r="H1027" s="7" t="str">
        <f aca="false">HYPERLINK("https://mncourtfraud.com/file/7e14169e8fd6eddddd43bc2fc14557202f527587078dd29e867ad63570714e07.png","7e14169e8fd6eddddd43bc2fc14557202f527587078dd29e867ad63570714e07")</f>
        <v>7e14169e8fd6eddddd43bc2fc14557202f527587078dd29e867ad63570714e07</v>
      </c>
      <c r="I1027" s="1" t="s">
        <v>3406</v>
      </c>
      <c r="L1027" s="2" t="s">
        <v>3412</v>
      </c>
      <c r="M1027" s="2" t="n">
        <v>100</v>
      </c>
      <c r="S1027" s="2" t="n">
        <v>5</v>
      </c>
      <c r="T1027" s="2" t="n">
        <v>5</v>
      </c>
    </row>
    <row r="1028" customFormat="false" ht="18.7" hidden="false" customHeight="true" outlineLevel="0" collapsed="false">
      <c r="A1028" s="1" t="n">
        <v>1027</v>
      </c>
      <c r="B1028" s="7" t="str">
        <f aca="false">HYPERLINK("https://mncourtfraud.com/file/27-CR-21-12762.pdf","27-CR-21-12762")</f>
        <v>27-CR-21-12762</v>
      </c>
      <c r="C1028" s="1" t="n">
        <v>1</v>
      </c>
      <c r="D1028" s="2" t="s">
        <v>12</v>
      </c>
      <c r="E1028" s="8" t="n">
        <v>44468</v>
      </c>
      <c r="F1028" s="2" t="s">
        <v>24</v>
      </c>
      <c r="G1028" s="7" t="str">
        <f aca="false">HYPERLINK("https://mncourtfraud.com/file/MCRO_27-CR-21-12762_Order for Conditional Release_2021-09-29_20251126182418.pdf","MCRO_27-CR-21-12762_Order for Conditional Release_2021-09-29_20251126182418.pdf")</f>
        <v>MCRO_27-CR-21-12762_Order for Conditional Release_2021-09-29_20251126182418.pdf</v>
      </c>
      <c r="H1028" s="7" t="str">
        <f aca="false">HYPERLINK("https://mncourtfraud.com/file/8198df5372238cac138bb64883627cf42bfc08ac483ff14b35858ae098fa3e09.cid","8198df5372238cac138bb64883627cf42bfc08ac483ff14b35858ae098fa3e09")</f>
        <v>8198df5372238cac138bb64883627cf42bfc08ac483ff14b35858ae098fa3e09</v>
      </c>
      <c r="I1028" s="1" t="s">
        <v>3431</v>
      </c>
      <c r="L1028" s="2" t="s">
        <v>3415</v>
      </c>
      <c r="M1028" s="2" t="n">
        <v>3966</v>
      </c>
    </row>
    <row r="1029" customFormat="false" ht="18.7" hidden="false" customHeight="true" outlineLevel="0" collapsed="false">
      <c r="A1029" s="1" t="n">
        <v>1028</v>
      </c>
      <c r="B1029" s="7" t="str">
        <f aca="false">HYPERLINK("https://mncourtfraud.com/file/27-CR-21-12762.pdf","27-CR-21-12762")</f>
        <v>27-CR-21-12762</v>
      </c>
      <c r="C1029" s="1" t="n">
        <v>1</v>
      </c>
      <c r="D1029" s="2" t="s">
        <v>12</v>
      </c>
      <c r="E1029" s="8" t="n">
        <v>44468</v>
      </c>
      <c r="F1029" s="2" t="s">
        <v>24</v>
      </c>
      <c r="G1029" s="7" t="str">
        <f aca="false">HYPERLINK("https://mncourtfraud.com/file/MCRO_27-CR-21-12762_Order for Conditional Release_2021-09-29_20251126182418.pdf","MCRO_27-CR-21-12762_Order for Conditional Release_2021-09-29_20251126182418.pdf")</f>
        <v>MCRO_27-CR-21-12762_Order for Conditional Release_2021-09-29_20251126182418.pdf</v>
      </c>
      <c r="H1029" s="7" t="str">
        <f aca="false">HYPERLINK("https://mncourtfraud.com/file/8793bfb8eeebb59de729b22461b75a010eda532097214bf8285117449fae5b3c.png","8793bfb8eeebb59de729b22461b75a010eda532097214bf8285117449fae5b3c")</f>
        <v>8793bfb8eeebb59de729b22461b75a010eda532097214bf8285117449fae5b3c</v>
      </c>
      <c r="I1029" s="1" t="s">
        <v>3406</v>
      </c>
      <c r="L1029" s="2" t="s">
        <v>3412</v>
      </c>
      <c r="M1029" s="2" t="n">
        <v>104</v>
      </c>
      <c r="S1029" s="2" t="n">
        <v>6</v>
      </c>
      <c r="T1029" s="2" t="n">
        <v>4</v>
      </c>
    </row>
    <row r="1030" customFormat="false" ht="18.7" hidden="false" customHeight="true" outlineLevel="0" collapsed="false">
      <c r="A1030" s="1" t="n">
        <v>1029</v>
      </c>
      <c r="B1030" s="7" t="str">
        <f aca="false">HYPERLINK("https://mncourtfraud.com/file/27-CR-21-12762.pdf","27-CR-21-12762")</f>
        <v>27-CR-21-12762</v>
      </c>
      <c r="C1030" s="1" t="n">
        <v>1</v>
      </c>
      <c r="D1030" s="2" t="s">
        <v>12</v>
      </c>
      <c r="E1030" s="8" t="n">
        <v>44468</v>
      </c>
      <c r="F1030" s="2" t="s">
        <v>24</v>
      </c>
      <c r="G1030" s="7" t="str">
        <f aca="false">HYPERLINK("https://mncourtfraud.com/file/MCRO_27-CR-21-12762_Order for Conditional Release_2021-09-29_20251126182418.pdf","MCRO_27-CR-21-12762_Order for Conditional Release_2021-09-29_20251126182418.pdf")</f>
        <v>MCRO_27-CR-21-12762_Order for Conditional Release_2021-09-29_20251126182418.pdf</v>
      </c>
      <c r="H1030" s="7" t="str">
        <f aca="false">HYPERLINK("https://mncourtfraud.com/file/8c2e00c7a4e8974eff73eba397a59d5f5f25d249433535298973d70a9f79dec8.png","8c2e00c7a4e8974eff73eba397a59d5f5f25d249433535298973d70a9f79dec8")</f>
        <v>8c2e00c7a4e8974eff73eba397a59d5f5f25d249433535298973d70a9f79dec8</v>
      </c>
      <c r="I1030" s="1" t="s">
        <v>3406</v>
      </c>
      <c r="L1030" s="2" t="s">
        <v>3412</v>
      </c>
      <c r="M1030" s="2" t="n">
        <v>810</v>
      </c>
      <c r="S1030" s="2" t="n">
        <v>519</v>
      </c>
      <c r="T1030" s="2" t="n">
        <v>231</v>
      </c>
    </row>
    <row r="1031" customFormat="false" ht="18.7" hidden="false" customHeight="true" outlineLevel="0" collapsed="false">
      <c r="A1031" s="1" t="n">
        <v>1030</v>
      </c>
      <c r="B1031" s="7" t="str">
        <f aca="false">HYPERLINK("https://mncourtfraud.com/file/27-CR-21-12762.pdf","27-CR-21-12762")</f>
        <v>27-CR-21-12762</v>
      </c>
      <c r="C1031" s="1" t="n">
        <v>1</v>
      </c>
      <c r="D1031" s="2" t="s">
        <v>12</v>
      </c>
      <c r="E1031" s="8" t="n">
        <v>44468</v>
      </c>
      <c r="F1031" s="2" t="s">
        <v>24</v>
      </c>
      <c r="G1031" s="7" t="str">
        <f aca="false">HYPERLINK("https://mncourtfraud.com/file/MCRO_27-CR-21-12762_Order for Conditional Release_2021-09-29_20251126182418.pdf","MCRO_27-CR-21-12762_Order for Conditional Release_2021-09-29_20251126182418.pdf")</f>
        <v>MCRO_27-CR-21-12762_Order for Conditional Release_2021-09-29_20251126182418.pdf</v>
      </c>
      <c r="H1031" s="7" t="str">
        <f aca="false">HYPERLINK("https://mncourtfraud.com/file/a431b1b5f48186b4c98851d84352c1573e22c0e9b97117edbc0ad8603da3c307.png","a431b1b5f48186b4c98851d84352c1573e22c0e9b97117edbc0ad8603da3c307")</f>
        <v>a431b1b5f48186b4c98851d84352c1573e22c0e9b97117edbc0ad8603da3c307</v>
      </c>
      <c r="I1031" s="1" t="s">
        <v>3406</v>
      </c>
      <c r="L1031" s="2" t="s">
        <v>3412</v>
      </c>
      <c r="M1031" s="2" t="n">
        <v>157</v>
      </c>
      <c r="S1031" s="2" t="n">
        <v>7</v>
      </c>
      <c r="T1031" s="2" t="n">
        <v>284</v>
      </c>
    </row>
    <row r="1032" customFormat="false" ht="18.7" hidden="false" customHeight="true" outlineLevel="0" collapsed="false">
      <c r="A1032" s="1" t="n">
        <v>1031</v>
      </c>
      <c r="B1032" s="7" t="str">
        <f aca="false">HYPERLINK("https://mncourtfraud.com/file/27-CR-21-12762.pdf","27-CR-21-12762")</f>
        <v>27-CR-21-12762</v>
      </c>
      <c r="C1032" s="1" t="n">
        <v>1</v>
      </c>
      <c r="D1032" s="2" t="s">
        <v>12</v>
      </c>
      <c r="E1032" s="8" t="n">
        <v>44468</v>
      </c>
      <c r="F1032" s="2" t="s">
        <v>24</v>
      </c>
      <c r="G1032" s="7" t="str">
        <f aca="false">HYPERLINK("https://mncourtfraud.com/file/MCRO_27-CR-21-12762_Order for Conditional Release_2021-09-29_20251126182418.pdf","MCRO_27-CR-21-12762_Order for Conditional Release_2021-09-29_20251126182418.pdf")</f>
        <v>MCRO_27-CR-21-12762_Order for Conditional Release_2021-09-29_20251126182418.pdf</v>
      </c>
      <c r="H1032" s="7" t="str">
        <f aca="false">HYPERLINK("https://mncourtfraud.com/file/ac369f378e3fbed88e7c1c71d7e27d3af59d79c8d2f8338a6182f69d0e17a2ef.cid","ac369f378e3fbed88e7c1c71d7e27d3af59d79c8d2f8338a6182f69d0e17a2ef")</f>
        <v>ac369f378e3fbed88e7c1c71d7e27d3af59d79c8d2f8338a6182f69d0e17a2ef</v>
      </c>
      <c r="I1032" s="1" t="s">
        <v>3431</v>
      </c>
      <c r="L1032" s="2" t="s">
        <v>3415</v>
      </c>
      <c r="M1032" s="2" t="n">
        <v>14113</v>
      </c>
    </row>
    <row r="1033" customFormat="false" ht="18.7" hidden="false" customHeight="true" outlineLevel="0" collapsed="false">
      <c r="A1033" s="1" t="n">
        <v>1032</v>
      </c>
      <c r="B1033" s="7" t="str">
        <f aca="false">HYPERLINK("https://mncourtfraud.com/file/27-CR-21-12762.pdf","27-CR-21-12762")</f>
        <v>27-CR-21-12762</v>
      </c>
      <c r="C1033" s="1" t="n">
        <v>1</v>
      </c>
      <c r="D1033" s="2" t="s">
        <v>12</v>
      </c>
      <c r="E1033" s="8" t="n">
        <v>44468</v>
      </c>
      <c r="F1033" s="2" t="s">
        <v>24</v>
      </c>
      <c r="G1033" s="7" t="str">
        <f aca="false">HYPERLINK("https://mncourtfraud.com/file/MCRO_27-CR-21-12762_Order for Conditional Release_2021-09-29_20251126182418.pdf","MCRO_27-CR-21-12762_Order for Conditional Release_2021-09-29_20251126182418.pdf")</f>
        <v>MCRO_27-CR-21-12762_Order for Conditional Release_2021-09-29_20251126182418.pdf</v>
      </c>
      <c r="H1033" s="7" t="str">
        <f aca="false">HYPERLINK("https://mncourtfraud.com/file/b1c38e97038ce898a189d377f1fa9f4b673ae497ef07cd779e6d54764f350895.cid","b1c38e97038ce898a189d377f1fa9f4b673ae497ef07cd779e6d54764f350895")</f>
        <v>b1c38e97038ce898a189d377f1fa9f4b673ae497ef07cd779e6d54764f350895</v>
      </c>
      <c r="I1033" s="1" t="s">
        <v>3431</v>
      </c>
      <c r="L1033" s="2" t="s">
        <v>3415</v>
      </c>
      <c r="M1033" s="2" t="n">
        <v>3783</v>
      </c>
    </row>
    <row r="1034" customFormat="false" ht="18.7" hidden="false" customHeight="true" outlineLevel="0" collapsed="false">
      <c r="A1034" s="1" t="n">
        <v>1033</v>
      </c>
      <c r="B1034" s="7" t="str">
        <f aca="false">HYPERLINK("https://mncourtfraud.com/file/27-CR-21-12762.pdf","27-CR-21-12762")</f>
        <v>27-CR-21-12762</v>
      </c>
      <c r="C1034" s="1" t="n">
        <v>1</v>
      </c>
      <c r="D1034" s="2" t="s">
        <v>12</v>
      </c>
      <c r="E1034" s="8" t="n">
        <v>44468</v>
      </c>
      <c r="F1034" s="2" t="s">
        <v>24</v>
      </c>
      <c r="G1034" s="7" t="str">
        <f aca="false">HYPERLINK("https://mncourtfraud.com/file/MCRO_27-CR-21-12762_Order for Conditional Release_2021-09-29_20251126182418.pdf","MCRO_27-CR-21-12762_Order for Conditional Release_2021-09-29_20251126182418.pdf")</f>
        <v>MCRO_27-CR-21-12762_Order for Conditional Release_2021-09-29_20251126182418.pdf</v>
      </c>
      <c r="H1034" s="7" t="str">
        <f aca="false">HYPERLINK("https://mncourtfraud.com/file/ba989ca65f54d43887ebbc930462a840e60360223cb0c16c223e7e9ed46afecb.cid","ba989ca65f54d43887ebbc930462a840e60360223cb0c16c223e7e9ed46afecb")</f>
        <v>ba989ca65f54d43887ebbc930462a840e60360223cb0c16c223e7e9ed46afecb</v>
      </c>
      <c r="I1034" s="1" t="s">
        <v>3431</v>
      </c>
      <c r="L1034" s="2" t="s">
        <v>3415</v>
      </c>
      <c r="M1034" s="2" t="n">
        <v>444</v>
      </c>
    </row>
    <row r="1035" customFormat="false" ht="18.7" hidden="false" customHeight="true" outlineLevel="0" collapsed="false">
      <c r="A1035" s="1" t="n">
        <v>1034</v>
      </c>
      <c r="B1035" s="7" t="str">
        <f aca="false">HYPERLINK("https://mncourtfraud.com/file/27-CR-21-12762.pdf","27-CR-21-12762")</f>
        <v>27-CR-21-12762</v>
      </c>
      <c r="C1035" s="1" t="n">
        <v>1</v>
      </c>
      <c r="D1035" s="2" t="s">
        <v>12</v>
      </c>
      <c r="E1035" s="8" t="n">
        <v>44468</v>
      </c>
      <c r="F1035" s="2" t="s">
        <v>24</v>
      </c>
      <c r="G1035" s="7" t="str">
        <f aca="false">HYPERLINK("https://mncourtfraud.com/file/MCRO_27-CR-21-12762_Order for Conditional Release_2021-09-29_20251126182418.pdf","MCRO_27-CR-21-12762_Order for Conditional Release_2021-09-29_20251126182418.pdf")</f>
        <v>MCRO_27-CR-21-12762_Order for Conditional Release_2021-09-29_20251126182418.pdf</v>
      </c>
      <c r="H1035" s="7" t="str">
        <f aca="false">HYPERLINK("https://mncourtfraud.com/file/db9c8118091788c7a0a30157e363f5dd281f7a35fb525fad58599ee6371079a5.cid","db9c8118091788c7a0a30157e363f5dd281f7a35fb525fad58599ee6371079a5")</f>
        <v>db9c8118091788c7a0a30157e363f5dd281f7a35fb525fad58599ee6371079a5</v>
      </c>
      <c r="I1035" s="1" t="s">
        <v>3431</v>
      </c>
      <c r="L1035" s="2" t="s">
        <v>3415</v>
      </c>
      <c r="M1035" s="2" t="n">
        <v>848</v>
      </c>
    </row>
    <row r="1036" customFormat="false" ht="18.7" hidden="false" customHeight="true" outlineLevel="0" collapsed="false">
      <c r="A1036" s="1" t="n">
        <v>1035</v>
      </c>
      <c r="B1036" s="7" t="str">
        <f aca="false">HYPERLINK("https://mncourtfraud.com/file/27-CR-21-12762.pdf","27-CR-21-12762")</f>
        <v>27-CR-21-12762</v>
      </c>
      <c r="C1036" s="1" t="n">
        <v>1</v>
      </c>
      <c r="D1036" s="2" t="s">
        <v>12</v>
      </c>
      <c r="E1036" s="8" t="n">
        <v>44468</v>
      </c>
      <c r="F1036" s="2" t="s">
        <v>24</v>
      </c>
      <c r="G1036" s="7" t="str">
        <f aca="false">HYPERLINK("https://mncourtfraud.com/file/MCRO_27-CR-21-12762_Order for Conditional Release_2021-09-29_20251126182418.pdf","MCRO_27-CR-21-12762_Order for Conditional Release_2021-09-29_20251126182418.pdf")</f>
        <v>MCRO_27-CR-21-12762_Order for Conditional Release_2021-09-29_20251126182418.pdf</v>
      </c>
      <c r="H1036" s="7" t="str">
        <f aca="false">HYPERLINK("https://mncourtfraud.com/file/e04b4db843c4bf02679b586bdc06323c2777cf59091b22718210a1dd2a0badc7.png","e04b4db843c4bf02679b586bdc06323c2777cf59091b22718210a1dd2a0badc7")</f>
        <v>e04b4db843c4bf02679b586bdc06323c2777cf59091b22718210a1dd2a0badc7</v>
      </c>
      <c r="I1036" s="1" t="s">
        <v>3406</v>
      </c>
      <c r="L1036" s="2" t="s">
        <v>3412</v>
      </c>
      <c r="M1036" s="2" t="n">
        <v>199</v>
      </c>
      <c r="S1036" s="2" t="n">
        <v>7</v>
      </c>
      <c r="T1036" s="2" t="n">
        <v>347</v>
      </c>
    </row>
    <row r="1037" customFormat="false" ht="18.7" hidden="false" customHeight="true" outlineLevel="0" collapsed="false">
      <c r="A1037" s="1" t="n">
        <v>1036</v>
      </c>
      <c r="B1037" s="7" t="str">
        <f aca="false">HYPERLINK("https://mncourtfraud.com/file/27-CR-21-12762.pdf","27-CR-21-12762")</f>
        <v>27-CR-21-12762</v>
      </c>
      <c r="C1037" s="1" t="n">
        <v>1</v>
      </c>
      <c r="D1037" s="2" t="s">
        <v>12</v>
      </c>
      <c r="E1037" s="8" t="n">
        <v>44468</v>
      </c>
      <c r="F1037" s="2" t="s">
        <v>24</v>
      </c>
      <c r="G1037" s="7" t="str">
        <f aca="false">HYPERLINK("https://mncourtfraud.com/file/MCRO_27-CR-21-12762_Order for Conditional Release_2021-09-29_20251126182418.pdf","MCRO_27-CR-21-12762_Order for Conditional Release_2021-09-29_20251126182418.pdf")</f>
        <v>MCRO_27-CR-21-12762_Order for Conditional Release_2021-09-29_20251126182418.pdf</v>
      </c>
      <c r="H1037" s="7" t="str">
        <f aca="false">HYPERLINK("https://mncourtfraud.com/file/edbae421bba147262ba26ef60780ca6dfd5bedce23be39a1f883da7c23dae35f.cid","edbae421bba147262ba26ef60780ca6dfd5bedce23be39a1f883da7c23dae35f")</f>
        <v>edbae421bba147262ba26ef60780ca6dfd5bedce23be39a1f883da7c23dae35f</v>
      </c>
      <c r="I1037" s="1" t="s">
        <v>3431</v>
      </c>
      <c r="L1037" s="2" t="s">
        <v>3415</v>
      </c>
      <c r="M1037" s="2" t="n">
        <v>21348</v>
      </c>
    </row>
    <row r="1038" customFormat="false" ht="18.7" hidden="false" customHeight="true" outlineLevel="0" collapsed="false">
      <c r="A1038" s="1" t="n">
        <v>1037</v>
      </c>
      <c r="B1038" s="7" t="str">
        <f aca="false">HYPERLINK("https://mncourtfraud.com/file/27-CR-21-12762.pdf","27-CR-21-12762")</f>
        <v>27-CR-21-12762</v>
      </c>
      <c r="C1038" s="1" t="n">
        <v>1</v>
      </c>
      <c r="D1038" s="2" t="s">
        <v>12</v>
      </c>
      <c r="E1038" s="8" t="n">
        <v>44468</v>
      </c>
      <c r="F1038" s="2" t="s">
        <v>24</v>
      </c>
      <c r="G1038" s="7" t="str">
        <f aca="false">HYPERLINK("https://mncourtfraud.com/file/MCRO_27-CR-21-12762_Order for Conditional Release_2021-09-29_20251126182418.pdf","MCRO_27-CR-21-12762_Order for Conditional Release_2021-09-29_20251126182418.pdf")</f>
        <v>MCRO_27-CR-21-12762_Order for Conditional Release_2021-09-29_20251126182418.pdf</v>
      </c>
      <c r="H1038" s="7" t="str">
        <f aca="false">HYPERLINK("https://mncourtfraud.com/file/efd944d517e9b552a77a910c5203f04540cf1249b7304a04f4907f542ec53c17.cid","efd944d517e9b552a77a910c5203f04540cf1249b7304a04f4907f542ec53c17")</f>
        <v>efd944d517e9b552a77a910c5203f04540cf1249b7304a04f4907f542ec53c17</v>
      </c>
      <c r="I1038" s="1" t="s">
        <v>3431</v>
      </c>
      <c r="L1038" s="2" t="s">
        <v>3415</v>
      </c>
      <c r="M1038" s="2" t="n">
        <v>5521</v>
      </c>
    </row>
    <row r="1039" customFormat="false" ht="18.7" hidden="false" customHeight="true" outlineLevel="0" collapsed="false">
      <c r="A1039" s="1" t="n">
        <v>1038</v>
      </c>
      <c r="B1039" s="7" t="str">
        <f aca="false">HYPERLINK("https://mncourtfraud.com/file/27-CR-21-12762.pdf","27-CR-21-12762")</f>
        <v>27-CR-21-12762</v>
      </c>
      <c r="C1039" s="1" t="n">
        <v>1</v>
      </c>
      <c r="D1039" s="2" t="s">
        <v>12</v>
      </c>
      <c r="E1039" s="8" t="n">
        <v>44468</v>
      </c>
      <c r="F1039" s="2" t="s">
        <v>24</v>
      </c>
      <c r="G1039" s="7" t="str">
        <f aca="false">HYPERLINK("https://mncourtfraud.com/file/MCRO_27-CR-21-12762_Order for Conditional Release_2021-09-29_20251126182418.pdf","MCRO_27-CR-21-12762_Order for Conditional Release_2021-09-29_20251126182418.pdf")</f>
        <v>MCRO_27-CR-21-12762_Order for Conditional Release_2021-09-29_20251126182418.pdf</v>
      </c>
      <c r="H1039" s="7" t="str">
        <f aca="false">HYPERLINK("https://mncourtfraud.com/file/fe1965a60cba51fe144ad80b55474d56106539ec2835ed039f2e68d2691deed0.cid","fe1965a60cba51fe144ad80b55474d56106539ec2835ed039f2e68d2691deed0")</f>
        <v>fe1965a60cba51fe144ad80b55474d56106539ec2835ed039f2e68d2691deed0</v>
      </c>
      <c r="I1039" s="1" t="s">
        <v>3431</v>
      </c>
      <c r="L1039" s="2" t="s">
        <v>3415</v>
      </c>
      <c r="M1039" s="2" t="n">
        <v>4323</v>
      </c>
    </row>
    <row r="1040" customFormat="false" ht="18.7" hidden="false" customHeight="true" outlineLevel="0" collapsed="false">
      <c r="A1040" s="1" t="n">
        <v>1039</v>
      </c>
      <c r="B1040" s="7" t="str">
        <f aca="false">HYPERLINK("https://mncourtfraud.com/file/27-CR-21-12762.pdf","27-CR-21-12762")</f>
        <v>27-CR-21-12762</v>
      </c>
      <c r="C1040" s="1" t="n">
        <v>1</v>
      </c>
      <c r="D1040" s="2" t="s">
        <v>12</v>
      </c>
      <c r="E1040" s="8" t="n">
        <v>44468</v>
      </c>
      <c r="F1040" s="2" t="s">
        <v>24</v>
      </c>
      <c r="G1040" s="7" t="str">
        <f aca="false">HYPERLINK("https://mncourtfraud.com/file/MCRO_27-CR-21-12762_Order for Conditional Release_2021-09-29_20251126182418.pdf","MCRO_27-CR-21-12762_Order for Conditional Release_2021-09-29_20251126182418.pdf")</f>
        <v>MCRO_27-CR-21-12762_Order for Conditional Release_2021-09-29_20251126182418.pdf</v>
      </c>
      <c r="H1040" s="7" t="str">
        <f aca="false">HYPERLINK("https://mncourtfraud.com/file/ff78f82f1ff3b9436a8d65df586b0bef19dd8fcf1b27941145ca7e723b37620b.cid","ff78f82f1ff3b9436a8d65df586b0bef19dd8fcf1b27941145ca7e723b37620b")</f>
        <v>ff78f82f1ff3b9436a8d65df586b0bef19dd8fcf1b27941145ca7e723b37620b</v>
      </c>
      <c r="I1040" s="1" t="s">
        <v>3431</v>
      </c>
      <c r="L1040" s="2" t="s">
        <v>3415</v>
      </c>
      <c r="M1040" s="2" t="n">
        <v>339</v>
      </c>
    </row>
    <row r="1041" customFormat="false" ht="18.7" hidden="false" customHeight="true" outlineLevel="0" collapsed="false">
      <c r="A1041" s="1" t="n">
        <v>1040</v>
      </c>
      <c r="B1041" s="7" t="str">
        <f aca="false">HYPERLINK("https://mncourtfraud.com/file/27-CR-21-12762.pdf","27-CR-21-12762")</f>
        <v>27-CR-21-12762</v>
      </c>
      <c r="C1041" s="1" t="n">
        <v>1</v>
      </c>
      <c r="D1041" s="2" t="s">
        <v>12</v>
      </c>
      <c r="E1041" s="8" t="n">
        <v>44543</v>
      </c>
      <c r="F1041" s="2" t="s">
        <v>15</v>
      </c>
      <c r="G1041" s="7" t="str">
        <f aca="false">HYPERLINK("https://mncourtfraud.com/file/MCRO_27-CR-21-12762_Order-Evaluation for Competency to Proceed (Rule 20.01)_2021-12-13_20251126182440.pdf","MCRO_27-CR-21-12762_Order-Evaluation for Competency to Proceed (Rule 20.01)_2021-12-13_20251126182440.pdf")</f>
        <v>MCRO_27-CR-21-12762_Order-Evaluation for Competency to Proceed (Rule 20.01)_2021-12-13_20251126182440.pdf</v>
      </c>
      <c r="H1041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1041" s="1" t="s">
        <v>3413</v>
      </c>
      <c r="J1041" s="2" t="s">
        <v>3423</v>
      </c>
      <c r="K1041" s="2" t="s">
        <v>3423</v>
      </c>
      <c r="L1041" s="2" t="s">
        <v>3415</v>
      </c>
      <c r="M1041" s="2" t="n">
        <v>11088</v>
      </c>
    </row>
    <row r="1042" customFormat="false" ht="18.7" hidden="false" customHeight="true" outlineLevel="0" collapsed="false">
      <c r="A1042" s="1" t="n">
        <v>1041</v>
      </c>
      <c r="B1042" s="7" t="str">
        <f aca="false">HYPERLINK("https://mncourtfraud.com/file/27-CR-21-12762.pdf","27-CR-21-12762")</f>
        <v>27-CR-21-12762</v>
      </c>
      <c r="C1042" s="1" t="n">
        <v>1</v>
      </c>
      <c r="D1042" s="2" t="s">
        <v>12</v>
      </c>
      <c r="E1042" s="8" t="n">
        <v>44543</v>
      </c>
      <c r="F1042" s="2" t="s">
        <v>15</v>
      </c>
      <c r="G1042" s="7" t="str">
        <f aca="false">HYPERLINK("https://mncourtfraud.com/file/MCRO_27-CR-21-12762_Order-Evaluation for Competency to Proceed (Rule 20.01)_2021-12-13_20251126182440.pdf","MCRO_27-CR-21-12762_Order-Evaluation for Competency to Proceed (Rule 20.01)_2021-12-13_20251126182440.pdf")</f>
        <v>MCRO_27-CR-21-12762_Order-Evaluation for Competency to Proceed (Rule 20.01)_2021-12-13_20251126182440.pdf</v>
      </c>
      <c r="H1042" s="7" t="str">
        <f aca="false">HYPERLINK("https://mncourtfraud.com/file/22be6394304ce5b678311fefb19c39c8cb0a49d25f23150f1efe21ad14b99c7b.ttf","22be6394304ce5b678311fefb19c39c8cb0a49d25f23150f1efe21ad14b99c7b")</f>
        <v>22be6394304ce5b678311fefb19c39c8cb0a49d25f23150f1efe21ad14b99c7b</v>
      </c>
      <c r="I1042" s="1" t="s">
        <v>3413</v>
      </c>
      <c r="J1042" s="2" t="s">
        <v>3421</v>
      </c>
      <c r="K1042" s="2" t="s">
        <v>3421</v>
      </c>
      <c r="L1042" s="2" t="s">
        <v>3415</v>
      </c>
      <c r="M1042" s="2" t="n">
        <v>117192</v>
      </c>
    </row>
    <row r="1043" customFormat="false" ht="18.7" hidden="false" customHeight="true" outlineLevel="0" collapsed="false">
      <c r="A1043" s="1" t="n">
        <v>1042</v>
      </c>
      <c r="B1043" s="7" t="str">
        <f aca="false">HYPERLINK("https://mncourtfraud.com/file/27-CR-21-12762.pdf","27-CR-21-12762")</f>
        <v>27-CR-21-12762</v>
      </c>
      <c r="C1043" s="1" t="n">
        <v>1</v>
      </c>
      <c r="D1043" s="2" t="s">
        <v>12</v>
      </c>
      <c r="E1043" s="8" t="n">
        <v>44543</v>
      </c>
      <c r="F1043" s="2" t="s">
        <v>15</v>
      </c>
      <c r="G1043" s="7" t="str">
        <f aca="false">HYPERLINK("https://mncourtfraud.com/file/MCRO_27-CR-21-12762_Order-Evaluation for Competency to Proceed (Rule 20.01)_2021-12-13_20251126182440.pdf","MCRO_27-CR-21-12762_Order-Evaluation for Competency to Proceed (Rule 20.01)_2021-12-13_20251126182440.pdf")</f>
        <v>MCRO_27-CR-21-12762_Order-Evaluation for Competency to Proceed (Rule 20.01)_2021-12-13_20251126182440.pdf</v>
      </c>
      <c r="H1043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1043" s="1" t="s">
        <v>3413</v>
      </c>
      <c r="J1043" s="2" t="s">
        <v>3424</v>
      </c>
      <c r="K1043" s="2" t="s">
        <v>3424</v>
      </c>
      <c r="L1043" s="2" t="s">
        <v>3415</v>
      </c>
      <c r="M1043" s="2" t="n">
        <v>14252</v>
      </c>
    </row>
    <row r="1044" customFormat="false" ht="18.7" hidden="false" customHeight="true" outlineLevel="0" collapsed="false">
      <c r="A1044" s="1" t="n">
        <v>1043</v>
      </c>
      <c r="B1044" s="7" t="str">
        <f aca="false">HYPERLINK("https://mncourtfraud.com/file/27-CR-21-12762.pdf","27-CR-21-12762")</f>
        <v>27-CR-21-12762</v>
      </c>
      <c r="C1044" s="1" t="n">
        <v>1</v>
      </c>
      <c r="D1044" s="2" t="s">
        <v>12</v>
      </c>
      <c r="E1044" s="8" t="n">
        <v>44543</v>
      </c>
      <c r="F1044" s="2" t="s">
        <v>15</v>
      </c>
      <c r="G1044" s="7" t="str">
        <f aca="false">HYPERLINK("https://mncourtfraud.com/file/MCRO_27-CR-21-12762_Order-Evaluation for Competency to Proceed (Rule 20.01)_2021-12-13_20251126182440.pdf","MCRO_27-CR-21-12762_Order-Evaluation for Competency to Proceed (Rule 20.01)_2021-12-13_20251126182440.pdf")</f>
        <v>MCRO_27-CR-21-12762_Order-Evaluation for Competency to Proceed (Rule 20.01)_2021-12-13_20251126182440.pdf</v>
      </c>
      <c r="H1044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044" s="1" t="s">
        <v>3406</v>
      </c>
      <c r="K1044" s="2" t="s">
        <v>3420</v>
      </c>
      <c r="L1044" s="2" t="s">
        <v>3408</v>
      </c>
      <c r="M1044" s="2" t="n">
        <v>7306</v>
      </c>
      <c r="O1044" s="2" t="s">
        <v>3409</v>
      </c>
      <c r="P1044" s="2" t="s">
        <v>3410</v>
      </c>
      <c r="S1044" s="2" t="n">
        <v>319</v>
      </c>
      <c r="T1044" s="2" t="n">
        <v>105</v>
      </c>
    </row>
    <row r="1045" customFormat="false" ht="18.7" hidden="false" customHeight="true" outlineLevel="0" collapsed="false">
      <c r="A1045" s="1" t="n">
        <v>1044</v>
      </c>
      <c r="B1045" s="7" t="str">
        <f aca="false">HYPERLINK("https://mncourtfraud.com/file/27-CR-21-12762.pdf","27-CR-21-12762")</f>
        <v>27-CR-21-12762</v>
      </c>
      <c r="C1045" s="1" t="n">
        <v>1</v>
      </c>
      <c r="D1045" s="2" t="s">
        <v>12</v>
      </c>
      <c r="E1045" s="8" t="n">
        <v>44543</v>
      </c>
      <c r="F1045" s="2" t="s">
        <v>15</v>
      </c>
      <c r="G1045" s="7" t="str">
        <f aca="false">HYPERLINK("https://mncourtfraud.com/file/MCRO_27-CR-21-12762_Order-Evaluation for Competency to Proceed (Rule 20.01)_2021-12-13_20251126182440.pdf","MCRO_27-CR-21-12762_Order-Evaluation for Competency to Proceed (Rule 20.01)_2021-12-13_20251126182440.pdf")</f>
        <v>MCRO_27-CR-21-12762_Order-Evaluation for Competency to Proceed (Rule 20.01)_2021-12-13_20251126182440.pdf</v>
      </c>
      <c r="H1045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045" s="1" t="s">
        <v>3406</v>
      </c>
      <c r="K1045" s="2" t="s">
        <v>3425</v>
      </c>
      <c r="L1045" s="2" t="s">
        <v>3408</v>
      </c>
      <c r="M1045" s="2" t="n">
        <v>21225</v>
      </c>
      <c r="O1045" s="2" t="s">
        <v>3409</v>
      </c>
      <c r="P1045" s="2" t="s">
        <v>3410</v>
      </c>
      <c r="S1045" s="2" t="n">
        <v>319</v>
      </c>
      <c r="T1045" s="2" t="n">
        <v>105</v>
      </c>
    </row>
    <row r="1046" customFormat="false" ht="18.7" hidden="false" customHeight="true" outlineLevel="0" collapsed="false">
      <c r="A1046" s="1" t="n">
        <v>1045</v>
      </c>
      <c r="B1046" s="7" t="str">
        <f aca="false">HYPERLINK("https://mncourtfraud.com/file/27-CR-21-12762.pdf","27-CR-21-12762")</f>
        <v>27-CR-21-12762</v>
      </c>
      <c r="C1046" s="1" t="n">
        <v>1</v>
      </c>
      <c r="D1046" s="2" t="s">
        <v>12</v>
      </c>
      <c r="E1046" s="8" t="n">
        <v>44543</v>
      </c>
      <c r="F1046" s="2" t="s">
        <v>15</v>
      </c>
      <c r="G1046" s="7" t="str">
        <f aca="false">HYPERLINK("https://mncourtfraud.com/file/MCRO_27-CR-21-12762_Order-Evaluation for Competency to Proceed (Rule 20.01)_2021-12-13_20251126182440.pdf","MCRO_27-CR-21-12762_Order-Evaluation for Competency to Proceed (Rule 20.01)_2021-12-13_20251126182440.pdf")</f>
        <v>MCRO_27-CR-21-12762_Order-Evaluation for Competency to Proceed (Rule 20.01)_2021-12-13_20251126182440.pdf</v>
      </c>
      <c r="H1046" s="7" t="str">
        <f aca="false">HYPERLINK("https://mncourtfraud.com/file/f942eca43ffd6bdbf3ee942fee873a73c8baea7707298295b91918b6d8b6d6ee.ttf","f942eca43ffd6bdbf3ee942fee873a73c8baea7707298295b91918b6d8b6d6ee")</f>
        <v>f942eca43ffd6bdbf3ee942fee873a73c8baea7707298295b91918b6d8b6d6ee</v>
      </c>
      <c r="I1046" s="1" t="s">
        <v>3413</v>
      </c>
      <c r="J1046" s="2" t="s">
        <v>3422</v>
      </c>
      <c r="K1046" s="2" t="s">
        <v>3422</v>
      </c>
      <c r="L1046" s="2" t="s">
        <v>3415</v>
      </c>
      <c r="M1046" s="2" t="n">
        <v>125444</v>
      </c>
    </row>
    <row r="1047" customFormat="false" ht="18.7" hidden="false" customHeight="true" outlineLevel="0" collapsed="false">
      <c r="A1047" s="1" t="n">
        <v>1046</v>
      </c>
      <c r="B1047" s="7" t="str">
        <f aca="false">HYPERLINK("https://mncourtfraud.com/file/27-CR-21-12762.pdf","27-CR-21-12762")</f>
        <v>27-CR-21-12762</v>
      </c>
      <c r="C1047" s="1" t="n">
        <v>1</v>
      </c>
      <c r="D1047" s="2" t="s">
        <v>12</v>
      </c>
      <c r="E1047" s="8" t="n">
        <v>44558</v>
      </c>
      <c r="F1047" s="2" t="s">
        <v>15</v>
      </c>
      <c r="G1047" s="7" t="str">
        <f aca="false">HYPERLINK("https://mncourtfraud.com/file/MCRO_27-CR-21-12762_Order-Evaluation for Competency to Proceed (Rule 20.01)_2021-12-28_20251126182449.pdf","MCRO_27-CR-21-12762_Order-Evaluation for Competency to Proceed (Rule 20.01)_2021-12-28_20251126182449.pdf")</f>
        <v>MCRO_27-CR-21-12762_Order-Evaluation for Competency to Proceed (Rule 20.01)_2021-12-28_20251126182449.pdf</v>
      </c>
      <c r="H1047" s="7" t="str">
        <f aca="false">HYPERLINK("https://mncourtfraud.com/file/30973200687ca744fd6956346b53015d16a8c576f62b12ad6ca92161d9a619cd.png","30973200687ca744fd6956346b53015d16a8c576f62b12ad6ca92161d9a619cd")</f>
        <v>30973200687ca744fd6956346b53015d16a8c576f62b12ad6ca92161d9a619cd</v>
      </c>
      <c r="I1047" s="1" t="s">
        <v>3406</v>
      </c>
      <c r="L1047" s="2" t="s">
        <v>3412</v>
      </c>
      <c r="M1047" s="2" t="n">
        <v>130982</v>
      </c>
      <c r="S1047" s="2" t="n">
        <v>2550</v>
      </c>
      <c r="T1047" s="2" t="n">
        <v>3300</v>
      </c>
    </row>
    <row r="1048" customFormat="false" ht="18.7" hidden="false" customHeight="true" outlineLevel="0" collapsed="false">
      <c r="A1048" s="1" t="n">
        <v>1047</v>
      </c>
      <c r="B1048" s="7" t="str">
        <f aca="false">HYPERLINK("https://mncourtfraud.com/file/27-CR-21-12762.pdf","27-CR-21-12762")</f>
        <v>27-CR-21-12762</v>
      </c>
      <c r="C1048" s="1" t="n">
        <v>1</v>
      </c>
      <c r="D1048" s="2" t="s">
        <v>12</v>
      </c>
      <c r="E1048" s="8" t="n">
        <v>44558</v>
      </c>
      <c r="F1048" s="2" t="s">
        <v>15</v>
      </c>
      <c r="G1048" s="7" t="str">
        <f aca="false">HYPERLINK("https://mncourtfraud.com/file/MCRO_27-CR-21-12762_Order-Evaluation for Competency to Proceed (Rule 20.01)_2021-12-28_20251126182449.pdf","MCRO_27-CR-21-12762_Order-Evaluation for Competency to Proceed (Rule 20.01)_2021-12-28_20251126182449.pdf")</f>
        <v>MCRO_27-CR-21-12762_Order-Evaluation for Competency to Proceed (Rule 20.01)_2021-12-28_20251126182449.pdf</v>
      </c>
      <c r="H1048" s="7" t="str">
        <f aca="false">HYPERLINK("https://mncourtfraud.com/file/33e07e705dcd04c909ad568b9345e3b659f7c81d702cfa47698fe6bf31ece8ac.ttf","33e07e705dcd04c909ad568b9345e3b659f7c81d702cfa47698fe6bf31ece8ac")</f>
        <v>33e07e705dcd04c909ad568b9345e3b659f7c81d702cfa47698fe6bf31ece8ac</v>
      </c>
      <c r="I1048" s="1" t="s">
        <v>3413</v>
      </c>
      <c r="L1048" s="2" t="s">
        <v>3415</v>
      </c>
      <c r="M1048" s="2" t="n">
        <v>333576</v>
      </c>
    </row>
    <row r="1049" customFormat="false" ht="18.7" hidden="false" customHeight="true" outlineLevel="0" collapsed="false">
      <c r="A1049" s="1" t="n">
        <v>1048</v>
      </c>
      <c r="B1049" s="7" t="str">
        <f aca="false">HYPERLINK("https://mncourtfraud.com/file/27-CR-21-12762.pdf","27-CR-21-12762")</f>
        <v>27-CR-21-12762</v>
      </c>
      <c r="C1049" s="1" t="n">
        <v>1</v>
      </c>
      <c r="D1049" s="2" t="s">
        <v>12</v>
      </c>
      <c r="E1049" s="8" t="n">
        <v>44558</v>
      </c>
      <c r="F1049" s="2" t="s">
        <v>15</v>
      </c>
      <c r="G1049" s="7" t="str">
        <f aca="false">HYPERLINK("https://mncourtfraud.com/file/MCRO_27-CR-21-12762_Order-Evaluation for Competency to Proceed (Rule 20.01)_2021-12-28_20251126182449.pdf","MCRO_27-CR-21-12762_Order-Evaluation for Competency to Proceed (Rule 20.01)_2021-12-28_20251126182449.pdf")</f>
        <v>MCRO_27-CR-21-12762_Order-Evaluation for Competency to Proceed (Rule 20.01)_2021-12-28_20251126182449.pdf</v>
      </c>
      <c r="H1049" s="7" t="str">
        <f aca="false">HYPERLINK("https://mncourtfraud.com/file/765ddd18ba213a92b20fc775daa28b85acadb681655721e30f86b72e8f9dabbf.png","765ddd18ba213a92b20fc775daa28b85acadb681655721e30f86b72e8f9dabbf")</f>
        <v>765ddd18ba213a92b20fc775daa28b85acadb681655721e30f86b72e8f9dabbf</v>
      </c>
      <c r="I1049" s="1" t="s">
        <v>3406</v>
      </c>
      <c r="L1049" s="2" t="s">
        <v>3412</v>
      </c>
      <c r="M1049" s="2" t="n">
        <v>161715</v>
      </c>
      <c r="S1049" s="2" t="n">
        <v>2550</v>
      </c>
      <c r="T1049" s="2" t="n">
        <v>3300</v>
      </c>
    </row>
    <row r="1050" customFormat="false" ht="18.7" hidden="false" customHeight="true" outlineLevel="0" collapsed="false">
      <c r="A1050" s="1" t="n">
        <v>1049</v>
      </c>
      <c r="B1050" s="7" t="str">
        <f aca="false">HYPERLINK("https://mncourtfraud.com/file/27-CR-21-12762.pdf","27-CR-21-12762")</f>
        <v>27-CR-21-12762</v>
      </c>
      <c r="C1050" s="1" t="n">
        <v>1</v>
      </c>
      <c r="D1050" s="2" t="s">
        <v>12</v>
      </c>
      <c r="E1050" s="8" t="n">
        <v>44558</v>
      </c>
      <c r="F1050" s="2" t="s">
        <v>15</v>
      </c>
      <c r="G1050" s="7" t="str">
        <f aca="false">HYPERLINK("https://mncourtfraud.com/file/MCRO_27-CR-21-12762_Order-Evaluation for Competency to Proceed (Rule 20.01)_2021-12-28_20251126182449.pdf","MCRO_27-CR-21-12762_Order-Evaluation for Competency to Proceed (Rule 20.01)_2021-12-28_20251126182449.pdf")</f>
        <v>MCRO_27-CR-21-12762_Order-Evaluation for Competency to Proceed (Rule 20.01)_2021-12-28_20251126182449.pdf</v>
      </c>
      <c r="H1050" s="7" t="str">
        <f aca="false">HYPERLINK("https://mncourtfraud.com/file/fce4da0092586d7a324bdf14d0e526b59f622003e1026ae22aa22fea9d3457b2.png","fce4da0092586d7a324bdf14d0e526b59f622003e1026ae22aa22fea9d3457b2")</f>
        <v>fce4da0092586d7a324bdf14d0e526b59f622003e1026ae22aa22fea9d3457b2</v>
      </c>
      <c r="I1050" s="1" t="s">
        <v>3406</v>
      </c>
      <c r="L1050" s="2" t="s">
        <v>3412</v>
      </c>
      <c r="M1050" s="2" t="n">
        <v>98422</v>
      </c>
      <c r="S1050" s="2" t="n">
        <v>2550</v>
      </c>
      <c r="T1050" s="2" t="n">
        <v>3300</v>
      </c>
    </row>
    <row r="1051" customFormat="false" ht="18.7" hidden="false" customHeight="true" outlineLevel="0" collapsed="false">
      <c r="A1051" s="1" t="n">
        <v>1050</v>
      </c>
      <c r="B1051" s="7" t="str">
        <f aca="false">HYPERLINK("https://mncourtfraud.com/file/27-CR-21-12762.pdf","27-CR-21-12762")</f>
        <v>27-CR-21-12762</v>
      </c>
      <c r="C1051" s="1" t="n">
        <v>1</v>
      </c>
      <c r="D1051" s="2" t="s">
        <v>12</v>
      </c>
      <c r="E1051" s="8" t="n">
        <v>44593</v>
      </c>
      <c r="F1051" s="2" t="s">
        <v>19</v>
      </c>
      <c r="G1051" s="7" t="str">
        <f aca="false">HYPERLINK("https://mncourtfraud.com/file/MCRO_27-CR-21-12762_Findings and Order_2022-02-01_20251126182314.pdf","MCRO_27-CR-21-12762_Findings and Order_2022-02-01_20251126182314.pdf")</f>
        <v>MCRO_27-CR-21-12762_Findings and Order_2022-02-01_20251126182314.pdf</v>
      </c>
      <c r="H1051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1051" s="1" t="s">
        <v>3413</v>
      </c>
      <c r="J1051" s="2" t="s">
        <v>3426</v>
      </c>
      <c r="K1051" s="2" t="s">
        <v>3426</v>
      </c>
      <c r="L1051" s="2" t="s">
        <v>3415</v>
      </c>
      <c r="M1051" s="2" t="n">
        <v>74997</v>
      </c>
      <c r="N1051" s="2" t="s">
        <v>3427</v>
      </c>
    </row>
    <row r="1052" customFormat="false" ht="18.7" hidden="false" customHeight="true" outlineLevel="0" collapsed="false">
      <c r="A1052" s="1" t="n">
        <v>1051</v>
      </c>
      <c r="B1052" s="7" t="str">
        <f aca="false">HYPERLINK("https://mncourtfraud.com/file/27-CR-21-12762.pdf","27-CR-21-12762")</f>
        <v>27-CR-21-12762</v>
      </c>
      <c r="C1052" s="1" t="n">
        <v>1</v>
      </c>
      <c r="D1052" s="2" t="s">
        <v>12</v>
      </c>
      <c r="E1052" s="8" t="n">
        <v>44593</v>
      </c>
      <c r="F1052" s="2" t="s">
        <v>19</v>
      </c>
      <c r="G1052" s="7" t="str">
        <f aca="false">HYPERLINK("https://mncourtfraud.com/file/MCRO_27-CR-21-12762_Findings and Order_2022-02-01_20251126182314.pdf","MCRO_27-CR-21-12762_Findings and Order_2022-02-01_20251126182314.pdf")</f>
        <v>MCRO_27-CR-21-12762_Findings and Order_2022-02-01_20251126182314.pdf</v>
      </c>
      <c r="H1052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1052" s="1" t="s">
        <v>3428</v>
      </c>
      <c r="J1052" s="2" t="s">
        <v>3429</v>
      </c>
      <c r="K1052" s="2" t="s">
        <v>3429</v>
      </c>
      <c r="L1052" s="2" t="s">
        <v>3415</v>
      </c>
      <c r="M1052" s="2" t="n">
        <v>86093</v>
      </c>
    </row>
    <row r="1053" customFormat="false" ht="18.7" hidden="false" customHeight="true" outlineLevel="0" collapsed="false">
      <c r="A1053" s="1" t="n">
        <v>1052</v>
      </c>
      <c r="B1053" s="7" t="str">
        <f aca="false">HYPERLINK("https://mncourtfraud.com/file/27-CR-21-12762.pdf","27-CR-21-12762")</f>
        <v>27-CR-21-12762</v>
      </c>
      <c r="C1053" s="1" t="n">
        <v>1</v>
      </c>
      <c r="D1053" s="2" t="s">
        <v>12</v>
      </c>
      <c r="E1053" s="8" t="n">
        <v>44593</v>
      </c>
      <c r="F1053" s="2" t="s">
        <v>19</v>
      </c>
      <c r="G1053" s="7" t="str">
        <f aca="false">HYPERLINK("https://mncourtfraud.com/file/MCRO_27-CR-21-12762_Findings and Order_2022-02-01_20251126182314.pdf","MCRO_27-CR-21-12762_Findings and Order_2022-02-01_20251126182314.pdf")</f>
        <v>MCRO_27-CR-21-12762_Findings and Order_2022-02-01_20251126182314.pdf</v>
      </c>
      <c r="H1053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1053" s="1" t="s">
        <v>3413</v>
      </c>
      <c r="J1053" s="2" t="s">
        <v>3414</v>
      </c>
      <c r="K1053" s="2" t="s">
        <v>3414</v>
      </c>
      <c r="L1053" s="2" t="s">
        <v>3415</v>
      </c>
      <c r="M1053" s="2" t="n">
        <v>42332</v>
      </c>
    </row>
    <row r="1054" customFormat="false" ht="18.7" hidden="false" customHeight="true" outlineLevel="0" collapsed="false">
      <c r="A1054" s="1" t="n">
        <v>1053</v>
      </c>
      <c r="B1054" s="7" t="str">
        <f aca="false">HYPERLINK("https://mncourtfraud.com/file/27-CR-21-12762.pdf","27-CR-21-12762")</f>
        <v>27-CR-21-12762</v>
      </c>
      <c r="C1054" s="1" t="n">
        <v>1</v>
      </c>
      <c r="D1054" s="2" t="s">
        <v>12</v>
      </c>
      <c r="E1054" s="8" t="n">
        <v>44593</v>
      </c>
      <c r="F1054" s="2" t="s">
        <v>19</v>
      </c>
      <c r="G1054" s="7" t="str">
        <f aca="false">HYPERLINK("https://mncourtfraud.com/file/MCRO_27-CR-21-12762_Findings and Order_2022-02-01_20251126182314.pdf","MCRO_27-CR-21-12762_Findings and Order_2022-02-01_20251126182314.pdf")</f>
        <v>MCRO_27-CR-21-12762_Findings and Order_2022-02-01_20251126182314.pdf</v>
      </c>
      <c r="H1054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1054" s="1" t="s">
        <v>3413</v>
      </c>
      <c r="J1054" s="2" t="s">
        <v>3414</v>
      </c>
      <c r="K1054" s="2" t="s">
        <v>3414</v>
      </c>
      <c r="L1054" s="2" t="s">
        <v>3415</v>
      </c>
      <c r="M1054" s="2" t="n">
        <v>42332</v>
      </c>
    </row>
    <row r="1055" customFormat="false" ht="18.7" hidden="false" customHeight="true" outlineLevel="0" collapsed="false">
      <c r="A1055" s="1" t="n">
        <v>1054</v>
      </c>
      <c r="B1055" s="7" t="str">
        <f aca="false">HYPERLINK("https://mncourtfraud.com/file/27-CR-21-12762.pdf","27-CR-21-12762")</f>
        <v>27-CR-21-12762</v>
      </c>
      <c r="C1055" s="1" t="n">
        <v>1</v>
      </c>
      <c r="D1055" s="2" t="s">
        <v>12</v>
      </c>
      <c r="E1055" s="8" t="n">
        <v>44593</v>
      </c>
      <c r="F1055" s="2" t="s">
        <v>19</v>
      </c>
      <c r="G1055" s="7" t="str">
        <f aca="false">HYPERLINK("https://mncourtfraud.com/file/MCRO_27-CR-21-12762_Findings and Order_2022-02-01_20251126182314.pdf","MCRO_27-CR-21-12762_Findings and Order_2022-02-01_20251126182314.pdf")</f>
        <v>MCRO_27-CR-21-12762_Findings and Order_2022-02-01_20251126182314.pdf</v>
      </c>
      <c r="H1055" s="7" t="str">
        <f aca="false">HYPERLINK("https://mncourtfraud.com/file/d1e06f7a12c8d4ae1de62861dbfeadf4f6b52b1cfd6801e548bc1d08782c1451.ttf","d1e06f7a12c8d4ae1de62861dbfeadf4f6b52b1cfd6801e548bc1d08782c1451")</f>
        <v>d1e06f7a12c8d4ae1de62861dbfeadf4f6b52b1cfd6801e548bc1d08782c1451</v>
      </c>
      <c r="I1055" s="1" t="s">
        <v>3413</v>
      </c>
      <c r="J1055" s="2" t="s">
        <v>3414</v>
      </c>
      <c r="K1055" s="2" t="s">
        <v>3416</v>
      </c>
      <c r="L1055" s="2" t="s">
        <v>3415</v>
      </c>
      <c r="M1055" s="2" t="n">
        <v>28584</v>
      </c>
    </row>
    <row r="1056" customFormat="false" ht="18.7" hidden="false" customHeight="true" outlineLevel="0" collapsed="false">
      <c r="A1056" s="1" t="n">
        <v>1055</v>
      </c>
      <c r="B1056" s="7" t="str">
        <f aca="false">HYPERLINK("https://mncourtfraud.com/file/27-CR-21-12762.pdf","27-CR-21-12762")</f>
        <v>27-CR-21-12762</v>
      </c>
      <c r="C1056" s="1" t="n">
        <v>1</v>
      </c>
      <c r="D1056" s="2" t="s">
        <v>12</v>
      </c>
      <c r="E1056" s="8" t="n">
        <v>44593</v>
      </c>
      <c r="F1056" s="2" t="s">
        <v>19</v>
      </c>
      <c r="G1056" s="7" t="str">
        <f aca="false">HYPERLINK("https://mncourtfraud.com/file/MCRO_27-CR-21-12762_Findings and Order_2022-02-01_20251126182314.pdf","MCRO_27-CR-21-12762_Findings and Order_2022-02-01_20251126182314.pdf")</f>
        <v>MCRO_27-CR-21-12762_Findings and Order_2022-02-01_20251126182314.pdf</v>
      </c>
      <c r="H1056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1056" s="1" t="s">
        <v>3406</v>
      </c>
      <c r="K1056" s="2" t="s">
        <v>3430</v>
      </c>
      <c r="L1056" s="2" t="s">
        <v>3408</v>
      </c>
      <c r="M1056" s="2" t="n">
        <v>28069</v>
      </c>
      <c r="O1056" s="2" t="s">
        <v>3409</v>
      </c>
      <c r="P1056" s="2" t="s">
        <v>3410</v>
      </c>
      <c r="S1056" s="2" t="n">
        <v>448</v>
      </c>
      <c r="T1056" s="2" t="n">
        <v>128</v>
      </c>
    </row>
    <row r="1057" customFormat="false" ht="18.7" hidden="false" customHeight="true" outlineLevel="0" collapsed="false">
      <c r="A1057" s="1" t="n">
        <v>1056</v>
      </c>
      <c r="B1057" s="7" t="str">
        <f aca="false">HYPERLINK("https://mncourtfraud.com/file/27-CR-21-12762.pdf","27-CR-21-12762")</f>
        <v>27-CR-21-12762</v>
      </c>
      <c r="C1057" s="1" t="n">
        <v>1</v>
      </c>
      <c r="D1057" s="2" t="s">
        <v>12</v>
      </c>
      <c r="E1057" s="8" t="n">
        <v>44692</v>
      </c>
      <c r="F1057" s="2" t="s">
        <v>15</v>
      </c>
      <c r="G1057" s="7" t="str">
        <f aca="false">HYPERLINK("https://mncourtfraud.com/file/MCRO_27-CR-21-12762_Order-Evaluation for Competency to Proceed (Rule 20.01)_2022-05-11_20251126182457.pdf","MCRO_27-CR-21-12762_Order-Evaluation for Competency to Proceed (Rule 20.01)_2022-05-11_20251126182457.pdf")</f>
        <v>MCRO_27-CR-21-12762_Order-Evaluation for Competency to Proceed (Rule 20.01)_2022-05-11_20251126182457.pdf</v>
      </c>
      <c r="H1057" s="7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1057" s="1" t="s">
        <v>3406</v>
      </c>
      <c r="K1057" s="2" t="s">
        <v>3432</v>
      </c>
      <c r="L1057" s="2" t="s">
        <v>3408</v>
      </c>
      <c r="M1057" s="2" t="n">
        <v>21121</v>
      </c>
      <c r="O1057" s="2" t="s">
        <v>3409</v>
      </c>
      <c r="P1057" s="2" t="s">
        <v>3410</v>
      </c>
      <c r="S1057" s="2" t="n">
        <v>695</v>
      </c>
      <c r="T1057" s="2" t="n">
        <v>233</v>
      </c>
    </row>
    <row r="1058" customFormat="false" ht="18.7" hidden="false" customHeight="true" outlineLevel="0" collapsed="false">
      <c r="A1058" s="1" t="n">
        <v>1057</v>
      </c>
      <c r="B1058" s="7" t="str">
        <f aca="false">HYPERLINK("https://mncourtfraud.com/file/27-CR-21-12762.pdf","27-CR-21-12762")</f>
        <v>27-CR-21-12762</v>
      </c>
      <c r="C1058" s="1" t="n">
        <v>1</v>
      </c>
      <c r="D1058" s="2" t="s">
        <v>12</v>
      </c>
      <c r="E1058" s="8" t="n">
        <v>44692</v>
      </c>
      <c r="F1058" s="2" t="s">
        <v>15</v>
      </c>
      <c r="G1058" s="7" t="str">
        <f aca="false">HYPERLINK("https://mncourtfraud.com/file/MCRO_27-CR-21-12762_Order-Evaluation for Competency to Proceed (Rule 20.01)_2022-05-11_20251126182457.pdf","MCRO_27-CR-21-12762_Order-Evaluation for Competency to Proceed (Rule 20.01)_2022-05-11_20251126182457.pdf")</f>
        <v>MCRO_27-CR-21-12762_Order-Evaluation for Competency to Proceed (Rule 20.01)_2022-05-11_20251126182457.pdf</v>
      </c>
      <c r="H1058" s="7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1058" s="1" t="s">
        <v>3406</v>
      </c>
      <c r="K1058" s="2" t="s">
        <v>3433</v>
      </c>
      <c r="L1058" s="2" t="s">
        <v>3408</v>
      </c>
      <c r="M1058" s="2" t="n">
        <v>53838</v>
      </c>
      <c r="O1058" s="2" t="s">
        <v>3409</v>
      </c>
      <c r="P1058" s="2" t="s">
        <v>3410</v>
      </c>
      <c r="S1058" s="2" t="n">
        <v>695</v>
      </c>
      <c r="T1058" s="2" t="n">
        <v>233</v>
      </c>
    </row>
    <row r="1059" customFormat="false" ht="18.7" hidden="false" customHeight="true" outlineLevel="0" collapsed="false">
      <c r="A1059" s="1" t="n">
        <v>1058</v>
      </c>
      <c r="B1059" s="7" t="str">
        <f aca="false">HYPERLINK("https://mncourtfraud.com/file/27-CR-21-12762.pdf","27-CR-21-12762")</f>
        <v>27-CR-21-12762</v>
      </c>
      <c r="C1059" s="1" t="n">
        <v>1</v>
      </c>
      <c r="D1059" s="2" t="s">
        <v>12</v>
      </c>
      <c r="E1059" s="8" t="n">
        <v>44692</v>
      </c>
      <c r="F1059" s="2" t="s">
        <v>15</v>
      </c>
      <c r="G1059" s="7" t="str">
        <f aca="false">HYPERLINK("https://mncourtfraud.com/file/MCRO_27-CR-21-12762_Order-Evaluation for Competency to Proceed (Rule 20.01)_2022-05-11_20251126182457.pdf","MCRO_27-CR-21-12762_Order-Evaluation for Competency to Proceed (Rule 20.01)_2022-05-11_20251126182457.pdf")</f>
        <v>MCRO_27-CR-21-12762_Order-Evaluation for Competency to Proceed (Rule 20.01)_2022-05-11_20251126182457.pdf</v>
      </c>
      <c r="H1059" s="7" t="str">
        <f aca="false">HYPERLINK("https://mncourtfraud.com/file/322fe0e9595a4df4693edf307e5f8a42a470721d59f006a7b0e86def92125a58.ttf","322fe0e9595a4df4693edf307e5f8a42a470721d59f006a7b0e86def92125a58")</f>
        <v>322fe0e9595a4df4693edf307e5f8a42a470721d59f006a7b0e86def92125a58</v>
      </c>
      <c r="I1059" s="1" t="s">
        <v>3413</v>
      </c>
      <c r="J1059" s="2" t="s">
        <v>3434</v>
      </c>
      <c r="K1059" s="2" t="s">
        <v>3434</v>
      </c>
      <c r="L1059" s="2" t="s">
        <v>3415</v>
      </c>
      <c r="M1059" s="2" t="n">
        <v>46736</v>
      </c>
      <c r="N1059" s="2" t="s">
        <v>3435</v>
      </c>
    </row>
    <row r="1060" customFormat="false" ht="18.7" hidden="false" customHeight="true" outlineLevel="0" collapsed="false">
      <c r="A1060" s="1" t="n">
        <v>1059</v>
      </c>
      <c r="B1060" s="7" t="str">
        <f aca="false">HYPERLINK("https://mncourtfraud.com/file/27-CR-21-12762.pdf","27-CR-21-12762")</f>
        <v>27-CR-21-12762</v>
      </c>
      <c r="C1060" s="1" t="n">
        <v>1</v>
      </c>
      <c r="D1060" s="2" t="s">
        <v>12</v>
      </c>
      <c r="E1060" s="8" t="n">
        <v>44692</v>
      </c>
      <c r="F1060" s="2" t="s">
        <v>15</v>
      </c>
      <c r="G1060" s="7" t="str">
        <f aca="false">HYPERLINK("https://mncourtfraud.com/file/MCRO_27-CR-21-12762_Order-Evaluation for Competency to Proceed (Rule 20.01)_2022-05-11_20251126182457.pdf","MCRO_27-CR-21-12762_Order-Evaluation for Competency to Proceed (Rule 20.01)_2022-05-11_20251126182457.pdf")</f>
        <v>MCRO_27-CR-21-12762_Order-Evaluation for Competency to Proceed (Rule 20.01)_2022-05-11_20251126182457.pdf</v>
      </c>
      <c r="H1060" s="7" t="str">
        <f aca="false">HYPERLINK("https://mncourtfraud.com/file/32ebada21768d6238e03c647b5e5acdf6ce656f0735d59c3fb698ce40418a709.ttf","32ebada21768d6238e03c647b5e5acdf6ce656f0735d59c3fb698ce40418a709")</f>
        <v>32ebada21768d6238e03c647b5e5acdf6ce656f0735d59c3fb698ce40418a709</v>
      </c>
      <c r="I1060" s="1" t="s">
        <v>3413</v>
      </c>
      <c r="J1060" s="2" t="s">
        <v>3436</v>
      </c>
      <c r="K1060" s="2" t="s">
        <v>3436</v>
      </c>
      <c r="L1060" s="2" t="s">
        <v>3415</v>
      </c>
      <c r="M1060" s="2" t="n">
        <v>65744</v>
      </c>
      <c r="N1060" s="2" t="s">
        <v>3437</v>
      </c>
    </row>
    <row r="1061" customFormat="false" ht="18.7" hidden="false" customHeight="true" outlineLevel="0" collapsed="false">
      <c r="A1061" s="1" t="n">
        <v>1060</v>
      </c>
      <c r="B1061" s="7" t="str">
        <f aca="false">HYPERLINK("https://mncourtfraud.com/file/27-CR-21-12762.pdf","27-CR-21-12762")</f>
        <v>27-CR-21-12762</v>
      </c>
      <c r="C1061" s="1" t="n">
        <v>1</v>
      </c>
      <c r="D1061" s="2" t="s">
        <v>12</v>
      </c>
      <c r="E1061" s="8" t="n">
        <v>44692</v>
      </c>
      <c r="F1061" s="2" t="s">
        <v>15</v>
      </c>
      <c r="G1061" s="7" t="str">
        <f aca="false">HYPERLINK("https://mncourtfraud.com/file/MCRO_27-CR-21-12762_Order-Evaluation for Competency to Proceed (Rule 20.01)_2022-05-11_20251126182457.pdf","MCRO_27-CR-21-12762_Order-Evaluation for Competency to Proceed (Rule 20.01)_2022-05-11_20251126182457.pdf")</f>
        <v>MCRO_27-CR-21-12762_Order-Evaluation for Competency to Proceed (Rule 20.01)_2022-05-11_20251126182457.pdf</v>
      </c>
      <c r="H1061" s="7" t="str">
        <f aca="false">HYPERLINK("https://mncourtfraud.com/file/694dcb82a5515430b7fddfbf16881b942820c8c41fee3eea3505a20c7d4e41e6.ttf","694dcb82a5515430b7fddfbf16881b942820c8c41fee3eea3505a20c7d4e41e6")</f>
        <v>694dcb82a5515430b7fddfbf16881b942820c8c41fee3eea3505a20c7d4e41e6</v>
      </c>
      <c r="I1061" s="1" t="s">
        <v>3413</v>
      </c>
      <c r="J1061" s="2" t="s">
        <v>3438</v>
      </c>
      <c r="K1061" s="2" t="s">
        <v>3438</v>
      </c>
      <c r="L1061" s="2" t="s">
        <v>3415</v>
      </c>
      <c r="M1061" s="2" t="n">
        <v>72828</v>
      </c>
      <c r="N1061" s="2" t="s">
        <v>3439</v>
      </c>
    </row>
    <row r="1062" customFormat="false" ht="18.7" hidden="false" customHeight="true" outlineLevel="0" collapsed="false">
      <c r="A1062" s="1" t="n">
        <v>1061</v>
      </c>
      <c r="B1062" s="7" t="str">
        <f aca="false">HYPERLINK("https://mncourtfraud.com/file/27-CR-21-12762.pdf","27-CR-21-12762")</f>
        <v>27-CR-21-12762</v>
      </c>
      <c r="C1062" s="1" t="n">
        <v>1</v>
      </c>
      <c r="D1062" s="2" t="s">
        <v>12</v>
      </c>
      <c r="E1062" s="8" t="n">
        <v>44692</v>
      </c>
      <c r="F1062" s="2" t="s">
        <v>15</v>
      </c>
      <c r="G1062" s="7" t="str">
        <f aca="false">HYPERLINK("https://mncourtfraud.com/file/MCRO_27-CR-21-12762_Order-Evaluation for Competency to Proceed (Rule 20.01)_2022-05-11_20251126182457.pdf","MCRO_27-CR-21-12762_Order-Evaluation for Competency to Proceed (Rule 20.01)_2022-05-11_20251126182457.pdf")</f>
        <v>MCRO_27-CR-21-12762_Order-Evaluation for Competency to Proceed (Rule 20.01)_2022-05-11_20251126182457.pdf</v>
      </c>
      <c r="H1062" s="7" t="str">
        <f aca="false">HYPERLINK("https://mncourtfraud.com/file/87764021d6d62f7c396208d3f1fa8113e5ad5f90bd03c35e7200536389af4e6a.ttf","87764021d6d62f7c396208d3f1fa8113e5ad5f90bd03c35e7200536389af4e6a")</f>
        <v>87764021d6d62f7c396208d3f1fa8113e5ad5f90bd03c35e7200536389af4e6a</v>
      </c>
      <c r="I1062" s="1" t="s">
        <v>3413</v>
      </c>
      <c r="J1062" s="2" t="s">
        <v>3440</v>
      </c>
      <c r="K1062" s="2" t="s">
        <v>3440</v>
      </c>
      <c r="L1062" s="2" t="s">
        <v>3415</v>
      </c>
      <c r="M1062" s="2" t="n">
        <v>6280</v>
      </c>
      <c r="N1062" s="2" t="s">
        <v>3441</v>
      </c>
    </row>
    <row r="1063" customFormat="false" ht="18.7" hidden="false" customHeight="true" outlineLevel="0" collapsed="false">
      <c r="A1063" s="1" t="n">
        <v>1062</v>
      </c>
      <c r="B1063" s="7" t="str">
        <f aca="false">HYPERLINK("https://mncourtfraud.com/file/27-CR-21-12762.pdf","27-CR-21-12762")</f>
        <v>27-CR-21-12762</v>
      </c>
      <c r="C1063" s="1" t="n">
        <v>1</v>
      </c>
      <c r="D1063" s="2" t="s">
        <v>12</v>
      </c>
      <c r="E1063" s="8" t="n">
        <v>44692</v>
      </c>
      <c r="F1063" s="2" t="s">
        <v>15</v>
      </c>
      <c r="G1063" s="7" t="str">
        <f aca="false">HYPERLINK("https://mncourtfraud.com/file/MCRO_27-CR-21-12762_Order-Evaluation for Competency to Proceed (Rule 20.01)_2022-05-11_20251126182457.pdf","MCRO_27-CR-21-12762_Order-Evaluation for Competency to Proceed (Rule 20.01)_2022-05-11_20251126182457.pdf")</f>
        <v>MCRO_27-CR-21-12762_Order-Evaluation for Competency to Proceed (Rule 20.01)_2022-05-11_20251126182457.pdf</v>
      </c>
      <c r="H1063" s="7" t="str">
        <f aca="false">HYPERLINK("https://mncourtfraud.com/file/a1ad71f465be26cf6bb430c59ae6133d3c381ada339ba3c6b2eadf32a9b4096b.ttf","a1ad71f465be26cf6bb430c59ae6133d3c381ada339ba3c6b2eadf32a9b4096b")</f>
        <v>a1ad71f465be26cf6bb430c59ae6133d3c381ada339ba3c6b2eadf32a9b4096b</v>
      </c>
      <c r="I1063" s="1" t="s">
        <v>3413</v>
      </c>
      <c r="J1063" s="2" t="s">
        <v>3442</v>
      </c>
      <c r="K1063" s="2" t="s">
        <v>3442</v>
      </c>
      <c r="L1063" s="2" t="s">
        <v>3415</v>
      </c>
      <c r="M1063" s="2" t="n">
        <v>5988</v>
      </c>
      <c r="N1063" s="2" t="s">
        <v>3443</v>
      </c>
    </row>
    <row r="1064" customFormat="false" ht="18.7" hidden="false" customHeight="true" outlineLevel="0" collapsed="false">
      <c r="A1064" s="1" t="n">
        <v>1063</v>
      </c>
      <c r="B1064" s="7" t="str">
        <f aca="false">HYPERLINK("https://mncourtfraud.com/file/27-CR-21-12762.pdf","27-CR-21-12762")</f>
        <v>27-CR-21-12762</v>
      </c>
      <c r="C1064" s="1" t="n">
        <v>1</v>
      </c>
      <c r="D1064" s="2" t="s">
        <v>12</v>
      </c>
      <c r="E1064" s="8" t="n">
        <v>44692</v>
      </c>
      <c r="F1064" s="2" t="s">
        <v>15</v>
      </c>
      <c r="G1064" s="7" t="str">
        <f aca="false">HYPERLINK("https://mncourtfraud.com/file/MCRO_27-CR-21-12762_Order-Evaluation for Competency to Proceed (Rule 20.01)_2022-05-11_20251126182457.pdf","MCRO_27-CR-21-12762_Order-Evaluation for Competency to Proceed (Rule 20.01)_2022-05-11_20251126182457.pdf")</f>
        <v>MCRO_27-CR-21-12762_Order-Evaluation for Competency to Proceed (Rule 20.01)_2022-05-11_20251126182457.pdf</v>
      </c>
      <c r="H1064" s="7" t="str">
        <f aca="false">HYPERLINK("https://mncourtfraud.com/file/e1befe23dc5d05be4c8e965e6fc9e74e95400600e0da0c86dd389645355f3ad1.ttf","e1befe23dc5d05be4c8e965e6fc9e74e95400600e0da0c86dd389645355f3ad1")</f>
        <v>e1befe23dc5d05be4c8e965e6fc9e74e95400600e0da0c86dd389645355f3ad1</v>
      </c>
      <c r="I1064" s="1" t="s">
        <v>3413</v>
      </c>
      <c r="J1064" s="2" t="s">
        <v>3444</v>
      </c>
      <c r="K1064" s="2" t="s">
        <v>3444</v>
      </c>
      <c r="L1064" s="2" t="s">
        <v>3415</v>
      </c>
      <c r="M1064" s="2" t="n">
        <v>94308</v>
      </c>
      <c r="N1064" s="2" t="s">
        <v>3445</v>
      </c>
    </row>
    <row r="1065" customFormat="false" ht="18.7" hidden="false" customHeight="true" outlineLevel="0" collapsed="false">
      <c r="A1065" s="1" t="n">
        <v>1064</v>
      </c>
      <c r="B1065" s="7" t="str">
        <f aca="false">HYPERLINK("https://mncourtfraud.com/file/27-CR-21-12762.pdf","27-CR-21-12762")</f>
        <v>27-CR-21-12762</v>
      </c>
      <c r="C1065" s="1" t="n">
        <v>1</v>
      </c>
      <c r="D1065" s="2" t="s">
        <v>12</v>
      </c>
      <c r="E1065" s="8" t="n">
        <v>44895</v>
      </c>
      <c r="F1065" s="2" t="s">
        <v>15</v>
      </c>
      <c r="G1065" s="7" t="str">
        <f aca="false">HYPERLINK("https://mncourtfraud.com/file/MCRO_27-CR-21-12762_Order-Evaluation for Competency to Proceed (Rule 20.01)_2022-11-30_20251126182506.pdf","MCRO_27-CR-21-12762_Order-Evaluation for Competency to Proceed (Rule 20.01)_2022-11-30_20251126182506.pdf")</f>
        <v>MCRO_27-CR-21-12762_Order-Evaluation for Competency to Proceed (Rule 20.01)_2022-11-30_20251126182506.pdf</v>
      </c>
      <c r="H1065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1065" s="1" t="s">
        <v>3413</v>
      </c>
      <c r="J1065" s="2" t="s">
        <v>3423</v>
      </c>
      <c r="K1065" s="2" t="s">
        <v>3423</v>
      </c>
      <c r="L1065" s="2" t="s">
        <v>3415</v>
      </c>
      <c r="M1065" s="2" t="n">
        <v>11088</v>
      </c>
    </row>
    <row r="1066" customFormat="false" ht="18.7" hidden="false" customHeight="true" outlineLevel="0" collapsed="false">
      <c r="A1066" s="1" t="n">
        <v>1065</v>
      </c>
      <c r="B1066" s="7" t="str">
        <f aca="false">HYPERLINK("https://mncourtfraud.com/file/27-CR-21-12762.pdf","27-CR-21-12762")</f>
        <v>27-CR-21-12762</v>
      </c>
      <c r="C1066" s="1" t="n">
        <v>1</v>
      </c>
      <c r="D1066" s="2" t="s">
        <v>12</v>
      </c>
      <c r="E1066" s="8" t="n">
        <v>44895</v>
      </c>
      <c r="F1066" s="2" t="s">
        <v>15</v>
      </c>
      <c r="G1066" s="7" t="str">
        <f aca="false">HYPERLINK("https://mncourtfraud.com/file/MCRO_27-CR-21-12762_Order-Evaluation for Competency to Proceed (Rule 20.01)_2022-11-30_20251126182506.pdf","MCRO_27-CR-21-12762_Order-Evaluation for Competency to Proceed (Rule 20.01)_2022-11-30_20251126182506.pdf")</f>
        <v>MCRO_27-CR-21-12762_Order-Evaluation for Competency to Proceed (Rule 20.01)_2022-11-30_20251126182506.pdf</v>
      </c>
      <c r="H1066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1066" s="1" t="s">
        <v>3413</v>
      </c>
      <c r="J1066" s="2" t="s">
        <v>3446</v>
      </c>
      <c r="K1066" s="2" t="s">
        <v>3446</v>
      </c>
      <c r="L1066" s="2" t="s">
        <v>3415</v>
      </c>
      <c r="M1066" s="2" t="n">
        <v>55072</v>
      </c>
      <c r="N1066" s="2" t="s">
        <v>3447</v>
      </c>
    </row>
    <row r="1067" customFormat="false" ht="18.7" hidden="false" customHeight="true" outlineLevel="0" collapsed="false">
      <c r="A1067" s="1" t="n">
        <v>1066</v>
      </c>
      <c r="B1067" s="7" t="str">
        <f aca="false">HYPERLINK("https://mncourtfraud.com/file/27-CR-21-12762.pdf","27-CR-21-12762")</f>
        <v>27-CR-21-12762</v>
      </c>
      <c r="C1067" s="1" t="n">
        <v>1</v>
      </c>
      <c r="D1067" s="2" t="s">
        <v>12</v>
      </c>
      <c r="E1067" s="8" t="n">
        <v>44895</v>
      </c>
      <c r="F1067" s="2" t="s">
        <v>15</v>
      </c>
      <c r="G1067" s="7" t="str">
        <f aca="false">HYPERLINK("https://mncourtfraud.com/file/MCRO_27-CR-21-12762_Order-Evaluation for Competency to Proceed (Rule 20.01)_2022-11-30_20251126182506.pdf","MCRO_27-CR-21-12762_Order-Evaluation for Competency to Proceed (Rule 20.01)_2022-11-30_20251126182506.pdf")</f>
        <v>MCRO_27-CR-21-12762_Order-Evaluation for Competency to Proceed (Rule 20.01)_2022-11-30_20251126182506.pdf</v>
      </c>
      <c r="H1067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1067" s="1" t="s">
        <v>3413</v>
      </c>
      <c r="J1067" s="2" t="s">
        <v>3424</v>
      </c>
      <c r="K1067" s="2" t="s">
        <v>3424</v>
      </c>
      <c r="L1067" s="2" t="s">
        <v>3415</v>
      </c>
      <c r="M1067" s="2" t="n">
        <v>14252</v>
      </c>
    </row>
    <row r="1068" customFormat="false" ht="18.7" hidden="false" customHeight="true" outlineLevel="0" collapsed="false">
      <c r="A1068" s="1" t="n">
        <v>1067</v>
      </c>
      <c r="B1068" s="7" t="str">
        <f aca="false">HYPERLINK("https://mncourtfraud.com/file/27-CR-21-12762.pdf","27-CR-21-12762")</f>
        <v>27-CR-21-12762</v>
      </c>
      <c r="C1068" s="1" t="n">
        <v>1</v>
      </c>
      <c r="D1068" s="2" t="s">
        <v>12</v>
      </c>
      <c r="E1068" s="8" t="n">
        <v>44895</v>
      </c>
      <c r="F1068" s="2" t="s">
        <v>15</v>
      </c>
      <c r="G1068" s="7" t="str">
        <f aca="false">HYPERLINK("https://mncourtfraud.com/file/MCRO_27-CR-21-12762_Order-Evaluation for Competency to Proceed (Rule 20.01)_2022-11-30_20251126182506.pdf","MCRO_27-CR-21-12762_Order-Evaluation for Competency to Proceed (Rule 20.01)_2022-11-30_20251126182506.pdf")</f>
        <v>MCRO_27-CR-21-12762_Order-Evaluation for Competency to Proceed (Rule 20.01)_2022-11-30_20251126182506.pdf</v>
      </c>
      <c r="H1068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068" s="1" t="s">
        <v>3406</v>
      </c>
      <c r="K1068" s="2" t="s">
        <v>3420</v>
      </c>
      <c r="L1068" s="2" t="s">
        <v>3408</v>
      </c>
      <c r="M1068" s="2" t="n">
        <v>7306</v>
      </c>
      <c r="O1068" s="2" t="s">
        <v>3409</v>
      </c>
      <c r="P1068" s="2" t="s">
        <v>3410</v>
      </c>
      <c r="S1068" s="2" t="n">
        <v>319</v>
      </c>
      <c r="T1068" s="2" t="n">
        <v>105</v>
      </c>
    </row>
    <row r="1069" customFormat="false" ht="18.7" hidden="false" customHeight="true" outlineLevel="0" collapsed="false">
      <c r="A1069" s="1" t="n">
        <v>1068</v>
      </c>
      <c r="B1069" s="7" t="str">
        <f aca="false">HYPERLINK("https://mncourtfraud.com/file/27-CR-21-12762.pdf","27-CR-21-12762")</f>
        <v>27-CR-21-12762</v>
      </c>
      <c r="C1069" s="1" t="n">
        <v>1</v>
      </c>
      <c r="D1069" s="2" t="s">
        <v>12</v>
      </c>
      <c r="E1069" s="8" t="n">
        <v>44895</v>
      </c>
      <c r="F1069" s="2" t="s">
        <v>15</v>
      </c>
      <c r="G1069" s="7" t="str">
        <f aca="false">HYPERLINK("https://mncourtfraud.com/file/MCRO_27-CR-21-12762_Order-Evaluation for Competency to Proceed (Rule 20.01)_2022-11-30_20251126182506.pdf","MCRO_27-CR-21-12762_Order-Evaluation for Competency to Proceed (Rule 20.01)_2022-11-30_20251126182506.pdf")</f>
        <v>MCRO_27-CR-21-12762_Order-Evaluation for Competency to Proceed (Rule 20.01)_2022-11-30_20251126182506.pdf</v>
      </c>
      <c r="H1069" s="7" t="str">
        <f aca="false">HYPERLINK("https://mncourtfraud.com/file/677e52a3b8403ce87e338b0a2e31e6f8e5ddf03fb0ca7043a341135cf0255eaa.ttf","677e52a3b8403ce87e338b0a2e31e6f8e5ddf03fb0ca7043a341135cf0255eaa")</f>
        <v>677e52a3b8403ce87e338b0a2e31e6f8e5ddf03fb0ca7043a341135cf0255eaa</v>
      </c>
      <c r="I1069" s="1" t="s">
        <v>3413</v>
      </c>
      <c r="J1069" s="2" t="s">
        <v>3422</v>
      </c>
      <c r="K1069" s="2" t="s">
        <v>3422</v>
      </c>
      <c r="L1069" s="2" t="s">
        <v>3415</v>
      </c>
      <c r="M1069" s="2" t="n">
        <v>149960</v>
      </c>
    </row>
    <row r="1070" customFormat="false" ht="18.7" hidden="false" customHeight="true" outlineLevel="0" collapsed="false">
      <c r="A1070" s="1" t="n">
        <v>1069</v>
      </c>
      <c r="B1070" s="7" t="str">
        <f aca="false">HYPERLINK("https://mncourtfraud.com/file/27-CR-21-12762.pdf","27-CR-21-12762")</f>
        <v>27-CR-21-12762</v>
      </c>
      <c r="C1070" s="1" t="n">
        <v>1</v>
      </c>
      <c r="D1070" s="2" t="s">
        <v>12</v>
      </c>
      <c r="E1070" s="8" t="n">
        <v>44895</v>
      </c>
      <c r="F1070" s="2" t="s">
        <v>15</v>
      </c>
      <c r="G1070" s="7" t="str">
        <f aca="false">HYPERLINK("https://mncourtfraud.com/file/MCRO_27-CR-21-12762_Order-Evaluation for Competency to Proceed (Rule 20.01)_2022-11-30_20251126182506.pdf","MCRO_27-CR-21-12762_Order-Evaluation for Competency to Proceed (Rule 20.01)_2022-11-30_20251126182506.pdf")</f>
        <v>MCRO_27-CR-21-12762_Order-Evaluation for Competency to Proceed (Rule 20.01)_2022-11-30_20251126182506.pdf</v>
      </c>
      <c r="H1070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1070" s="1" t="s">
        <v>3413</v>
      </c>
      <c r="J1070" s="2" t="s">
        <v>3448</v>
      </c>
      <c r="K1070" s="2" t="s">
        <v>3448</v>
      </c>
      <c r="L1070" s="2" t="s">
        <v>3415</v>
      </c>
      <c r="M1070" s="2" t="n">
        <v>916684</v>
      </c>
    </row>
    <row r="1071" customFormat="false" ht="18.7" hidden="false" customHeight="true" outlineLevel="0" collapsed="false">
      <c r="A1071" s="1" t="n">
        <v>1070</v>
      </c>
      <c r="B1071" s="7" t="str">
        <f aca="false">HYPERLINK("https://mncourtfraud.com/file/27-CR-21-12762.pdf","27-CR-21-12762")</f>
        <v>27-CR-21-12762</v>
      </c>
      <c r="C1071" s="1" t="n">
        <v>1</v>
      </c>
      <c r="D1071" s="2" t="s">
        <v>12</v>
      </c>
      <c r="E1071" s="8" t="n">
        <v>44895</v>
      </c>
      <c r="F1071" s="2" t="s">
        <v>15</v>
      </c>
      <c r="G1071" s="7" t="str">
        <f aca="false">HYPERLINK("https://mncourtfraud.com/file/MCRO_27-CR-21-12762_Order-Evaluation for Competency to Proceed (Rule 20.01)_2022-11-30_20251126182506.pdf","MCRO_27-CR-21-12762_Order-Evaluation for Competency to Proceed (Rule 20.01)_2022-11-30_20251126182506.pdf")</f>
        <v>MCRO_27-CR-21-12762_Order-Evaluation for Competency to Proceed (Rule 20.01)_2022-11-30_20251126182506.pdf</v>
      </c>
      <c r="H1071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071" s="1" t="s">
        <v>3406</v>
      </c>
      <c r="K1071" s="2" t="s">
        <v>3425</v>
      </c>
      <c r="L1071" s="2" t="s">
        <v>3408</v>
      </c>
      <c r="M1071" s="2" t="n">
        <v>21225</v>
      </c>
      <c r="O1071" s="2" t="s">
        <v>3409</v>
      </c>
      <c r="P1071" s="2" t="s">
        <v>3410</v>
      </c>
      <c r="S1071" s="2" t="n">
        <v>319</v>
      </c>
      <c r="T1071" s="2" t="n">
        <v>105</v>
      </c>
    </row>
    <row r="1072" customFormat="false" ht="18.7" hidden="false" customHeight="true" outlineLevel="0" collapsed="false">
      <c r="A1072" s="1" t="n">
        <v>1071</v>
      </c>
      <c r="B1072" s="7" t="str">
        <f aca="false">HYPERLINK("https://mncourtfraud.com/file/27-CR-21-12762.pdf","27-CR-21-12762")</f>
        <v>27-CR-21-12762</v>
      </c>
      <c r="C1072" s="1" t="n">
        <v>1</v>
      </c>
      <c r="D1072" s="2" t="s">
        <v>12</v>
      </c>
      <c r="E1072" s="8" t="n">
        <v>44895</v>
      </c>
      <c r="F1072" s="2" t="s">
        <v>15</v>
      </c>
      <c r="G1072" s="7" t="str">
        <f aca="false">HYPERLINK("https://mncourtfraud.com/file/MCRO_27-CR-21-12762_Order-Evaluation for Competency to Proceed (Rule 20.01)_2022-11-30_20251126182506.pdf","MCRO_27-CR-21-12762_Order-Evaluation for Competency to Proceed (Rule 20.01)_2022-11-30_20251126182506.pdf")</f>
        <v>MCRO_27-CR-21-12762_Order-Evaluation for Competency to Proceed (Rule 20.01)_2022-11-30_20251126182506.pdf</v>
      </c>
      <c r="H1072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1072" s="1" t="s">
        <v>3413</v>
      </c>
      <c r="J1072" s="2" t="s">
        <v>3449</v>
      </c>
      <c r="K1072" s="2" t="s">
        <v>3449</v>
      </c>
      <c r="L1072" s="2" t="s">
        <v>3415</v>
      </c>
      <c r="M1072" s="2" t="n">
        <v>124664</v>
      </c>
    </row>
    <row r="1073" customFormat="false" ht="18.7" hidden="false" customHeight="true" outlineLevel="0" collapsed="false">
      <c r="A1073" s="1" t="n">
        <v>1072</v>
      </c>
      <c r="B1073" s="7" t="str">
        <f aca="false">HYPERLINK("https://mncourtfraud.com/file/27-CR-21-12762.pdf","27-CR-21-12762")</f>
        <v>27-CR-21-12762</v>
      </c>
      <c r="C1073" s="1" t="n">
        <v>1</v>
      </c>
      <c r="D1073" s="2" t="s">
        <v>12</v>
      </c>
      <c r="E1073" s="8" t="n">
        <v>44895</v>
      </c>
      <c r="F1073" s="2" t="s">
        <v>15</v>
      </c>
      <c r="G1073" s="7" t="str">
        <f aca="false">HYPERLINK("https://mncourtfraud.com/file/MCRO_27-CR-21-12762_Order-Evaluation for Competency to Proceed (Rule 20.01)_2022-11-30_20251126182506.pdf","MCRO_27-CR-21-12762_Order-Evaluation for Competency to Proceed (Rule 20.01)_2022-11-30_20251126182506.pdf")</f>
        <v>MCRO_27-CR-21-12762_Order-Evaluation for Competency to Proceed (Rule 20.01)_2022-11-30_20251126182506.pdf</v>
      </c>
      <c r="H1073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1073" s="1" t="s">
        <v>3413</v>
      </c>
      <c r="J1073" s="2" t="s">
        <v>3449</v>
      </c>
      <c r="K1073" s="2" t="s">
        <v>3449</v>
      </c>
      <c r="L1073" s="2" t="s">
        <v>3415</v>
      </c>
      <c r="M1073" s="2" t="n">
        <v>124664</v>
      </c>
    </row>
    <row r="1074" customFormat="false" ht="18.7" hidden="false" customHeight="true" outlineLevel="0" collapsed="false">
      <c r="A1074" s="1" t="n">
        <v>1073</v>
      </c>
      <c r="B1074" s="7" t="str">
        <f aca="false">HYPERLINK("https://mncourtfraud.com/file/27-CR-21-12762.pdf","27-CR-21-12762")</f>
        <v>27-CR-21-12762</v>
      </c>
      <c r="C1074" s="1" t="n">
        <v>1</v>
      </c>
      <c r="D1074" s="2" t="s">
        <v>12</v>
      </c>
      <c r="E1074" s="8" t="n">
        <v>45048</v>
      </c>
      <c r="F1074" s="2" t="s">
        <v>80</v>
      </c>
      <c r="G1074" s="7" t="str">
        <f aca="false">HYPERLINK("https://mncourtfraud.com/file/MCRO_27-CR-21-12762_Finding of Incompetency and Order_2023-05-02_20251126182300.pdf","MCRO_27-CR-21-12762_Finding of Incompetency and Order_2023-05-02_20251126182300.pdf")</f>
        <v>MCRO_27-CR-21-12762_Finding of Incompetency and Order_2023-05-02_20251126182300.pdf</v>
      </c>
      <c r="H1074" s="7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1074" s="1" t="s">
        <v>3406</v>
      </c>
      <c r="L1074" s="2" t="s">
        <v>3412</v>
      </c>
      <c r="M1074" s="2" t="n">
        <v>3506</v>
      </c>
      <c r="S1074" s="2" t="n">
        <v>1410</v>
      </c>
      <c r="T1074" s="2" t="n">
        <v>150</v>
      </c>
    </row>
    <row r="1075" customFormat="false" ht="18.7" hidden="false" customHeight="true" outlineLevel="0" collapsed="false">
      <c r="A1075" s="1" t="n">
        <v>1074</v>
      </c>
      <c r="B1075" s="7" t="str">
        <f aca="false">HYPERLINK("https://mncourtfraud.com/file/27-CR-21-12762.pdf","27-CR-21-12762")</f>
        <v>27-CR-21-12762</v>
      </c>
      <c r="C1075" s="1" t="n">
        <v>1</v>
      </c>
      <c r="D1075" s="2" t="s">
        <v>12</v>
      </c>
      <c r="E1075" s="8" t="n">
        <v>45048</v>
      </c>
      <c r="F1075" s="2" t="s">
        <v>80</v>
      </c>
      <c r="G1075" s="7" t="str">
        <f aca="false">HYPERLINK("https://mncourtfraud.com/file/MCRO_27-CR-21-12762_Finding of Incompetency and Order_2023-05-02_20251126182300.pdf","MCRO_27-CR-21-12762_Finding of Incompetency and Order_2023-05-02_20251126182300.pdf")</f>
        <v>MCRO_27-CR-21-12762_Finding of Incompetency and Order_2023-05-02_20251126182300.pdf</v>
      </c>
      <c r="H1075" s="7" t="str">
        <f aca="false">HYPERLINK("https://mncourtfraud.com/file/18befca089509ee2fbaddf9c5b79bf5988523b22d2369743ed9a591b9fc3bdb6.ttf","18befca089509ee2fbaddf9c5b79bf5988523b22d2369743ed9a591b9fc3bdb6")</f>
        <v>18befca089509ee2fbaddf9c5b79bf5988523b22d2369743ed9a591b9fc3bdb6</v>
      </c>
      <c r="I1075" s="1" t="s">
        <v>3413</v>
      </c>
      <c r="J1075" s="2" t="s">
        <v>3421</v>
      </c>
      <c r="K1075" s="2" t="s">
        <v>3450</v>
      </c>
      <c r="L1075" s="2" t="s">
        <v>3415</v>
      </c>
      <c r="M1075" s="2" t="n">
        <v>115928</v>
      </c>
    </row>
    <row r="1076" customFormat="false" ht="18.7" hidden="false" customHeight="true" outlineLevel="0" collapsed="false">
      <c r="A1076" s="1" t="n">
        <v>1075</v>
      </c>
      <c r="B1076" s="7" t="str">
        <f aca="false">HYPERLINK("https://mncourtfraud.com/file/27-CR-21-12762.pdf","27-CR-21-12762")</f>
        <v>27-CR-21-12762</v>
      </c>
      <c r="C1076" s="1" t="n">
        <v>1</v>
      </c>
      <c r="D1076" s="2" t="s">
        <v>12</v>
      </c>
      <c r="E1076" s="8" t="n">
        <v>45048</v>
      </c>
      <c r="F1076" s="2" t="s">
        <v>80</v>
      </c>
      <c r="G1076" s="7" t="str">
        <f aca="false">HYPERLINK("https://mncourtfraud.com/file/MCRO_27-CR-21-12762_Finding of Incompetency and Order_2023-05-02_20251126182300.pdf","MCRO_27-CR-21-12762_Finding of Incompetency and Order_2023-05-02_20251126182300.pdf")</f>
        <v>MCRO_27-CR-21-12762_Finding of Incompetency and Order_2023-05-02_20251126182300.pdf</v>
      </c>
      <c r="H1076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1076" s="1" t="s">
        <v>3413</v>
      </c>
      <c r="J1076" s="2" t="s">
        <v>3446</v>
      </c>
      <c r="K1076" s="2" t="s">
        <v>3446</v>
      </c>
      <c r="L1076" s="2" t="s">
        <v>3415</v>
      </c>
      <c r="M1076" s="2" t="n">
        <v>55072</v>
      </c>
      <c r="N1076" s="2" t="s">
        <v>3447</v>
      </c>
    </row>
    <row r="1077" customFormat="false" ht="18.7" hidden="false" customHeight="true" outlineLevel="0" collapsed="false">
      <c r="A1077" s="1" t="n">
        <v>1076</v>
      </c>
      <c r="B1077" s="7" t="str">
        <f aca="false">HYPERLINK("https://mncourtfraud.com/file/27-CR-21-12762.pdf","27-CR-21-12762")</f>
        <v>27-CR-21-12762</v>
      </c>
      <c r="C1077" s="1" t="n">
        <v>1</v>
      </c>
      <c r="D1077" s="2" t="s">
        <v>12</v>
      </c>
      <c r="E1077" s="8" t="n">
        <v>45048</v>
      </c>
      <c r="F1077" s="2" t="s">
        <v>80</v>
      </c>
      <c r="G1077" s="7" t="str">
        <f aca="false">HYPERLINK("https://mncourtfraud.com/file/MCRO_27-CR-21-12762_Finding of Incompetency and Order_2023-05-02_20251126182300.pdf","MCRO_27-CR-21-12762_Finding of Incompetency and Order_2023-05-02_20251126182300.pdf")</f>
        <v>MCRO_27-CR-21-12762_Finding of Incompetency and Order_2023-05-02_20251126182300.pdf</v>
      </c>
      <c r="H1077" s="7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1077" s="1" t="s">
        <v>3406</v>
      </c>
      <c r="K1077" s="2" t="s">
        <v>3451</v>
      </c>
      <c r="L1077" s="2" t="s">
        <v>3408</v>
      </c>
      <c r="M1077" s="2" t="n">
        <v>5295</v>
      </c>
      <c r="O1077" s="2" t="s">
        <v>3452</v>
      </c>
      <c r="P1077" s="2" t="s">
        <v>3410</v>
      </c>
      <c r="S1077" s="2" t="n">
        <v>833</v>
      </c>
      <c r="T1077" s="2" t="n">
        <v>186</v>
      </c>
    </row>
    <row r="1078" customFormat="false" ht="18.7" hidden="false" customHeight="true" outlineLevel="0" collapsed="false">
      <c r="A1078" s="1" t="n">
        <v>1077</v>
      </c>
      <c r="B1078" s="7" t="str">
        <f aca="false">HYPERLINK("https://mncourtfraud.com/file/27-CR-21-12762.pdf","27-CR-21-12762")</f>
        <v>27-CR-21-12762</v>
      </c>
      <c r="C1078" s="1" t="n">
        <v>1</v>
      </c>
      <c r="D1078" s="2" t="s">
        <v>12</v>
      </c>
      <c r="E1078" s="8" t="n">
        <v>45048</v>
      </c>
      <c r="F1078" s="2" t="s">
        <v>80</v>
      </c>
      <c r="G1078" s="7" t="str">
        <f aca="false">HYPERLINK("https://mncourtfraud.com/file/MCRO_27-CR-21-12762_Finding of Incompetency and Order_2023-05-02_20251126182300.pdf","MCRO_27-CR-21-12762_Finding of Incompetency and Order_2023-05-02_20251126182300.pdf")</f>
        <v>MCRO_27-CR-21-12762_Finding of Incompetency and Order_2023-05-02_20251126182300.pdf</v>
      </c>
      <c r="H1078" s="7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1078" s="1" t="s">
        <v>3406</v>
      </c>
      <c r="K1078" s="2" t="s">
        <v>3453</v>
      </c>
      <c r="L1078" s="2" t="s">
        <v>3408</v>
      </c>
      <c r="M1078" s="2" t="n">
        <v>3442</v>
      </c>
      <c r="O1078" s="2" t="s">
        <v>3454</v>
      </c>
      <c r="P1078" s="2" t="s">
        <v>3410</v>
      </c>
      <c r="S1078" s="2" t="n">
        <v>857</v>
      </c>
      <c r="T1078" s="2" t="n">
        <v>184</v>
      </c>
    </row>
    <row r="1079" customFormat="false" ht="18.7" hidden="false" customHeight="true" outlineLevel="0" collapsed="false">
      <c r="A1079" s="1" t="n">
        <v>1078</v>
      </c>
      <c r="B1079" s="7" t="str">
        <f aca="false">HYPERLINK("https://mncourtfraud.com/file/27-CR-21-12762.pdf","27-CR-21-12762")</f>
        <v>27-CR-21-12762</v>
      </c>
      <c r="C1079" s="1" t="n">
        <v>1</v>
      </c>
      <c r="D1079" s="2" t="s">
        <v>12</v>
      </c>
      <c r="E1079" s="8" t="n">
        <v>45048</v>
      </c>
      <c r="F1079" s="2" t="s">
        <v>80</v>
      </c>
      <c r="G1079" s="7" t="str">
        <f aca="false">HYPERLINK("https://mncourtfraud.com/file/MCRO_27-CR-21-12762_Finding of Incompetency and Order_2023-05-02_20251126182300.pdf","MCRO_27-CR-21-12762_Finding of Incompetency and Order_2023-05-02_20251126182300.pdf")</f>
        <v>MCRO_27-CR-21-12762_Finding of Incompetency and Order_2023-05-02_20251126182300.pdf</v>
      </c>
      <c r="H1079" s="7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1079" s="1" t="s">
        <v>3406</v>
      </c>
      <c r="L1079" s="2" t="s">
        <v>3412</v>
      </c>
      <c r="M1079" s="2" t="n">
        <v>3824</v>
      </c>
      <c r="S1079" s="2" t="n">
        <v>1850</v>
      </c>
      <c r="T1079" s="2" t="n">
        <v>160</v>
      </c>
    </row>
    <row r="1080" customFormat="false" ht="18.7" hidden="false" customHeight="true" outlineLevel="0" collapsed="false">
      <c r="A1080" s="1" t="n">
        <v>1079</v>
      </c>
      <c r="B1080" s="7" t="str">
        <f aca="false">HYPERLINK("https://mncourtfraud.com/file/27-CR-21-12762.pdf","27-CR-21-12762")</f>
        <v>27-CR-21-12762</v>
      </c>
      <c r="C1080" s="1" t="n">
        <v>1</v>
      </c>
      <c r="D1080" s="2" t="s">
        <v>12</v>
      </c>
      <c r="E1080" s="8" t="n">
        <v>45048</v>
      </c>
      <c r="F1080" s="2" t="s">
        <v>80</v>
      </c>
      <c r="G1080" s="7" t="str">
        <f aca="false">HYPERLINK("https://mncourtfraud.com/file/MCRO_27-CR-21-12762_Finding of Incompetency and Order_2023-05-02_20251126182300.pdf","MCRO_27-CR-21-12762_Finding of Incompetency and Order_2023-05-02_20251126182300.pdf")</f>
        <v>MCRO_27-CR-21-12762_Finding of Incompetency and Order_2023-05-02_20251126182300.pdf</v>
      </c>
      <c r="H1080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1080" s="1" t="s">
        <v>3413</v>
      </c>
      <c r="J1080" s="2" t="s">
        <v>3448</v>
      </c>
      <c r="K1080" s="2" t="s">
        <v>3448</v>
      </c>
      <c r="L1080" s="2" t="s">
        <v>3415</v>
      </c>
      <c r="M1080" s="2" t="n">
        <v>916684</v>
      </c>
    </row>
    <row r="1081" customFormat="false" ht="18.7" hidden="false" customHeight="true" outlineLevel="0" collapsed="false">
      <c r="A1081" s="1" t="n">
        <v>1080</v>
      </c>
      <c r="B1081" s="7" t="str">
        <f aca="false">HYPERLINK("https://mncourtfraud.com/file/27-CR-21-12762.pdf","27-CR-21-12762")</f>
        <v>27-CR-21-12762</v>
      </c>
      <c r="C1081" s="1" t="n">
        <v>1</v>
      </c>
      <c r="D1081" s="2" t="s">
        <v>12</v>
      </c>
      <c r="E1081" s="8" t="n">
        <v>45093</v>
      </c>
      <c r="F1081" s="2" t="s">
        <v>82</v>
      </c>
      <c r="G1081" s="7" t="str">
        <f aca="false">HYPERLINK("https://mncourtfraud.com/file/MCRO_27-CR-21-12762_Notice of Case Reassignment_2023-06-16_20251126182340.pdf","MCRO_27-CR-21-12762_Notice of Case Reassignment_2023-06-16_20251126182340.pdf")</f>
        <v>MCRO_27-CR-21-12762_Notice of Case Reassignment_2023-06-16_20251126182340.pdf</v>
      </c>
      <c r="H1081" s="7" t="str">
        <f aca="false">HYPERLINK("https://mncourtfraud.com/file/1fd1136a5ae69c0e5068fedf111533c283fb06da71a1aebe96b41cad9a15bb33.ttf","1fd1136a5ae69c0e5068fedf111533c283fb06da71a1aebe96b41cad9a15bb33")</f>
        <v>1fd1136a5ae69c0e5068fedf111533c283fb06da71a1aebe96b41cad9a15bb33</v>
      </c>
      <c r="I1081" s="1" t="s">
        <v>3413</v>
      </c>
      <c r="J1081" s="2" t="s">
        <v>3455</v>
      </c>
      <c r="K1081" s="2" t="s">
        <v>3455</v>
      </c>
      <c r="L1081" s="2" t="s">
        <v>3415</v>
      </c>
      <c r="M1081" s="2" t="n">
        <v>96348</v>
      </c>
      <c r="N1081" s="2" t="s">
        <v>3456</v>
      </c>
    </row>
    <row r="1082" customFormat="false" ht="18.7" hidden="false" customHeight="true" outlineLevel="0" collapsed="false">
      <c r="A1082" s="1" t="n">
        <v>1081</v>
      </c>
      <c r="B1082" s="7" t="str">
        <f aca="false">HYPERLINK("https://mncourtfraud.com/file/27-CR-21-12762.pdf","27-CR-21-12762")</f>
        <v>27-CR-21-12762</v>
      </c>
      <c r="C1082" s="1" t="n">
        <v>1</v>
      </c>
      <c r="D1082" s="2" t="s">
        <v>12</v>
      </c>
      <c r="E1082" s="8" t="n">
        <v>45093</v>
      </c>
      <c r="F1082" s="2" t="s">
        <v>82</v>
      </c>
      <c r="G1082" s="7" t="str">
        <f aca="false">HYPERLINK("https://mncourtfraud.com/file/MCRO_27-CR-21-12762_Notice of Case Reassignment_2023-06-16_20251126182340.pdf","MCRO_27-CR-21-12762_Notice of Case Reassignment_2023-06-16_20251126182340.pdf")</f>
        <v>MCRO_27-CR-21-12762_Notice of Case Reassignment_2023-06-16_20251126182340.pdf</v>
      </c>
      <c r="H1082" s="7" t="str">
        <f aca="false">HYPERLINK("https://mncourtfraud.com/file/4b0b043cb476134a2e47a5f4c233d3d0f7a52a3b063b8831356383f89fcd1118.ttf","4b0b043cb476134a2e47a5f4c233d3d0f7a52a3b063b8831356383f89fcd1118")</f>
        <v>4b0b043cb476134a2e47a5f4c233d3d0f7a52a3b063b8831356383f89fcd1118</v>
      </c>
      <c r="I1082" s="1" t="s">
        <v>3413</v>
      </c>
      <c r="J1082" s="2" t="s">
        <v>3457</v>
      </c>
      <c r="K1082" s="2" t="s">
        <v>3457</v>
      </c>
      <c r="L1082" s="2" t="s">
        <v>3415</v>
      </c>
      <c r="M1082" s="2" t="n">
        <v>79764</v>
      </c>
      <c r="N1082" s="2" t="s">
        <v>3458</v>
      </c>
    </row>
    <row r="1083" customFormat="false" ht="18.7" hidden="false" customHeight="true" outlineLevel="0" collapsed="false">
      <c r="A1083" s="1" t="n">
        <v>1082</v>
      </c>
      <c r="B1083" s="7" t="str">
        <f aca="false">HYPERLINK("https://mncourtfraud.com/file/27-CR-21-12762.pdf","27-CR-21-12762")</f>
        <v>27-CR-21-12762</v>
      </c>
      <c r="C1083" s="1" t="n">
        <v>1</v>
      </c>
      <c r="D1083" s="2" t="s">
        <v>12</v>
      </c>
      <c r="E1083" s="8" t="n">
        <v>45160</v>
      </c>
      <c r="F1083" s="2" t="s">
        <v>15</v>
      </c>
      <c r="G1083" s="7" t="str">
        <f aca="false">HYPERLINK("https://mncourtfraud.com/file/MCRO_27-CR-21-12762_Order-Evaluation for Competency to Proceed (Rule 20.01)_2023-08-22_20251126182515.pdf","MCRO_27-CR-21-12762_Order-Evaluation for Competency to Proceed (Rule 20.01)_2023-08-22_20251126182515.pdf")</f>
        <v>MCRO_27-CR-21-12762_Order-Evaluation for Competency to Proceed (Rule 20.01)_2023-08-22_20251126182515.pdf</v>
      </c>
      <c r="H1083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1083" s="1" t="s">
        <v>3413</v>
      </c>
      <c r="J1083" s="2" t="s">
        <v>3449</v>
      </c>
      <c r="K1083" s="2" t="s">
        <v>3449</v>
      </c>
      <c r="L1083" s="2" t="s">
        <v>3415</v>
      </c>
      <c r="M1083" s="2" t="n">
        <v>125504</v>
      </c>
    </row>
    <row r="1084" customFormat="false" ht="18.7" hidden="false" customHeight="true" outlineLevel="0" collapsed="false">
      <c r="A1084" s="1" t="n">
        <v>1083</v>
      </c>
      <c r="B1084" s="7" t="str">
        <f aca="false">HYPERLINK("https://mncourtfraud.com/file/27-CR-21-12762.pdf","27-CR-21-12762")</f>
        <v>27-CR-21-12762</v>
      </c>
      <c r="C1084" s="1" t="n">
        <v>1</v>
      </c>
      <c r="D1084" s="2" t="s">
        <v>12</v>
      </c>
      <c r="E1084" s="8" t="n">
        <v>45160</v>
      </c>
      <c r="F1084" s="2" t="s">
        <v>15</v>
      </c>
      <c r="G1084" s="7" t="str">
        <f aca="false">HYPERLINK("https://mncourtfraud.com/file/MCRO_27-CR-21-12762_Order-Evaluation for Competency to Proceed (Rule 20.01)_2023-08-22_20251126182515.pdf","MCRO_27-CR-21-12762_Order-Evaluation for Competency to Proceed (Rule 20.01)_2023-08-22_20251126182515.pdf")</f>
        <v>MCRO_27-CR-21-12762_Order-Evaluation for Competency to Proceed (Rule 20.01)_2023-08-22_20251126182515.pdf</v>
      </c>
      <c r="H1084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1084" s="1" t="s">
        <v>3413</v>
      </c>
      <c r="J1084" s="2" t="s">
        <v>3449</v>
      </c>
      <c r="K1084" s="2" t="s">
        <v>3449</v>
      </c>
      <c r="L1084" s="2" t="s">
        <v>3415</v>
      </c>
      <c r="M1084" s="2" t="n">
        <v>125504</v>
      </c>
    </row>
    <row r="1085" customFormat="false" ht="18.7" hidden="false" customHeight="true" outlineLevel="0" collapsed="false">
      <c r="A1085" s="1" t="n">
        <v>1084</v>
      </c>
      <c r="B1085" s="7" t="str">
        <f aca="false">HYPERLINK("https://mncourtfraud.com/file/27-CR-21-12762.pdf","27-CR-21-12762")</f>
        <v>27-CR-21-12762</v>
      </c>
      <c r="C1085" s="1" t="n">
        <v>1</v>
      </c>
      <c r="D1085" s="2" t="s">
        <v>12</v>
      </c>
      <c r="E1085" s="8" t="n">
        <v>45160</v>
      </c>
      <c r="F1085" s="2" t="s">
        <v>15</v>
      </c>
      <c r="G1085" s="7" t="str">
        <f aca="false">HYPERLINK("https://mncourtfraud.com/file/MCRO_27-CR-21-12762_Order-Evaluation for Competency to Proceed (Rule 20.01)_2023-08-22_20251126182515.pdf","MCRO_27-CR-21-12762_Order-Evaluation for Competency to Proceed (Rule 20.01)_2023-08-22_20251126182515.pdf")</f>
        <v>MCRO_27-CR-21-12762_Order-Evaluation for Competency to Proceed (Rule 20.01)_2023-08-22_20251126182515.pdf</v>
      </c>
      <c r="H1085" s="7" t="str">
        <f aca="false">HYPERLINK("https://mncourtfraud.com/file/0174a154b1dd2c8824c0108a525fa6ced84bf8b7d2fc9696a847700a4f83bb3b.ttf","0174a154b1dd2c8824c0108a525fa6ced84bf8b7d2fc9696a847700a4f83bb3b")</f>
        <v>0174a154b1dd2c8824c0108a525fa6ced84bf8b7d2fc9696a847700a4f83bb3b</v>
      </c>
      <c r="I1085" s="1" t="s">
        <v>3413</v>
      </c>
      <c r="J1085" s="2" t="s">
        <v>3422</v>
      </c>
      <c r="K1085" s="2" t="s">
        <v>3422</v>
      </c>
      <c r="L1085" s="2" t="s">
        <v>3415</v>
      </c>
      <c r="M1085" s="2" t="n">
        <v>101216</v>
      </c>
    </row>
    <row r="1086" customFormat="false" ht="18.7" hidden="false" customHeight="true" outlineLevel="0" collapsed="false">
      <c r="A1086" s="1" t="n">
        <v>1085</v>
      </c>
      <c r="B1086" s="7" t="str">
        <f aca="false">HYPERLINK("https://mncourtfraud.com/file/27-CR-21-12762.pdf","27-CR-21-12762")</f>
        <v>27-CR-21-12762</v>
      </c>
      <c r="C1086" s="1" t="n">
        <v>1</v>
      </c>
      <c r="D1086" s="2" t="s">
        <v>12</v>
      </c>
      <c r="E1086" s="8" t="n">
        <v>45160</v>
      </c>
      <c r="F1086" s="2" t="s">
        <v>15</v>
      </c>
      <c r="G1086" s="7" t="str">
        <f aca="false">HYPERLINK("https://mncourtfraud.com/file/MCRO_27-CR-21-12762_Order-Evaluation for Competency to Proceed (Rule 20.01)_2023-08-22_20251126182515.pdf","MCRO_27-CR-21-12762_Order-Evaluation for Competency to Proceed (Rule 20.01)_2023-08-22_20251126182515.pdf")</f>
        <v>MCRO_27-CR-21-12762_Order-Evaluation for Competency to Proceed (Rule 20.01)_2023-08-22_20251126182515.pdf</v>
      </c>
      <c r="H1086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1086" s="1" t="s">
        <v>3413</v>
      </c>
      <c r="J1086" s="2" t="s">
        <v>3423</v>
      </c>
      <c r="K1086" s="2" t="s">
        <v>3423</v>
      </c>
      <c r="L1086" s="2" t="s">
        <v>3415</v>
      </c>
      <c r="M1086" s="2" t="n">
        <v>11088</v>
      </c>
    </row>
    <row r="1087" customFormat="false" ht="18.7" hidden="false" customHeight="true" outlineLevel="0" collapsed="false">
      <c r="A1087" s="1" t="n">
        <v>1086</v>
      </c>
      <c r="B1087" s="7" t="str">
        <f aca="false">HYPERLINK("https://mncourtfraud.com/file/27-CR-21-12762.pdf","27-CR-21-12762")</f>
        <v>27-CR-21-12762</v>
      </c>
      <c r="C1087" s="1" t="n">
        <v>1</v>
      </c>
      <c r="D1087" s="2" t="s">
        <v>12</v>
      </c>
      <c r="E1087" s="8" t="n">
        <v>45160</v>
      </c>
      <c r="F1087" s="2" t="s">
        <v>15</v>
      </c>
      <c r="G1087" s="7" t="str">
        <f aca="false">HYPERLINK("https://mncourtfraud.com/file/MCRO_27-CR-21-12762_Order-Evaluation for Competency to Proceed (Rule 20.01)_2023-08-22_20251126182515.pdf","MCRO_27-CR-21-12762_Order-Evaluation for Competency to Proceed (Rule 20.01)_2023-08-22_20251126182515.pdf")</f>
        <v>MCRO_27-CR-21-12762_Order-Evaluation for Competency to Proceed (Rule 20.01)_2023-08-22_20251126182515.pdf</v>
      </c>
      <c r="H1087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1087" s="1" t="s">
        <v>3413</v>
      </c>
      <c r="J1087" s="2" t="s">
        <v>3446</v>
      </c>
      <c r="K1087" s="2" t="s">
        <v>3446</v>
      </c>
      <c r="L1087" s="2" t="s">
        <v>3415</v>
      </c>
      <c r="M1087" s="2" t="n">
        <v>55072</v>
      </c>
      <c r="N1087" s="2" t="s">
        <v>3447</v>
      </c>
    </row>
    <row r="1088" customFormat="false" ht="18.7" hidden="false" customHeight="true" outlineLevel="0" collapsed="false">
      <c r="A1088" s="1" t="n">
        <v>1087</v>
      </c>
      <c r="B1088" s="7" t="str">
        <f aca="false">HYPERLINK("https://mncourtfraud.com/file/27-CR-21-12762.pdf","27-CR-21-12762")</f>
        <v>27-CR-21-12762</v>
      </c>
      <c r="C1088" s="1" t="n">
        <v>1</v>
      </c>
      <c r="D1088" s="2" t="s">
        <v>12</v>
      </c>
      <c r="E1088" s="8" t="n">
        <v>45160</v>
      </c>
      <c r="F1088" s="2" t="s">
        <v>15</v>
      </c>
      <c r="G1088" s="7" t="str">
        <f aca="false">HYPERLINK("https://mncourtfraud.com/file/MCRO_27-CR-21-12762_Order-Evaluation for Competency to Proceed (Rule 20.01)_2023-08-22_20251126182515.pdf","MCRO_27-CR-21-12762_Order-Evaluation for Competency to Proceed (Rule 20.01)_2023-08-22_20251126182515.pdf")</f>
        <v>MCRO_27-CR-21-12762_Order-Evaluation for Competency to Proceed (Rule 20.01)_2023-08-22_20251126182515.pdf</v>
      </c>
      <c r="H1088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1088" s="1" t="s">
        <v>3413</v>
      </c>
      <c r="J1088" s="2" t="s">
        <v>3424</v>
      </c>
      <c r="K1088" s="2" t="s">
        <v>3424</v>
      </c>
      <c r="L1088" s="2" t="s">
        <v>3415</v>
      </c>
      <c r="M1088" s="2" t="n">
        <v>14252</v>
      </c>
    </row>
    <row r="1089" customFormat="false" ht="18.7" hidden="false" customHeight="true" outlineLevel="0" collapsed="false">
      <c r="A1089" s="1" t="n">
        <v>1088</v>
      </c>
      <c r="B1089" s="7" t="str">
        <f aca="false">HYPERLINK("https://mncourtfraud.com/file/27-CR-21-12762.pdf","27-CR-21-12762")</f>
        <v>27-CR-21-12762</v>
      </c>
      <c r="C1089" s="1" t="n">
        <v>1</v>
      </c>
      <c r="D1089" s="2" t="s">
        <v>12</v>
      </c>
      <c r="E1089" s="8" t="n">
        <v>45160</v>
      </c>
      <c r="F1089" s="2" t="s">
        <v>15</v>
      </c>
      <c r="G1089" s="7" t="str">
        <f aca="false">HYPERLINK("https://mncourtfraud.com/file/MCRO_27-CR-21-12762_Order-Evaluation for Competency to Proceed (Rule 20.01)_2023-08-22_20251126182515.pdf","MCRO_27-CR-21-12762_Order-Evaluation for Competency to Proceed (Rule 20.01)_2023-08-22_20251126182515.pdf")</f>
        <v>MCRO_27-CR-21-12762_Order-Evaluation for Competency to Proceed (Rule 20.01)_2023-08-22_20251126182515.pdf</v>
      </c>
      <c r="H1089" s="7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1089" s="1" t="s">
        <v>3406</v>
      </c>
      <c r="L1089" s="2" t="s">
        <v>3412</v>
      </c>
      <c r="M1089" s="2" t="n">
        <v>5012</v>
      </c>
      <c r="S1089" s="2" t="n">
        <v>2740</v>
      </c>
      <c r="T1089" s="2" t="n">
        <v>180</v>
      </c>
    </row>
    <row r="1090" customFormat="false" ht="18.7" hidden="false" customHeight="true" outlineLevel="0" collapsed="false">
      <c r="A1090" s="1" t="n">
        <v>1089</v>
      </c>
      <c r="B1090" s="7" t="str">
        <f aca="false">HYPERLINK("https://mncourtfraud.com/file/27-CR-21-12762.pdf","27-CR-21-12762")</f>
        <v>27-CR-21-12762</v>
      </c>
      <c r="C1090" s="1" t="n">
        <v>1</v>
      </c>
      <c r="D1090" s="2" t="s">
        <v>12</v>
      </c>
      <c r="E1090" s="8" t="n">
        <v>45160</v>
      </c>
      <c r="F1090" s="2" t="s">
        <v>15</v>
      </c>
      <c r="G1090" s="7" t="str">
        <f aca="false">HYPERLINK("https://mncourtfraud.com/file/MCRO_27-CR-21-12762_Order-Evaluation for Competency to Proceed (Rule 20.01)_2023-08-22_20251126182515.pdf","MCRO_27-CR-21-12762_Order-Evaluation for Competency to Proceed (Rule 20.01)_2023-08-22_20251126182515.pdf")</f>
        <v>MCRO_27-CR-21-12762_Order-Evaluation for Competency to Proceed (Rule 20.01)_2023-08-22_20251126182515.pdf</v>
      </c>
      <c r="H1090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1090" s="1" t="s">
        <v>3413</v>
      </c>
      <c r="J1090" s="2" t="s">
        <v>3448</v>
      </c>
      <c r="K1090" s="2" t="s">
        <v>3448</v>
      </c>
      <c r="L1090" s="2" t="s">
        <v>3415</v>
      </c>
      <c r="M1090" s="2" t="n">
        <v>916684</v>
      </c>
    </row>
    <row r="1091" customFormat="false" ht="18.7" hidden="false" customHeight="true" outlineLevel="0" collapsed="false">
      <c r="A1091" s="1" t="n">
        <v>1090</v>
      </c>
      <c r="B1091" s="7" t="str">
        <f aca="false">HYPERLINK("https://mncourtfraud.com/file/27-CR-21-12762.pdf","27-CR-21-12762")</f>
        <v>27-CR-21-12762</v>
      </c>
      <c r="C1091" s="1" t="n">
        <v>1</v>
      </c>
      <c r="D1091" s="2" t="s">
        <v>12</v>
      </c>
      <c r="E1091" s="8" t="n">
        <v>45160</v>
      </c>
      <c r="F1091" s="2" t="s">
        <v>15</v>
      </c>
      <c r="G1091" s="7" t="str">
        <f aca="false">HYPERLINK("https://mncourtfraud.com/file/MCRO_27-CR-21-12762_Order-Evaluation for Competency to Proceed (Rule 20.01)_2023-08-22_20251126182515.pdf","MCRO_27-CR-21-12762_Order-Evaluation for Competency to Proceed (Rule 20.01)_2023-08-22_20251126182515.pdf")</f>
        <v>MCRO_27-CR-21-12762_Order-Evaluation for Competency to Proceed (Rule 20.01)_2023-08-22_20251126182515.pdf</v>
      </c>
      <c r="H1091" s="7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1091" s="1" t="s">
        <v>3406</v>
      </c>
      <c r="K1091" s="2" t="s">
        <v>3459</v>
      </c>
      <c r="L1091" s="2" t="s">
        <v>3408</v>
      </c>
      <c r="M1091" s="2" t="n">
        <v>5220</v>
      </c>
      <c r="O1091" s="2" t="s">
        <v>3460</v>
      </c>
      <c r="P1091" s="2" t="s">
        <v>3410</v>
      </c>
      <c r="S1091" s="2" t="n">
        <v>881</v>
      </c>
      <c r="T1091" s="2" t="n">
        <v>216</v>
      </c>
    </row>
    <row r="1092" customFormat="false" ht="18.7" hidden="false" customHeight="true" outlineLevel="0" collapsed="false">
      <c r="A1092" s="1" t="n">
        <v>1091</v>
      </c>
      <c r="B1092" s="7" t="str">
        <f aca="false">HYPERLINK("https://mncourtfraud.com/file/27-CR-21-12762.pdf","27-CR-21-12762")</f>
        <v>27-CR-21-12762</v>
      </c>
      <c r="C1092" s="1" t="n">
        <v>1</v>
      </c>
      <c r="D1092" s="2" t="s">
        <v>12</v>
      </c>
      <c r="E1092" s="8" t="n">
        <v>45412</v>
      </c>
      <c r="F1092" s="2" t="s">
        <v>15</v>
      </c>
      <c r="G1092" s="7" t="str">
        <f aca="false">HYPERLINK("https://mncourtfraud.com/file/MCRO_27-CR-21-12762_Order-Evaluation for Competency to Proceed (Rule 20.01)_2024-04-30_20251126182523.pdf","MCRO_27-CR-21-12762_Order-Evaluation for Competency to Proceed (Rule 20.01)_2024-04-30_20251126182523.pdf")</f>
        <v>MCRO_27-CR-21-12762_Order-Evaluation for Competency to Proceed (Rule 20.01)_2024-04-30_20251126182523.pdf</v>
      </c>
      <c r="H1092" s="7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1092" s="1" t="s">
        <v>3406</v>
      </c>
      <c r="L1092" s="2" t="s">
        <v>3412</v>
      </c>
      <c r="M1092" s="2" t="n">
        <v>154549</v>
      </c>
      <c r="S1092" s="2" t="n">
        <v>2560</v>
      </c>
      <c r="T1092" s="2" t="n">
        <v>3300</v>
      </c>
    </row>
    <row r="1093" customFormat="false" ht="18.7" hidden="false" customHeight="true" outlineLevel="0" collapsed="false">
      <c r="A1093" s="1" t="n">
        <v>1092</v>
      </c>
      <c r="B1093" s="7" t="str">
        <f aca="false">HYPERLINK("https://mncourtfraud.com/file/27-CR-21-12762.pdf","27-CR-21-12762")</f>
        <v>27-CR-21-12762</v>
      </c>
      <c r="C1093" s="1" t="n">
        <v>1</v>
      </c>
      <c r="D1093" s="2" t="s">
        <v>12</v>
      </c>
      <c r="E1093" s="8" t="n">
        <v>45412</v>
      </c>
      <c r="F1093" s="2" t="s">
        <v>15</v>
      </c>
      <c r="G1093" s="7" t="str">
        <f aca="false">HYPERLINK("https://mncourtfraud.com/file/MCRO_27-CR-21-12762_Order-Evaluation for Competency to Proceed (Rule 20.01)_2024-04-30_20251126182523.pdf","MCRO_27-CR-21-12762_Order-Evaluation for Competency to Proceed (Rule 20.01)_2024-04-30_20251126182523.pdf")</f>
        <v>MCRO_27-CR-21-12762_Order-Evaluation for Competency to Proceed (Rule 20.01)_2024-04-30_20251126182523.pdf</v>
      </c>
      <c r="H1093" s="7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1093" s="1" t="s">
        <v>3406</v>
      </c>
      <c r="L1093" s="2" t="s">
        <v>3412</v>
      </c>
      <c r="M1093" s="2" t="n">
        <v>180051</v>
      </c>
      <c r="S1093" s="2" t="n">
        <v>2560</v>
      </c>
      <c r="T1093" s="2" t="n">
        <v>3300</v>
      </c>
    </row>
    <row r="1094" customFormat="false" ht="18.7" hidden="false" customHeight="true" outlineLevel="0" collapsed="false">
      <c r="A1094" s="1" t="n">
        <v>1093</v>
      </c>
      <c r="B1094" s="7" t="str">
        <f aca="false">HYPERLINK("https://mncourtfraud.com/file/27-CR-21-12762.pdf","27-CR-21-12762")</f>
        <v>27-CR-21-12762</v>
      </c>
      <c r="C1094" s="1" t="n">
        <v>1</v>
      </c>
      <c r="D1094" s="2" t="s">
        <v>12</v>
      </c>
      <c r="E1094" s="8" t="n">
        <v>45412</v>
      </c>
      <c r="F1094" s="2" t="s">
        <v>24</v>
      </c>
      <c r="G1094" s="7" t="str">
        <f aca="false">HYPERLINK("https://mncourtfraud.com/file/MCRO_27-CR-21-12762_Order for Conditional Release_2024-04-30_20251126182405.pdf","MCRO_27-CR-21-12762_Order for Conditional Release_2024-04-30_20251126182405.pdf")</f>
        <v>MCRO_27-CR-21-12762_Order for Conditional Release_2024-04-30_20251126182405.pdf</v>
      </c>
      <c r="H1094" s="7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1094" s="1" t="s">
        <v>3406</v>
      </c>
      <c r="L1094" s="2" t="s">
        <v>3412</v>
      </c>
      <c r="M1094" s="2" t="n">
        <v>38726</v>
      </c>
      <c r="S1094" s="2" t="n">
        <v>2560</v>
      </c>
      <c r="T1094" s="2" t="n">
        <v>3300</v>
      </c>
    </row>
    <row r="1095" customFormat="false" ht="18.7" hidden="false" customHeight="true" outlineLevel="0" collapsed="false">
      <c r="A1095" s="1" t="n">
        <v>1094</v>
      </c>
      <c r="B1095" s="7" t="str">
        <f aca="false">HYPERLINK("https://mncourtfraud.com/file/27-CR-21-12762.pdf","27-CR-21-12762")</f>
        <v>27-CR-21-12762</v>
      </c>
      <c r="C1095" s="1" t="n">
        <v>1</v>
      </c>
      <c r="D1095" s="2" t="s">
        <v>12</v>
      </c>
      <c r="E1095" s="8" t="n">
        <v>45412</v>
      </c>
      <c r="F1095" s="2" t="s">
        <v>15</v>
      </c>
      <c r="G1095" s="7" t="str">
        <f aca="false">HYPERLINK("https://mncourtfraud.com/file/MCRO_27-CR-21-12762_Order-Evaluation for Competency to Proceed (Rule 20.01)_2024-04-30_20251126182523.pdf","MCRO_27-CR-21-12762_Order-Evaluation for Competency to Proceed (Rule 20.01)_2024-04-30_20251126182523.pdf")</f>
        <v>MCRO_27-CR-21-12762_Order-Evaluation for Competency to Proceed (Rule 20.01)_2024-04-30_20251126182523.pdf</v>
      </c>
      <c r="H1095" s="7" t="str">
        <f aca="false">HYPERLINK("https://mncourtfraud.com/file/4db7d2599119dc45c08adba3b9b2ba67e6a3d697261d3f95ca4c5b01777bcfbe.ttf","4db7d2599119dc45c08adba3b9b2ba67e6a3d697261d3f95ca4c5b01777bcfbe")</f>
        <v>4db7d2599119dc45c08adba3b9b2ba67e6a3d697261d3f95ca4c5b01777bcfbe</v>
      </c>
      <c r="I1095" s="1" t="s">
        <v>3413</v>
      </c>
      <c r="L1095" s="2" t="s">
        <v>3415</v>
      </c>
      <c r="M1095" s="2" t="n">
        <v>333576</v>
      </c>
    </row>
    <row r="1096" customFormat="false" ht="18.7" hidden="false" customHeight="true" outlineLevel="0" collapsed="false">
      <c r="A1096" s="1" t="n">
        <v>1095</v>
      </c>
      <c r="B1096" s="7" t="str">
        <f aca="false">HYPERLINK("https://mncourtfraud.com/file/27-CR-21-12762.pdf","27-CR-21-12762")</f>
        <v>27-CR-21-12762</v>
      </c>
      <c r="C1096" s="1" t="n">
        <v>1</v>
      </c>
      <c r="D1096" s="2" t="s">
        <v>12</v>
      </c>
      <c r="E1096" s="8" t="n">
        <v>45412</v>
      </c>
      <c r="F1096" s="2" t="s">
        <v>15</v>
      </c>
      <c r="G1096" s="7" t="str">
        <f aca="false">HYPERLINK("https://mncourtfraud.com/file/MCRO_27-CR-21-12762_Order-Evaluation for Competency to Proceed (Rule 20.01)_2024-04-30_20251126182523.pdf","MCRO_27-CR-21-12762_Order-Evaluation for Competency to Proceed (Rule 20.01)_2024-04-30_20251126182523.pdf")</f>
        <v>MCRO_27-CR-21-12762_Order-Evaluation for Competency to Proceed (Rule 20.01)_2024-04-30_20251126182523.pdf</v>
      </c>
      <c r="H1096" s="7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1096" s="1" t="s">
        <v>3406</v>
      </c>
      <c r="L1096" s="2" t="s">
        <v>3412</v>
      </c>
      <c r="M1096" s="2" t="n">
        <v>71271</v>
      </c>
      <c r="S1096" s="2" t="n">
        <v>2560</v>
      </c>
      <c r="T1096" s="2" t="n">
        <v>3300</v>
      </c>
    </row>
    <row r="1097" customFormat="false" ht="18.7" hidden="false" customHeight="true" outlineLevel="0" collapsed="false">
      <c r="A1097" s="1" t="n">
        <v>1096</v>
      </c>
      <c r="B1097" s="7" t="str">
        <f aca="false">HYPERLINK("https://mncourtfraud.com/file/27-CR-21-12762.pdf","27-CR-21-12762")</f>
        <v>27-CR-21-12762</v>
      </c>
      <c r="C1097" s="1" t="n">
        <v>1</v>
      </c>
      <c r="D1097" s="2" t="s">
        <v>12</v>
      </c>
      <c r="E1097" s="8" t="n">
        <v>45412</v>
      </c>
      <c r="F1097" s="2" t="s">
        <v>24</v>
      </c>
      <c r="G1097" s="7" t="str">
        <f aca="false">HYPERLINK("https://mncourtfraud.com/file/MCRO_27-CR-21-12762_Order for Conditional Release_2024-04-30_20251126182405.pdf","MCRO_27-CR-21-12762_Order for Conditional Release_2024-04-30_20251126182405.pdf")</f>
        <v>MCRO_27-CR-21-12762_Order for Conditional Release_2024-04-30_20251126182405.pdf</v>
      </c>
      <c r="H1097" s="7" t="str">
        <f aca="false">HYPERLINK("https://mncourtfraud.com/file/d5cf4f06aaee8f372e6af86dab12d75d131a3ba68ba6baeac4b7b514ef3e0b85.ttf","d5cf4f06aaee8f372e6af86dab12d75d131a3ba68ba6baeac4b7b514ef3e0b85")</f>
        <v>d5cf4f06aaee8f372e6af86dab12d75d131a3ba68ba6baeac4b7b514ef3e0b85</v>
      </c>
      <c r="I1097" s="1" t="s">
        <v>3413</v>
      </c>
      <c r="L1097" s="2" t="s">
        <v>3415</v>
      </c>
      <c r="M1097" s="2" t="n">
        <v>333576</v>
      </c>
    </row>
    <row r="1098" customFormat="false" ht="18.7" hidden="false" customHeight="true" outlineLevel="0" collapsed="false">
      <c r="A1098" s="1" t="n">
        <v>1097</v>
      </c>
      <c r="B1098" s="7" t="str">
        <f aca="false">HYPERLINK("https://mncourtfraud.com/file/27-CR-21-12762.pdf","27-CR-21-12762")</f>
        <v>27-CR-21-12762</v>
      </c>
      <c r="C1098" s="1" t="n">
        <v>1</v>
      </c>
      <c r="D1098" s="2" t="s">
        <v>12</v>
      </c>
      <c r="E1098" s="8" t="n">
        <v>45412</v>
      </c>
      <c r="F1098" s="2" t="s">
        <v>24</v>
      </c>
      <c r="G1098" s="7" t="str">
        <f aca="false">HYPERLINK("https://mncourtfraud.com/file/MCRO_27-CR-21-12762_Order for Conditional Release_2024-04-30_20251126182405.pdf","MCRO_27-CR-21-12762_Order for Conditional Release_2024-04-30_20251126182405.pdf")</f>
        <v>MCRO_27-CR-21-12762_Order for Conditional Release_2024-04-30_20251126182405.pdf</v>
      </c>
      <c r="H1098" s="7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1098" s="1" t="s">
        <v>3406</v>
      </c>
      <c r="L1098" s="2" t="s">
        <v>3412</v>
      </c>
      <c r="M1098" s="2" t="n">
        <v>195018</v>
      </c>
      <c r="S1098" s="2" t="n">
        <v>2560</v>
      </c>
      <c r="T1098" s="2" t="n">
        <v>3300</v>
      </c>
    </row>
    <row r="1099" customFormat="false" ht="18.7" hidden="false" customHeight="true" outlineLevel="0" collapsed="false">
      <c r="A1099" s="1" t="n">
        <v>1098</v>
      </c>
      <c r="B1099" s="7" t="str">
        <f aca="false">HYPERLINK("https://mncourtfraud.com/file/27-CR-21-12947.pdf","27-CR-21-12947")</f>
        <v>27-CR-21-12947</v>
      </c>
      <c r="C1099" s="1" t="n">
        <v>1</v>
      </c>
      <c r="D1099" s="2" t="s">
        <v>12</v>
      </c>
      <c r="E1099" s="8" t="n">
        <v>44396</v>
      </c>
      <c r="F1099" s="2" t="s">
        <v>15</v>
      </c>
      <c r="G1099" s="7" t="str">
        <f aca="false">HYPERLINK("https://mncourtfraud.com/file/MCRO_27-CR-21-12947_Order-Evaluation for Competency to Proceed (Rule 20.01)_2021-07-19_20251126182723.pdf","MCRO_27-CR-21-12947_Order-Evaluation for Competency to Proceed (Rule 20.01)_2021-07-19_20251126182723.pdf")</f>
        <v>MCRO_27-CR-21-12947_Order-Evaluation for Competency to Proceed (Rule 20.01)_2021-07-19_20251126182723.pdf</v>
      </c>
      <c r="H1099" s="7" t="str">
        <f aca="false">HYPERLINK("https://mncourtfraud.com/file/0114cedb83686400bc4514d16e143c8042cdea94890e5775a3d9aa16e3aed0c3.ttf","0114cedb83686400bc4514d16e143c8042cdea94890e5775a3d9aa16e3aed0c3")</f>
        <v>0114cedb83686400bc4514d16e143c8042cdea94890e5775a3d9aa16e3aed0c3</v>
      </c>
      <c r="I1099" s="1" t="s">
        <v>3413</v>
      </c>
      <c r="L1099" s="2" t="s">
        <v>3415</v>
      </c>
      <c r="M1099" s="2" t="n">
        <v>333584</v>
      </c>
    </row>
    <row r="1100" customFormat="false" ht="18.7" hidden="false" customHeight="true" outlineLevel="0" collapsed="false">
      <c r="A1100" s="1" t="n">
        <v>1099</v>
      </c>
      <c r="B1100" s="7" t="str">
        <f aca="false">HYPERLINK("https://mncourtfraud.com/file/27-CR-21-12947.pdf","27-CR-21-12947")</f>
        <v>27-CR-21-12947</v>
      </c>
      <c r="C1100" s="1" t="n">
        <v>1</v>
      </c>
      <c r="D1100" s="2" t="s">
        <v>12</v>
      </c>
      <c r="E1100" s="8" t="n">
        <v>44396</v>
      </c>
      <c r="F1100" s="2" t="s">
        <v>15</v>
      </c>
      <c r="G1100" s="7" t="str">
        <f aca="false">HYPERLINK("https://mncourtfraud.com/file/MCRO_27-CR-21-12947_Order-Evaluation for Competency to Proceed (Rule 20.01)_2021-07-19_20251126182723.pdf","MCRO_27-CR-21-12947_Order-Evaluation for Competency to Proceed (Rule 20.01)_2021-07-19_20251126182723.pdf")</f>
        <v>MCRO_27-CR-21-12947_Order-Evaluation for Competency to Proceed (Rule 20.01)_2021-07-19_20251126182723.pdf</v>
      </c>
      <c r="H1100" s="7" t="str">
        <f aca="false">HYPERLINK("https://mncourtfraud.com/file/c0dfb10b280422e455c1d7b8783967ee4c48c24734093b5021f493c77a702313.png","c0dfb10b280422e455c1d7b8783967ee4c48c24734093b5021f493c77a702313")</f>
        <v>c0dfb10b280422e455c1d7b8783967ee4c48c24734093b5021f493c77a702313</v>
      </c>
      <c r="I1100" s="1" t="s">
        <v>3406</v>
      </c>
      <c r="L1100" s="2" t="s">
        <v>3412</v>
      </c>
      <c r="M1100" s="2" t="n">
        <v>150193</v>
      </c>
      <c r="S1100" s="2" t="n">
        <v>2550</v>
      </c>
      <c r="T1100" s="2" t="n">
        <v>3300</v>
      </c>
    </row>
    <row r="1101" customFormat="false" ht="18.7" hidden="false" customHeight="true" outlineLevel="0" collapsed="false">
      <c r="A1101" s="1" t="n">
        <v>1100</v>
      </c>
      <c r="B1101" s="7" t="str">
        <f aca="false">HYPERLINK("https://mncourtfraud.com/file/27-CR-21-12947.pdf","27-CR-21-12947")</f>
        <v>27-CR-21-12947</v>
      </c>
      <c r="C1101" s="1" t="n">
        <v>1</v>
      </c>
      <c r="D1101" s="2" t="s">
        <v>12</v>
      </c>
      <c r="E1101" s="8" t="n">
        <v>44396</v>
      </c>
      <c r="F1101" s="2" t="s">
        <v>15</v>
      </c>
      <c r="G1101" s="7" t="str">
        <f aca="false">HYPERLINK("https://mncourtfraud.com/file/MCRO_27-CR-21-12947_Order-Evaluation for Competency to Proceed (Rule 20.01)_2021-07-19_20251126182723.pdf","MCRO_27-CR-21-12947_Order-Evaluation for Competency to Proceed (Rule 20.01)_2021-07-19_20251126182723.pdf")</f>
        <v>MCRO_27-CR-21-12947_Order-Evaluation for Competency to Proceed (Rule 20.01)_2021-07-19_20251126182723.pdf</v>
      </c>
      <c r="H1101" s="7" t="str">
        <f aca="false">HYPERLINK("https://mncourtfraud.com/file/dbdc4947f62d0128dc7e0b9ab238867cd87b2a11591c2434a318750ef79b1edf.png","dbdc4947f62d0128dc7e0b9ab238867cd87b2a11591c2434a318750ef79b1edf")</f>
        <v>dbdc4947f62d0128dc7e0b9ab238867cd87b2a11591c2434a318750ef79b1edf</v>
      </c>
      <c r="I1101" s="1" t="s">
        <v>3406</v>
      </c>
      <c r="L1101" s="2" t="s">
        <v>3412</v>
      </c>
      <c r="M1101" s="2" t="n">
        <v>143831</v>
      </c>
      <c r="S1101" s="2" t="n">
        <v>2550</v>
      </c>
      <c r="T1101" s="2" t="n">
        <v>3300</v>
      </c>
    </row>
    <row r="1102" customFormat="false" ht="18.7" hidden="false" customHeight="true" outlineLevel="0" collapsed="false">
      <c r="A1102" s="1" t="n">
        <v>1101</v>
      </c>
      <c r="B1102" s="7" t="str">
        <f aca="false">HYPERLINK("https://mncourtfraud.com/file/27-CR-21-12947.pdf","27-CR-21-12947")</f>
        <v>27-CR-21-12947</v>
      </c>
      <c r="C1102" s="1" t="n">
        <v>1</v>
      </c>
      <c r="D1102" s="2" t="s">
        <v>12</v>
      </c>
      <c r="E1102" s="8" t="n">
        <v>44405</v>
      </c>
      <c r="F1102" s="2" t="s">
        <v>145</v>
      </c>
      <c r="G1102" s="7" t="str">
        <f aca="false">HYPERLINK("https://mncourtfraud.com/file/MCRO_27-CR-21-12947_Demand or Request for Discovery_2021-07-28_20251126182551.pdf","MCRO_27-CR-21-12947_Demand or Request for Discovery_2021-07-28_20251126182551.pdf")</f>
        <v>MCRO_27-CR-21-12947_Demand or Request for Discovery_2021-07-28_20251126182551.pdf</v>
      </c>
      <c r="H1102" s="7" t="str">
        <f aca="false">HYPERLINK("https://mncourtfraud.com/file/5163cc3890681204e1e573801c0218018bd17881050cf4e365b897645b615a73.ttf","5163cc3890681204e1e573801c0218018bd17881050cf4e365b897645b615a73")</f>
        <v>5163cc3890681204e1e573801c0218018bd17881050cf4e365b897645b615a73</v>
      </c>
      <c r="I1102" s="1" t="s">
        <v>3413</v>
      </c>
      <c r="J1102" s="2" t="s">
        <v>3489</v>
      </c>
      <c r="K1102" s="2" t="s">
        <v>3489</v>
      </c>
      <c r="L1102" s="2" t="s">
        <v>3415</v>
      </c>
      <c r="M1102" s="2" t="n">
        <v>38978</v>
      </c>
      <c r="N1102" s="2" t="s">
        <v>3490</v>
      </c>
    </row>
    <row r="1103" customFormat="false" ht="18.7" hidden="false" customHeight="true" outlineLevel="0" collapsed="false">
      <c r="A1103" s="1" t="n">
        <v>1102</v>
      </c>
      <c r="B1103" s="7" t="str">
        <f aca="false">HYPERLINK("https://mncourtfraud.com/file/27-CR-21-12947.pdf","27-CR-21-12947")</f>
        <v>27-CR-21-12947</v>
      </c>
      <c r="C1103" s="1" t="n">
        <v>1</v>
      </c>
      <c r="D1103" s="2" t="s">
        <v>12</v>
      </c>
      <c r="E1103" s="8" t="n">
        <v>44405</v>
      </c>
      <c r="F1103" s="2" t="s">
        <v>145</v>
      </c>
      <c r="G1103" s="7" t="str">
        <f aca="false">HYPERLINK("https://mncourtfraud.com/file/MCRO_27-CR-21-12947_Demand or Request for Discovery_2021-07-28_20251126182551.pdf","MCRO_27-CR-21-12947_Demand or Request for Discovery_2021-07-28_20251126182551.pdf")</f>
        <v>MCRO_27-CR-21-12947_Demand or Request for Discovery_2021-07-28_20251126182551.pdf</v>
      </c>
      <c r="H1103" s="7" t="str">
        <f aca="false">HYPERLINK("https://mncourtfraud.com/file/7316c3eed3eeaa8564bb42d23061cd9c1435105f91289288abefcaae8c5f57e3.ttf","7316c3eed3eeaa8564bb42d23061cd9c1435105f91289288abefcaae8c5f57e3")</f>
        <v>7316c3eed3eeaa8564bb42d23061cd9c1435105f91289288abefcaae8c5f57e3</v>
      </c>
      <c r="I1103" s="1" t="s">
        <v>3413</v>
      </c>
      <c r="J1103" s="2" t="s">
        <v>3491</v>
      </c>
      <c r="K1103" s="2" t="s">
        <v>3491</v>
      </c>
      <c r="L1103" s="2" t="s">
        <v>3415</v>
      </c>
      <c r="M1103" s="2" t="n">
        <v>77476</v>
      </c>
      <c r="N1103" s="2" t="s">
        <v>3492</v>
      </c>
    </row>
    <row r="1104" customFormat="false" ht="18.7" hidden="false" customHeight="true" outlineLevel="0" collapsed="false">
      <c r="A1104" s="1" t="n">
        <v>1103</v>
      </c>
      <c r="B1104" s="7" t="str">
        <f aca="false">HYPERLINK("https://mncourtfraud.com/file/27-CR-21-12947.pdf","27-CR-21-12947")</f>
        <v>27-CR-21-12947</v>
      </c>
      <c r="C1104" s="1" t="n">
        <v>1</v>
      </c>
      <c r="D1104" s="2" t="s">
        <v>12</v>
      </c>
      <c r="E1104" s="8" t="n">
        <v>44405</v>
      </c>
      <c r="F1104" s="2" t="s">
        <v>145</v>
      </c>
      <c r="G1104" s="7" t="str">
        <f aca="false">HYPERLINK("https://mncourtfraud.com/file/MCRO_27-CR-21-12947_Demand or Request for Discovery_2021-07-28_20251126182551.pdf","MCRO_27-CR-21-12947_Demand or Request for Discovery_2021-07-28_20251126182551.pdf")</f>
        <v>MCRO_27-CR-21-12947_Demand or Request for Discovery_2021-07-28_20251126182551.pdf</v>
      </c>
      <c r="H1104" s="7" t="str">
        <f aca="false">HYPERLINK("https://mncourtfraud.com/file/b11b365bf5e43926890d0743f7ed2e0f6a38ec25f5e4537307a39ba914f804c6.ttf","b11b365bf5e43926890d0743f7ed2e0f6a38ec25f5e4537307a39ba914f804c6")</f>
        <v>b11b365bf5e43926890d0743f7ed2e0f6a38ec25f5e4537307a39ba914f804c6</v>
      </c>
      <c r="I1104" s="1" t="s">
        <v>3413</v>
      </c>
      <c r="J1104" s="2" t="s">
        <v>3493</v>
      </c>
      <c r="K1104" s="2" t="s">
        <v>3493</v>
      </c>
      <c r="L1104" s="2" t="s">
        <v>3415</v>
      </c>
      <c r="M1104" s="2" t="n">
        <v>98894</v>
      </c>
      <c r="N1104" s="2" t="s">
        <v>3494</v>
      </c>
    </row>
    <row r="1105" customFormat="false" ht="18.7" hidden="false" customHeight="true" outlineLevel="0" collapsed="false">
      <c r="A1105" s="1" t="n">
        <v>1104</v>
      </c>
      <c r="B1105" s="7" t="str">
        <f aca="false">HYPERLINK("https://mncourtfraud.com/file/27-CR-21-12947.pdf","27-CR-21-12947")</f>
        <v>27-CR-21-12947</v>
      </c>
      <c r="C1105" s="1" t="n">
        <v>1</v>
      </c>
      <c r="D1105" s="2" t="s">
        <v>12</v>
      </c>
      <c r="E1105" s="8" t="n">
        <v>44405</v>
      </c>
      <c r="F1105" s="2" t="s">
        <v>145</v>
      </c>
      <c r="G1105" s="7" t="str">
        <f aca="false">HYPERLINK("https://mncourtfraud.com/file/MCRO_27-CR-21-12947_Demand or Request for Discovery_2021-07-28_20251126182551.pdf","MCRO_27-CR-21-12947_Demand or Request for Discovery_2021-07-28_20251126182551.pdf")</f>
        <v>MCRO_27-CR-21-12947_Demand or Request for Discovery_2021-07-28_20251126182551.pdf</v>
      </c>
      <c r="H1105" s="7" t="str">
        <f aca="false">HYPERLINK("https://mncourtfraud.com/file/d9e3d247fda6f2b2b2c11bff292dd1f8b12e195ec6b713ecf9f2dc76e5266cd1.ttf","d9e3d247fda6f2b2b2c11bff292dd1f8b12e195ec6b713ecf9f2dc76e5266cd1")</f>
        <v>d9e3d247fda6f2b2b2c11bff292dd1f8b12e195ec6b713ecf9f2dc76e5266cd1</v>
      </c>
      <c r="I1105" s="1" t="s">
        <v>3413</v>
      </c>
      <c r="J1105" s="2" t="s">
        <v>3495</v>
      </c>
      <c r="K1105" s="2" t="s">
        <v>3495</v>
      </c>
      <c r="L1105" s="2" t="s">
        <v>3415</v>
      </c>
      <c r="M1105" s="2" t="n">
        <v>51515</v>
      </c>
      <c r="N1105" s="2" t="s">
        <v>3496</v>
      </c>
    </row>
    <row r="1106" customFormat="false" ht="18.7" hidden="false" customHeight="true" outlineLevel="0" collapsed="false">
      <c r="A1106" s="1" t="n">
        <v>1105</v>
      </c>
      <c r="B1106" s="7" t="str">
        <f aca="false">HYPERLINK("https://mncourtfraud.com/file/27-CR-21-12947.pdf","27-CR-21-12947")</f>
        <v>27-CR-21-12947</v>
      </c>
      <c r="C1106" s="1" t="n">
        <v>1</v>
      </c>
      <c r="D1106" s="2" t="s">
        <v>12</v>
      </c>
      <c r="E1106" s="8" t="n">
        <v>44439</v>
      </c>
      <c r="F1106" s="2" t="s">
        <v>19</v>
      </c>
      <c r="G1106" s="7" t="str">
        <f aca="false">HYPERLINK("https://mncourtfraud.com/file/MCRO_27-CR-21-12947_Findings and Order_2021-08-31_20251126182625.pdf","MCRO_27-CR-21-12947_Findings and Order_2021-08-31_20251126182625.pdf")</f>
        <v>MCRO_27-CR-21-12947_Findings and Order_2021-08-31_20251126182625.pdf</v>
      </c>
      <c r="H1106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1106" s="1" t="s">
        <v>3413</v>
      </c>
      <c r="J1106" s="2" t="s">
        <v>3426</v>
      </c>
      <c r="K1106" s="2" t="s">
        <v>3426</v>
      </c>
      <c r="L1106" s="2" t="s">
        <v>3415</v>
      </c>
      <c r="M1106" s="2" t="n">
        <v>74997</v>
      </c>
      <c r="N1106" s="2" t="s">
        <v>3427</v>
      </c>
    </row>
    <row r="1107" customFormat="false" ht="18.7" hidden="false" customHeight="true" outlineLevel="0" collapsed="false">
      <c r="A1107" s="1" t="n">
        <v>1106</v>
      </c>
      <c r="B1107" s="7" t="str">
        <f aca="false">HYPERLINK("https://mncourtfraud.com/file/27-CR-21-12947.pdf","27-CR-21-12947")</f>
        <v>27-CR-21-12947</v>
      </c>
      <c r="C1107" s="1" t="n">
        <v>1</v>
      </c>
      <c r="D1107" s="2" t="s">
        <v>12</v>
      </c>
      <c r="E1107" s="8" t="n">
        <v>44439</v>
      </c>
      <c r="F1107" s="2" t="s">
        <v>19</v>
      </c>
      <c r="G1107" s="7" t="str">
        <f aca="false">HYPERLINK("https://mncourtfraud.com/file/MCRO_27-CR-21-12947_Findings and Order_2021-08-31_20251126182625.pdf","MCRO_27-CR-21-12947_Findings and Order_2021-08-31_20251126182625.pdf")</f>
        <v>MCRO_27-CR-21-12947_Findings and Order_2021-08-31_20251126182625.pdf</v>
      </c>
      <c r="H1107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1107" s="1" t="s">
        <v>3413</v>
      </c>
      <c r="J1107" s="2" t="s">
        <v>3414</v>
      </c>
      <c r="K1107" s="2" t="s">
        <v>3414</v>
      </c>
      <c r="L1107" s="2" t="s">
        <v>3415</v>
      </c>
      <c r="M1107" s="2" t="n">
        <v>65384</v>
      </c>
    </row>
    <row r="1108" customFormat="false" ht="18.7" hidden="false" customHeight="true" outlineLevel="0" collapsed="false">
      <c r="A1108" s="1" t="n">
        <v>1107</v>
      </c>
      <c r="B1108" s="7" t="str">
        <f aca="false">HYPERLINK("https://mncourtfraud.com/file/27-CR-21-12947.pdf","27-CR-21-12947")</f>
        <v>27-CR-21-12947</v>
      </c>
      <c r="C1108" s="1" t="n">
        <v>1</v>
      </c>
      <c r="D1108" s="2" t="s">
        <v>12</v>
      </c>
      <c r="E1108" s="8" t="n">
        <v>44439</v>
      </c>
      <c r="F1108" s="2" t="s">
        <v>19</v>
      </c>
      <c r="G1108" s="7" t="str">
        <f aca="false">HYPERLINK("https://mncourtfraud.com/file/MCRO_27-CR-21-12947_Findings and Order_2021-08-31_20251126182625.pdf","MCRO_27-CR-21-12947_Findings and Order_2021-08-31_20251126182625.pdf")</f>
        <v>MCRO_27-CR-21-12947_Findings and Order_2021-08-31_20251126182625.pdf</v>
      </c>
      <c r="H1108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1108" s="1" t="s">
        <v>3413</v>
      </c>
      <c r="J1108" s="2" t="s">
        <v>3414</v>
      </c>
      <c r="K1108" s="2" t="s">
        <v>3414</v>
      </c>
      <c r="L1108" s="2" t="s">
        <v>3415</v>
      </c>
      <c r="M1108" s="2" t="n">
        <v>65384</v>
      </c>
    </row>
    <row r="1109" customFormat="false" ht="18.7" hidden="false" customHeight="true" outlineLevel="0" collapsed="false">
      <c r="A1109" s="1" t="n">
        <v>1108</v>
      </c>
      <c r="B1109" s="7" t="str">
        <f aca="false">HYPERLINK("https://mncourtfraud.com/file/27-CR-21-12947.pdf","27-CR-21-12947")</f>
        <v>27-CR-21-12947</v>
      </c>
      <c r="C1109" s="1" t="n">
        <v>1</v>
      </c>
      <c r="D1109" s="2" t="s">
        <v>12</v>
      </c>
      <c r="E1109" s="8" t="n">
        <v>44439</v>
      </c>
      <c r="F1109" s="2" t="s">
        <v>19</v>
      </c>
      <c r="G1109" s="7" t="str">
        <f aca="false">HYPERLINK("https://mncourtfraud.com/file/MCRO_27-CR-21-12947_Findings and Order_2021-08-31_20251126182625.pdf","MCRO_27-CR-21-12947_Findings and Order_2021-08-31_20251126182625.pdf")</f>
        <v>MCRO_27-CR-21-12947_Findings and Order_2021-08-31_20251126182625.pdf</v>
      </c>
      <c r="H1109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1109" s="1" t="s">
        <v>3428</v>
      </c>
      <c r="J1109" s="2" t="s">
        <v>3429</v>
      </c>
      <c r="K1109" s="2" t="s">
        <v>3429</v>
      </c>
      <c r="L1109" s="2" t="s">
        <v>3415</v>
      </c>
      <c r="M1109" s="2" t="n">
        <v>86093</v>
      </c>
    </row>
    <row r="1110" customFormat="false" ht="18.7" hidden="false" customHeight="true" outlineLevel="0" collapsed="false">
      <c r="A1110" s="1" t="n">
        <v>1109</v>
      </c>
      <c r="B1110" s="7" t="str">
        <f aca="false">HYPERLINK("https://mncourtfraud.com/file/27-CR-21-12947.pdf","27-CR-21-12947")</f>
        <v>27-CR-21-12947</v>
      </c>
      <c r="C1110" s="1" t="n">
        <v>1</v>
      </c>
      <c r="D1110" s="2" t="s">
        <v>12</v>
      </c>
      <c r="E1110" s="8" t="n">
        <v>44439</v>
      </c>
      <c r="F1110" s="2" t="s">
        <v>19</v>
      </c>
      <c r="G1110" s="7" t="str">
        <f aca="false">HYPERLINK("https://mncourtfraud.com/file/MCRO_27-CR-21-12947_Findings and Order_2021-08-31_20251126182625.pdf","MCRO_27-CR-21-12947_Findings and Order_2021-08-31_20251126182625.pdf")</f>
        <v>MCRO_27-CR-21-12947_Findings and Order_2021-08-31_20251126182625.pdf</v>
      </c>
      <c r="H1110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1110" s="1" t="s">
        <v>3406</v>
      </c>
      <c r="K1110" s="2" t="s">
        <v>3430</v>
      </c>
      <c r="L1110" s="2" t="s">
        <v>3408</v>
      </c>
      <c r="M1110" s="2" t="n">
        <v>28069</v>
      </c>
      <c r="O1110" s="2" t="s">
        <v>3409</v>
      </c>
      <c r="P1110" s="2" t="s">
        <v>3410</v>
      </c>
      <c r="S1110" s="2" t="n">
        <v>448</v>
      </c>
      <c r="T1110" s="2" t="n">
        <v>128</v>
      </c>
    </row>
    <row r="1111" customFormat="false" ht="18.7" hidden="false" customHeight="true" outlineLevel="0" collapsed="false">
      <c r="A1111" s="1" t="n">
        <v>1110</v>
      </c>
      <c r="B1111" s="7" t="str">
        <f aca="false">HYPERLINK("https://mncourtfraud.com/file/27-CR-21-12947.pdf","27-CR-21-12947")</f>
        <v>27-CR-21-12947</v>
      </c>
      <c r="C1111" s="1" t="n">
        <v>1</v>
      </c>
      <c r="D1111" s="2" t="s">
        <v>12</v>
      </c>
      <c r="E1111" s="8" t="n">
        <v>44439</v>
      </c>
      <c r="F1111" s="2" t="s">
        <v>19</v>
      </c>
      <c r="G1111" s="7" t="str">
        <f aca="false">HYPERLINK("https://mncourtfraud.com/file/MCRO_27-CR-21-12947_Findings and Order_2021-08-31_20251126182625.pdf","MCRO_27-CR-21-12947_Findings and Order_2021-08-31_20251126182625.pdf")</f>
        <v>MCRO_27-CR-21-12947_Findings and Order_2021-08-31_20251126182625.pdf</v>
      </c>
      <c r="H1111" s="7" t="str">
        <f aca="false">HYPERLINK("https://mncourtfraud.com/file/d85226137c53579f37f2c87321a4ff209a309a82330591d9457774d7d697befc.ttf","d85226137c53579f37f2c87321a4ff209a309a82330591d9457774d7d697befc")</f>
        <v>d85226137c53579f37f2c87321a4ff209a309a82330591d9457774d7d697befc</v>
      </c>
      <c r="I1111" s="1" t="s">
        <v>3413</v>
      </c>
      <c r="J1111" s="2" t="s">
        <v>3414</v>
      </c>
      <c r="K1111" s="2" t="s">
        <v>3416</v>
      </c>
      <c r="L1111" s="2" t="s">
        <v>3415</v>
      </c>
      <c r="M1111" s="2" t="n">
        <v>49992</v>
      </c>
    </row>
    <row r="1112" customFormat="false" ht="18.7" hidden="false" customHeight="true" outlineLevel="0" collapsed="false">
      <c r="A1112" s="1" t="n">
        <v>1111</v>
      </c>
      <c r="B1112" s="7" t="str">
        <f aca="false">HYPERLINK("https://mncourtfraud.com/file/27-CR-21-12947.pdf","27-CR-21-12947")</f>
        <v>27-CR-21-12947</v>
      </c>
      <c r="C1112" s="1" t="n">
        <v>1</v>
      </c>
      <c r="D1112" s="2" t="s">
        <v>12</v>
      </c>
      <c r="E1112" s="8" t="n">
        <v>44460</v>
      </c>
      <c r="F1112" s="2" t="s">
        <v>24</v>
      </c>
      <c r="G1112" s="7" t="str">
        <f aca="false">HYPERLINK("https://mncourtfraud.com/file/MCRO_27-CR-21-12947_Order for Conditional Release_2021-09-21_20251126182704.pdf","MCRO_27-CR-21-12947_Order for Conditional Release_2021-09-21_20251126182704.pdf")</f>
        <v>MCRO_27-CR-21-12947_Order for Conditional Release_2021-09-21_20251126182704.pdf</v>
      </c>
      <c r="H1112" s="7" t="str">
        <f aca="false">HYPERLINK("https://mncourtfraud.com/file/02dfb6e08fd11b3563d1b9b621b56dbf2dc11acbd85e42bfd83f728fb300bef2.ttf","02dfb6e08fd11b3563d1b9b621b56dbf2dc11acbd85e42bfd83f728fb300bef2")</f>
        <v>02dfb6e08fd11b3563d1b9b621b56dbf2dc11acbd85e42bfd83f728fb300bef2</v>
      </c>
      <c r="I1112" s="1" t="s">
        <v>3413</v>
      </c>
      <c r="L1112" s="2" t="s">
        <v>3415</v>
      </c>
      <c r="M1112" s="2" t="n">
        <v>333576</v>
      </c>
    </row>
    <row r="1113" customFormat="false" ht="18.7" hidden="false" customHeight="true" outlineLevel="0" collapsed="false">
      <c r="A1113" s="1" t="n">
        <v>1112</v>
      </c>
      <c r="B1113" s="7" t="str">
        <f aca="false">HYPERLINK("https://mncourtfraud.com/file/27-CR-21-12947.pdf","27-CR-21-12947")</f>
        <v>27-CR-21-12947</v>
      </c>
      <c r="C1113" s="1" t="n">
        <v>1</v>
      </c>
      <c r="D1113" s="2" t="s">
        <v>12</v>
      </c>
      <c r="E1113" s="8" t="n">
        <v>44460</v>
      </c>
      <c r="F1113" s="2" t="s">
        <v>24</v>
      </c>
      <c r="G1113" s="7" t="str">
        <f aca="false">HYPERLINK("https://mncourtfraud.com/file/MCRO_27-CR-21-12947_Order for Conditional Release_2021-09-21_20251126182704.pdf","MCRO_27-CR-21-12947_Order for Conditional Release_2021-09-21_20251126182704.pdf")</f>
        <v>MCRO_27-CR-21-12947_Order for Conditional Release_2021-09-21_20251126182704.pdf</v>
      </c>
      <c r="H1113" s="7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1113" s="1" t="s">
        <v>3406</v>
      </c>
      <c r="L1113" s="2" t="s">
        <v>3412</v>
      </c>
      <c r="M1113" s="2" t="n">
        <v>152962</v>
      </c>
      <c r="S1113" s="2" t="n">
        <v>2560</v>
      </c>
      <c r="T1113" s="2" t="n">
        <v>3300</v>
      </c>
    </row>
    <row r="1114" customFormat="false" ht="18.7" hidden="false" customHeight="true" outlineLevel="0" collapsed="false">
      <c r="A1114" s="1" t="n">
        <v>1113</v>
      </c>
      <c r="B1114" s="7" t="str">
        <f aca="false">HYPERLINK("https://mncourtfraud.com/file/27-CR-21-12947.pdf","27-CR-21-12947")</f>
        <v>27-CR-21-12947</v>
      </c>
      <c r="C1114" s="1" t="n">
        <v>1</v>
      </c>
      <c r="D1114" s="2" t="s">
        <v>12</v>
      </c>
      <c r="E1114" s="8" t="n">
        <v>44468</v>
      </c>
      <c r="F1114" s="2" t="s">
        <v>24</v>
      </c>
      <c r="G1114" s="7" t="str">
        <f aca="false">HYPERLINK("https://mncourtfraud.com/file/MCRO_27-CR-21-12947_Order for Conditional Release_2021-09-29_20251126182710.pdf","MCRO_27-CR-21-12947_Order for Conditional Release_2021-09-29_20251126182710.pdf")</f>
        <v>MCRO_27-CR-21-12947_Order for Conditional Release_2021-09-29_20251126182710.pdf</v>
      </c>
      <c r="H1114" s="7" t="str">
        <f aca="false">HYPERLINK("https://mncourtfraud.com/file/29d541cb6920f2a0815a72232c8164e19ffda7ff89f025261d343aef97d55c23.png","29d541cb6920f2a0815a72232c8164e19ffda7ff89f025261d343aef97d55c23")</f>
        <v>29d541cb6920f2a0815a72232c8164e19ffda7ff89f025261d343aef97d55c23</v>
      </c>
      <c r="I1114" s="1" t="s">
        <v>3406</v>
      </c>
      <c r="L1114" s="2" t="s">
        <v>3412</v>
      </c>
      <c r="M1114" s="2" t="n">
        <v>104</v>
      </c>
      <c r="S1114" s="2" t="n">
        <v>5</v>
      </c>
      <c r="T1114" s="2" t="n">
        <v>75</v>
      </c>
    </row>
    <row r="1115" customFormat="false" ht="18.7" hidden="false" customHeight="true" outlineLevel="0" collapsed="false">
      <c r="A1115" s="1" t="n">
        <v>1114</v>
      </c>
      <c r="B1115" s="7" t="str">
        <f aca="false">HYPERLINK("https://mncourtfraud.com/file/27-CR-21-12947.pdf","27-CR-21-12947")</f>
        <v>27-CR-21-12947</v>
      </c>
      <c r="C1115" s="1" t="n">
        <v>1</v>
      </c>
      <c r="D1115" s="2" t="s">
        <v>12</v>
      </c>
      <c r="E1115" s="8" t="n">
        <v>44468</v>
      </c>
      <c r="F1115" s="2" t="s">
        <v>24</v>
      </c>
      <c r="G1115" s="7" t="str">
        <f aca="false">HYPERLINK("https://mncourtfraud.com/file/MCRO_27-CR-21-12947_Order for Conditional Release_2021-09-29_20251126182710.pdf","MCRO_27-CR-21-12947_Order for Conditional Release_2021-09-29_20251126182710.pdf")</f>
        <v>MCRO_27-CR-21-12947_Order for Conditional Release_2021-09-29_20251126182710.pdf</v>
      </c>
      <c r="H1115" s="7" t="str">
        <f aca="false">HYPERLINK("https://mncourtfraud.com/file/3d978c70f8a4a91fd25d0f653c2931516767fdd837fcadff75a8c3cd2ba3a28e.png","3d978c70f8a4a91fd25d0f653c2931516767fdd837fcadff75a8c3cd2ba3a28e")</f>
        <v>3d978c70f8a4a91fd25d0f653c2931516767fdd837fcadff75a8c3cd2ba3a28e</v>
      </c>
      <c r="I1115" s="1" t="s">
        <v>3406</v>
      </c>
      <c r="L1115" s="2" t="s">
        <v>3412</v>
      </c>
      <c r="M1115" s="2" t="n">
        <v>2435</v>
      </c>
      <c r="S1115" s="2" t="n">
        <v>1069</v>
      </c>
      <c r="T1115" s="2" t="n">
        <v>679</v>
      </c>
    </row>
    <row r="1116" customFormat="false" ht="18.7" hidden="false" customHeight="true" outlineLevel="0" collapsed="false">
      <c r="A1116" s="1" t="n">
        <v>1115</v>
      </c>
      <c r="B1116" s="7" t="str">
        <f aca="false">HYPERLINK("https://mncourtfraud.com/file/27-CR-21-12947.pdf","27-CR-21-12947")</f>
        <v>27-CR-21-12947</v>
      </c>
      <c r="C1116" s="1" t="n">
        <v>1</v>
      </c>
      <c r="D1116" s="2" t="s">
        <v>12</v>
      </c>
      <c r="E1116" s="8" t="n">
        <v>44468</v>
      </c>
      <c r="F1116" s="2" t="s">
        <v>24</v>
      </c>
      <c r="G1116" s="7" t="str">
        <f aca="false">HYPERLINK("https://mncourtfraud.com/file/MCRO_27-CR-21-12947_Order for Conditional Release_2021-09-29_20251126182710.pdf","MCRO_27-CR-21-12947_Order for Conditional Release_2021-09-29_20251126182710.pdf")</f>
        <v>MCRO_27-CR-21-12947_Order for Conditional Release_2021-09-29_20251126182710.pdf</v>
      </c>
      <c r="H1116" s="7" t="str">
        <f aca="false">HYPERLINK("https://mncourtfraud.com/file/3f202249d41f264cabf7a4fd2c634829df7886c25cb759658f06c1a8bca28360.cid","3f202249d41f264cabf7a4fd2c634829df7886c25cb759658f06c1a8bca28360")</f>
        <v>3f202249d41f264cabf7a4fd2c634829df7886c25cb759658f06c1a8bca28360</v>
      </c>
      <c r="I1116" s="1" t="s">
        <v>3431</v>
      </c>
      <c r="L1116" s="2" t="s">
        <v>3415</v>
      </c>
      <c r="M1116" s="2" t="n">
        <v>1397</v>
      </c>
    </row>
    <row r="1117" customFormat="false" ht="18.7" hidden="false" customHeight="true" outlineLevel="0" collapsed="false">
      <c r="A1117" s="1" t="n">
        <v>1116</v>
      </c>
      <c r="B1117" s="7" t="str">
        <f aca="false">HYPERLINK("https://mncourtfraud.com/file/27-CR-21-12947.pdf","27-CR-21-12947")</f>
        <v>27-CR-21-12947</v>
      </c>
      <c r="C1117" s="1" t="n">
        <v>1</v>
      </c>
      <c r="D1117" s="2" t="s">
        <v>12</v>
      </c>
      <c r="E1117" s="8" t="n">
        <v>44468</v>
      </c>
      <c r="F1117" s="2" t="s">
        <v>24</v>
      </c>
      <c r="G1117" s="7" t="str">
        <f aca="false">HYPERLINK("https://mncourtfraud.com/file/MCRO_27-CR-21-12947_Order for Conditional Release_2021-09-29_20251126182710.pdf","MCRO_27-CR-21-12947_Order for Conditional Release_2021-09-29_20251126182710.pdf")</f>
        <v>MCRO_27-CR-21-12947_Order for Conditional Release_2021-09-29_20251126182710.pdf</v>
      </c>
      <c r="H1117" s="7" t="str">
        <f aca="false">HYPERLINK("https://mncourtfraud.com/file/425a64ecdc19aa0c86b927b2be8980d179c92ac4af2a49d3c3ad0aa278728c52.png","425a64ecdc19aa0c86b927b2be8980d179c92ac4af2a49d3c3ad0aa278728c52")</f>
        <v>425a64ecdc19aa0c86b927b2be8980d179c92ac4af2a49d3c3ad0aa278728c52</v>
      </c>
      <c r="I1117" s="1" t="s">
        <v>3406</v>
      </c>
      <c r="L1117" s="2" t="s">
        <v>3412</v>
      </c>
      <c r="M1117" s="2" t="n">
        <v>520</v>
      </c>
      <c r="S1117" s="2" t="n">
        <v>126</v>
      </c>
      <c r="T1117" s="2" t="n">
        <v>150</v>
      </c>
    </row>
    <row r="1118" customFormat="false" ht="18.7" hidden="false" customHeight="true" outlineLevel="0" collapsed="false">
      <c r="A1118" s="1" t="n">
        <v>1117</v>
      </c>
      <c r="B1118" s="7" t="str">
        <f aca="false">HYPERLINK("https://mncourtfraud.com/file/27-CR-21-12947.pdf","27-CR-21-12947")</f>
        <v>27-CR-21-12947</v>
      </c>
      <c r="C1118" s="1" t="n">
        <v>1</v>
      </c>
      <c r="D1118" s="2" t="s">
        <v>12</v>
      </c>
      <c r="E1118" s="8" t="n">
        <v>44468</v>
      </c>
      <c r="F1118" s="2" t="s">
        <v>24</v>
      </c>
      <c r="G1118" s="7" t="str">
        <f aca="false">HYPERLINK("https://mncourtfraud.com/file/MCRO_27-CR-21-12947_Order for Conditional Release_2021-09-29_20251126182710.pdf","MCRO_27-CR-21-12947_Order for Conditional Release_2021-09-29_20251126182710.pdf")</f>
        <v>MCRO_27-CR-21-12947_Order for Conditional Release_2021-09-29_20251126182710.pdf</v>
      </c>
      <c r="H1118" s="7" t="str">
        <f aca="false">HYPERLINK("https://mncourtfraud.com/file/4458a2b033c8132fd890227750c1df180ec4563b9dc0a6394b3691240425c9b3.cid","4458a2b033c8132fd890227750c1df180ec4563b9dc0a6394b3691240425c9b3")</f>
        <v>4458a2b033c8132fd890227750c1df180ec4563b9dc0a6394b3691240425c9b3</v>
      </c>
      <c r="I1118" s="1" t="s">
        <v>3431</v>
      </c>
      <c r="L1118" s="2" t="s">
        <v>3415</v>
      </c>
      <c r="M1118" s="2" t="n">
        <v>3580</v>
      </c>
    </row>
    <row r="1119" customFormat="false" ht="18.7" hidden="false" customHeight="true" outlineLevel="0" collapsed="false">
      <c r="A1119" s="1" t="n">
        <v>1118</v>
      </c>
      <c r="B1119" s="7" t="str">
        <f aca="false">HYPERLINK("https://mncourtfraud.com/file/27-CR-21-12947.pdf","27-CR-21-12947")</f>
        <v>27-CR-21-12947</v>
      </c>
      <c r="C1119" s="1" t="n">
        <v>1</v>
      </c>
      <c r="D1119" s="2" t="s">
        <v>12</v>
      </c>
      <c r="E1119" s="8" t="n">
        <v>44468</v>
      </c>
      <c r="F1119" s="2" t="s">
        <v>24</v>
      </c>
      <c r="G1119" s="7" t="str">
        <f aca="false">HYPERLINK("https://mncourtfraud.com/file/MCRO_27-CR-21-12947_Order for Conditional Release_2021-09-29_20251126182710.pdf","MCRO_27-CR-21-12947_Order for Conditional Release_2021-09-29_20251126182710.pdf")</f>
        <v>MCRO_27-CR-21-12947_Order for Conditional Release_2021-09-29_20251126182710.pdf</v>
      </c>
      <c r="H1119" s="7" t="str">
        <f aca="false">HYPERLINK("https://mncourtfraud.com/file/45a9f49ddf96d4a4dcf4561d2702204f448986045babf3fdd52fa18200557e31.png","45a9f49ddf96d4a4dcf4561d2702204f448986045babf3fdd52fa18200557e31")</f>
        <v>45a9f49ddf96d4a4dcf4561d2702204f448986045babf3fdd52fa18200557e31</v>
      </c>
      <c r="I1119" s="1" t="s">
        <v>3406</v>
      </c>
      <c r="L1119" s="2" t="s">
        <v>3412</v>
      </c>
      <c r="M1119" s="2" t="n">
        <v>97</v>
      </c>
      <c r="S1119" s="2" t="n">
        <v>3</v>
      </c>
      <c r="T1119" s="2" t="n">
        <v>4</v>
      </c>
    </row>
    <row r="1120" customFormat="false" ht="18.7" hidden="false" customHeight="true" outlineLevel="0" collapsed="false">
      <c r="A1120" s="1" t="n">
        <v>1119</v>
      </c>
      <c r="B1120" s="7" t="str">
        <f aca="false">HYPERLINK("https://mncourtfraud.com/file/27-CR-21-12947.pdf","27-CR-21-12947")</f>
        <v>27-CR-21-12947</v>
      </c>
      <c r="C1120" s="1" t="n">
        <v>1</v>
      </c>
      <c r="D1120" s="2" t="s">
        <v>12</v>
      </c>
      <c r="E1120" s="8" t="n">
        <v>44468</v>
      </c>
      <c r="F1120" s="2" t="s">
        <v>24</v>
      </c>
      <c r="G1120" s="7" t="str">
        <f aca="false">HYPERLINK("https://mncourtfraud.com/file/MCRO_27-CR-21-12947_Order for Conditional Release_2021-09-29_20251126182710.pdf","MCRO_27-CR-21-12947_Order for Conditional Release_2021-09-29_20251126182710.pdf")</f>
        <v>MCRO_27-CR-21-12947_Order for Conditional Release_2021-09-29_20251126182710.pdf</v>
      </c>
      <c r="H1120" s="7" t="str">
        <f aca="false">HYPERLINK("https://mncourtfraud.com/file/50457dc3e0bb6204f128f3222c76884dffaf132a86395902e3967a44a5d511ed.cid","50457dc3e0bb6204f128f3222c76884dffaf132a86395902e3967a44a5d511ed")</f>
        <v>50457dc3e0bb6204f128f3222c76884dffaf132a86395902e3967a44a5d511ed</v>
      </c>
      <c r="I1120" s="1" t="s">
        <v>3431</v>
      </c>
      <c r="L1120" s="2" t="s">
        <v>3415</v>
      </c>
      <c r="M1120" s="2" t="n">
        <v>2839</v>
      </c>
    </row>
    <row r="1121" customFormat="false" ht="18.7" hidden="false" customHeight="true" outlineLevel="0" collapsed="false">
      <c r="A1121" s="1" t="n">
        <v>1120</v>
      </c>
      <c r="B1121" s="7" t="str">
        <f aca="false">HYPERLINK("https://mncourtfraud.com/file/27-CR-21-12947.pdf","27-CR-21-12947")</f>
        <v>27-CR-21-12947</v>
      </c>
      <c r="C1121" s="1" t="n">
        <v>1</v>
      </c>
      <c r="D1121" s="2" t="s">
        <v>12</v>
      </c>
      <c r="E1121" s="8" t="n">
        <v>44468</v>
      </c>
      <c r="F1121" s="2" t="s">
        <v>24</v>
      </c>
      <c r="G1121" s="7" t="str">
        <f aca="false">HYPERLINK("https://mncourtfraud.com/file/MCRO_27-CR-21-12947_Order for Conditional Release_2021-09-29_20251126182710.pdf","MCRO_27-CR-21-12947_Order for Conditional Release_2021-09-29_20251126182710.pdf")</f>
        <v>MCRO_27-CR-21-12947_Order for Conditional Release_2021-09-29_20251126182710.pdf</v>
      </c>
      <c r="H1121" s="7" t="str">
        <f aca="false">HYPERLINK("https://mncourtfraud.com/file/52f2827f81e9a21813e5089396a7afa6accf4023998e877d3b9460283e0bb9a5.cid","52f2827f81e9a21813e5089396a7afa6accf4023998e877d3b9460283e0bb9a5")</f>
        <v>52f2827f81e9a21813e5089396a7afa6accf4023998e877d3b9460283e0bb9a5</v>
      </c>
      <c r="I1121" s="1" t="s">
        <v>3431</v>
      </c>
      <c r="L1121" s="2" t="s">
        <v>3415</v>
      </c>
      <c r="M1121" s="2" t="n">
        <v>381</v>
      </c>
    </row>
    <row r="1122" customFormat="false" ht="18.7" hidden="false" customHeight="true" outlineLevel="0" collapsed="false">
      <c r="A1122" s="1" t="n">
        <v>1121</v>
      </c>
      <c r="B1122" s="7" t="str">
        <f aca="false">HYPERLINK("https://mncourtfraud.com/file/27-CR-21-12947.pdf","27-CR-21-12947")</f>
        <v>27-CR-21-12947</v>
      </c>
      <c r="C1122" s="1" t="n">
        <v>1</v>
      </c>
      <c r="D1122" s="2" t="s">
        <v>12</v>
      </c>
      <c r="E1122" s="8" t="n">
        <v>44468</v>
      </c>
      <c r="F1122" s="2" t="s">
        <v>24</v>
      </c>
      <c r="G1122" s="7" t="str">
        <f aca="false">HYPERLINK("https://mncourtfraud.com/file/MCRO_27-CR-21-12947_Order for Conditional Release_2021-09-29_20251126182710.pdf","MCRO_27-CR-21-12947_Order for Conditional Release_2021-09-29_20251126182710.pdf")</f>
        <v>MCRO_27-CR-21-12947_Order for Conditional Release_2021-09-29_20251126182710.pdf</v>
      </c>
      <c r="H1122" s="7" t="str">
        <f aca="false">HYPERLINK("https://mncourtfraud.com/file/5bf127b8427f0831bc8864aa549643604be6b63d8ca96ff1ba7182ccec9bc2ad.cid","5bf127b8427f0831bc8864aa549643604be6b63d8ca96ff1ba7182ccec9bc2ad")</f>
        <v>5bf127b8427f0831bc8864aa549643604be6b63d8ca96ff1ba7182ccec9bc2ad</v>
      </c>
      <c r="I1122" s="1" t="s">
        <v>3431</v>
      </c>
      <c r="L1122" s="2" t="s">
        <v>3415</v>
      </c>
      <c r="M1122" s="2" t="n">
        <v>7990</v>
      </c>
    </row>
    <row r="1123" customFormat="false" ht="18.7" hidden="false" customHeight="true" outlineLevel="0" collapsed="false">
      <c r="A1123" s="1" t="n">
        <v>1122</v>
      </c>
      <c r="B1123" s="7" t="str">
        <f aca="false">HYPERLINK("https://mncourtfraud.com/file/27-CR-21-12947.pdf","27-CR-21-12947")</f>
        <v>27-CR-21-12947</v>
      </c>
      <c r="C1123" s="1" t="n">
        <v>1</v>
      </c>
      <c r="D1123" s="2" t="s">
        <v>12</v>
      </c>
      <c r="E1123" s="8" t="n">
        <v>44468</v>
      </c>
      <c r="F1123" s="2" t="s">
        <v>24</v>
      </c>
      <c r="G1123" s="7" t="str">
        <f aca="false">HYPERLINK("https://mncourtfraud.com/file/MCRO_27-CR-21-12947_Order for Conditional Release_2021-09-29_20251126182710.pdf","MCRO_27-CR-21-12947_Order for Conditional Release_2021-09-29_20251126182710.pdf")</f>
        <v>MCRO_27-CR-21-12947_Order for Conditional Release_2021-09-29_20251126182710.pdf</v>
      </c>
      <c r="H1123" s="7" t="str">
        <f aca="false">HYPERLINK("https://mncourtfraud.com/file/614121b29b009262816a5b70532c1a04ec73c5d83786c4500719e9e7d614a562.cid","614121b29b009262816a5b70532c1a04ec73c5d83786c4500719e9e7d614a562")</f>
        <v>614121b29b009262816a5b70532c1a04ec73c5d83786c4500719e9e7d614a562</v>
      </c>
      <c r="I1123" s="1" t="s">
        <v>3431</v>
      </c>
      <c r="L1123" s="2" t="s">
        <v>3415</v>
      </c>
      <c r="M1123" s="2" t="n">
        <v>5970</v>
      </c>
    </row>
    <row r="1124" customFormat="false" ht="18.7" hidden="false" customHeight="true" outlineLevel="0" collapsed="false">
      <c r="A1124" s="1" t="n">
        <v>1123</v>
      </c>
      <c r="B1124" s="7" t="str">
        <f aca="false">HYPERLINK("https://mncourtfraud.com/file/27-CR-21-12947.pdf","27-CR-21-12947")</f>
        <v>27-CR-21-12947</v>
      </c>
      <c r="C1124" s="1" t="n">
        <v>1</v>
      </c>
      <c r="D1124" s="2" t="s">
        <v>12</v>
      </c>
      <c r="E1124" s="8" t="n">
        <v>44468</v>
      </c>
      <c r="F1124" s="2" t="s">
        <v>24</v>
      </c>
      <c r="G1124" s="7" t="str">
        <f aca="false">HYPERLINK("https://mncourtfraud.com/file/MCRO_27-CR-21-12947_Order for Conditional Release_2021-09-29_20251126182710.pdf","MCRO_27-CR-21-12947_Order for Conditional Release_2021-09-29_20251126182710.pdf")</f>
        <v>MCRO_27-CR-21-12947_Order for Conditional Release_2021-09-29_20251126182710.pdf</v>
      </c>
      <c r="H1124" s="7" t="str">
        <f aca="false">HYPERLINK("https://mncourtfraud.com/file/7e14169e8fd6eddddd43bc2fc14557202f527587078dd29e867ad63570714e07.png","7e14169e8fd6eddddd43bc2fc14557202f527587078dd29e867ad63570714e07")</f>
        <v>7e14169e8fd6eddddd43bc2fc14557202f527587078dd29e867ad63570714e07</v>
      </c>
      <c r="I1124" s="1" t="s">
        <v>3406</v>
      </c>
      <c r="L1124" s="2" t="s">
        <v>3412</v>
      </c>
      <c r="M1124" s="2" t="n">
        <v>100</v>
      </c>
      <c r="S1124" s="2" t="n">
        <v>5</v>
      </c>
      <c r="T1124" s="2" t="n">
        <v>5</v>
      </c>
    </row>
    <row r="1125" customFormat="false" ht="18.7" hidden="false" customHeight="true" outlineLevel="0" collapsed="false">
      <c r="A1125" s="1" t="n">
        <v>1124</v>
      </c>
      <c r="B1125" s="7" t="str">
        <f aca="false">HYPERLINK("https://mncourtfraud.com/file/27-CR-21-12947.pdf","27-CR-21-12947")</f>
        <v>27-CR-21-12947</v>
      </c>
      <c r="C1125" s="1" t="n">
        <v>1</v>
      </c>
      <c r="D1125" s="2" t="s">
        <v>12</v>
      </c>
      <c r="E1125" s="8" t="n">
        <v>44468</v>
      </c>
      <c r="F1125" s="2" t="s">
        <v>24</v>
      </c>
      <c r="G1125" s="7" t="str">
        <f aca="false">HYPERLINK("https://mncourtfraud.com/file/MCRO_27-CR-21-12947_Order for Conditional Release_2021-09-29_20251126182710.pdf","MCRO_27-CR-21-12947_Order for Conditional Release_2021-09-29_20251126182710.pdf")</f>
        <v>MCRO_27-CR-21-12947_Order for Conditional Release_2021-09-29_20251126182710.pdf</v>
      </c>
      <c r="H1125" s="7" t="str">
        <f aca="false">HYPERLINK("https://mncourtfraud.com/file/8198df5372238cac138bb64883627cf42bfc08ac483ff14b35858ae098fa3e09.cid","8198df5372238cac138bb64883627cf42bfc08ac483ff14b35858ae098fa3e09")</f>
        <v>8198df5372238cac138bb64883627cf42bfc08ac483ff14b35858ae098fa3e09</v>
      </c>
      <c r="I1125" s="1" t="s">
        <v>3431</v>
      </c>
      <c r="L1125" s="2" t="s">
        <v>3415</v>
      </c>
      <c r="M1125" s="2" t="n">
        <v>3966</v>
      </c>
    </row>
    <row r="1126" customFormat="false" ht="18.7" hidden="false" customHeight="true" outlineLevel="0" collapsed="false">
      <c r="A1126" s="1" t="n">
        <v>1125</v>
      </c>
      <c r="B1126" s="7" t="str">
        <f aca="false">HYPERLINK("https://mncourtfraud.com/file/27-CR-21-12947.pdf","27-CR-21-12947")</f>
        <v>27-CR-21-12947</v>
      </c>
      <c r="C1126" s="1" t="n">
        <v>1</v>
      </c>
      <c r="D1126" s="2" t="s">
        <v>12</v>
      </c>
      <c r="E1126" s="8" t="n">
        <v>44468</v>
      </c>
      <c r="F1126" s="2" t="s">
        <v>24</v>
      </c>
      <c r="G1126" s="7" t="str">
        <f aca="false">HYPERLINK("https://mncourtfraud.com/file/MCRO_27-CR-21-12947_Order for Conditional Release_2021-09-29_20251126182710.pdf","MCRO_27-CR-21-12947_Order for Conditional Release_2021-09-29_20251126182710.pdf")</f>
        <v>MCRO_27-CR-21-12947_Order for Conditional Release_2021-09-29_20251126182710.pdf</v>
      </c>
      <c r="H1126" s="7" t="str">
        <f aca="false">HYPERLINK("https://mncourtfraud.com/file/8793bfb8eeebb59de729b22461b75a010eda532097214bf8285117449fae5b3c.png","8793bfb8eeebb59de729b22461b75a010eda532097214bf8285117449fae5b3c")</f>
        <v>8793bfb8eeebb59de729b22461b75a010eda532097214bf8285117449fae5b3c</v>
      </c>
      <c r="I1126" s="1" t="s">
        <v>3406</v>
      </c>
      <c r="L1126" s="2" t="s">
        <v>3412</v>
      </c>
      <c r="M1126" s="2" t="n">
        <v>104</v>
      </c>
      <c r="S1126" s="2" t="n">
        <v>6</v>
      </c>
      <c r="T1126" s="2" t="n">
        <v>4</v>
      </c>
    </row>
    <row r="1127" customFormat="false" ht="18.7" hidden="false" customHeight="true" outlineLevel="0" collapsed="false">
      <c r="A1127" s="1" t="n">
        <v>1126</v>
      </c>
      <c r="B1127" s="7" t="str">
        <f aca="false">HYPERLINK("https://mncourtfraud.com/file/27-CR-21-12947.pdf","27-CR-21-12947")</f>
        <v>27-CR-21-12947</v>
      </c>
      <c r="C1127" s="1" t="n">
        <v>1</v>
      </c>
      <c r="D1127" s="2" t="s">
        <v>12</v>
      </c>
      <c r="E1127" s="8" t="n">
        <v>44468</v>
      </c>
      <c r="F1127" s="2" t="s">
        <v>24</v>
      </c>
      <c r="G1127" s="7" t="str">
        <f aca="false">HYPERLINK("https://mncourtfraud.com/file/MCRO_27-CR-21-12947_Order for Conditional Release_2021-09-29_20251126182710.pdf","MCRO_27-CR-21-12947_Order for Conditional Release_2021-09-29_20251126182710.pdf")</f>
        <v>MCRO_27-CR-21-12947_Order for Conditional Release_2021-09-29_20251126182710.pdf</v>
      </c>
      <c r="H1127" s="7" t="str">
        <f aca="false">HYPERLINK("https://mncourtfraud.com/file/8c2e00c7a4e8974eff73eba397a59d5f5f25d249433535298973d70a9f79dec8.png","8c2e00c7a4e8974eff73eba397a59d5f5f25d249433535298973d70a9f79dec8")</f>
        <v>8c2e00c7a4e8974eff73eba397a59d5f5f25d249433535298973d70a9f79dec8</v>
      </c>
      <c r="I1127" s="1" t="s">
        <v>3406</v>
      </c>
      <c r="L1127" s="2" t="s">
        <v>3412</v>
      </c>
      <c r="M1127" s="2" t="n">
        <v>810</v>
      </c>
      <c r="S1127" s="2" t="n">
        <v>519</v>
      </c>
      <c r="T1127" s="2" t="n">
        <v>231</v>
      </c>
    </row>
    <row r="1128" customFormat="false" ht="18.7" hidden="false" customHeight="true" outlineLevel="0" collapsed="false">
      <c r="A1128" s="1" t="n">
        <v>1127</v>
      </c>
      <c r="B1128" s="7" t="str">
        <f aca="false">HYPERLINK("https://mncourtfraud.com/file/27-CR-21-12947.pdf","27-CR-21-12947")</f>
        <v>27-CR-21-12947</v>
      </c>
      <c r="C1128" s="1" t="n">
        <v>1</v>
      </c>
      <c r="D1128" s="2" t="s">
        <v>12</v>
      </c>
      <c r="E1128" s="8" t="n">
        <v>44468</v>
      </c>
      <c r="F1128" s="2" t="s">
        <v>24</v>
      </c>
      <c r="G1128" s="7" t="str">
        <f aca="false">HYPERLINK("https://mncourtfraud.com/file/MCRO_27-CR-21-12947_Order for Conditional Release_2021-09-29_20251126182710.pdf","MCRO_27-CR-21-12947_Order for Conditional Release_2021-09-29_20251126182710.pdf")</f>
        <v>MCRO_27-CR-21-12947_Order for Conditional Release_2021-09-29_20251126182710.pdf</v>
      </c>
      <c r="H1128" s="7" t="str">
        <f aca="false">HYPERLINK("https://mncourtfraud.com/file/a431b1b5f48186b4c98851d84352c1573e22c0e9b97117edbc0ad8603da3c307.png","a431b1b5f48186b4c98851d84352c1573e22c0e9b97117edbc0ad8603da3c307")</f>
        <v>a431b1b5f48186b4c98851d84352c1573e22c0e9b97117edbc0ad8603da3c307</v>
      </c>
      <c r="I1128" s="1" t="s">
        <v>3406</v>
      </c>
      <c r="L1128" s="2" t="s">
        <v>3412</v>
      </c>
      <c r="M1128" s="2" t="n">
        <v>157</v>
      </c>
      <c r="S1128" s="2" t="n">
        <v>7</v>
      </c>
      <c r="T1128" s="2" t="n">
        <v>284</v>
      </c>
    </row>
    <row r="1129" customFormat="false" ht="18.7" hidden="false" customHeight="true" outlineLevel="0" collapsed="false">
      <c r="A1129" s="1" t="n">
        <v>1128</v>
      </c>
      <c r="B1129" s="7" t="str">
        <f aca="false">HYPERLINK("https://mncourtfraud.com/file/27-CR-21-12947.pdf","27-CR-21-12947")</f>
        <v>27-CR-21-12947</v>
      </c>
      <c r="C1129" s="1" t="n">
        <v>1</v>
      </c>
      <c r="D1129" s="2" t="s">
        <v>12</v>
      </c>
      <c r="E1129" s="8" t="n">
        <v>44468</v>
      </c>
      <c r="F1129" s="2" t="s">
        <v>24</v>
      </c>
      <c r="G1129" s="7" t="str">
        <f aca="false">HYPERLINK("https://mncourtfraud.com/file/MCRO_27-CR-21-12947_Order for Conditional Release_2021-09-29_20251126182710.pdf","MCRO_27-CR-21-12947_Order for Conditional Release_2021-09-29_20251126182710.pdf")</f>
        <v>MCRO_27-CR-21-12947_Order for Conditional Release_2021-09-29_20251126182710.pdf</v>
      </c>
      <c r="H1129" s="7" t="str">
        <f aca="false">HYPERLINK("https://mncourtfraud.com/file/ac369f378e3fbed88e7c1c71d7e27d3af59d79c8d2f8338a6182f69d0e17a2ef.cid","ac369f378e3fbed88e7c1c71d7e27d3af59d79c8d2f8338a6182f69d0e17a2ef")</f>
        <v>ac369f378e3fbed88e7c1c71d7e27d3af59d79c8d2f8338a6182f69d0e17a2ef</v>
      </c>
      <c r="I1129" s="1" t="s">
        <v>3431</v>
      </c>
      <c r="L1129" s="2" t="s">
        <v>3415</v>
      </c>
      <c r="M1129" s="2" t="n">
        <v>14113</v>
      </c>
    </row>
    <row r="1130" customFormat="false" ht="18.7" hidden="false" customHeight="true" outlineLevel="0" collapsed="false">
      <c r="A1130" s="1" t="n">
        <v>1129</v>
      </c>
      <c r="B1130" s="7" t="str">
        <f aca="false">HYPERLINK("https://mncourtfraud.com/file/27-CR-21-12947.pdf","27-CR-21-12947")</f>
        <v>27-CR-21-12947</v>
      </c>
      <c r="C1130" s="1" t="n">
        <v>1</v>
      </c>
      <c r="D1130" s="2" t="s">
        <v>12</v>
      </c>
      <c r="E1130" s="8" t="n">
        <v>44468</v>
      </c>
      <c r="F1130" s="2" t="s">
        <v>24</v>
      </c>
      <c r="G1130" s="7" t="str">
        <f aca="false">HYPERLINK("https://mncourtfraud.com/file/MCRO_27-CR-21-12947_Order for Conditional Release_2021-09-29_20251126182710.pdf","MCRO_27-CR-21-12947_Order for Conditional Release_2021-09-29_20251126182710.pdf")</f>
        <v>MCRO_27-CR-21-12947_Order for Conditional Release_2021-09-29_20251126182710.pdf</v>
      </c>
      <c r="H1130" s="7" t="str">
        <f aca="false">HYPERLINK("https://mncourtfraud.com/file/b1c38e97038ce898a189d377f1fa9f4b673ae497ef07cd779e6d54764f350895.cid","b1c38e97038ce898a189d377f1fa9f4b673ae497ef07cd779e6d54764f350895")</f>
        <v>b1c38e97038ce898a189d377f1fa9f4b673ae497ef07cd779e6d54764f350895</v>
      </c>
      <c r="I1130" s="1" t="s">
        <v>3431</v>
      </c>
      <c r="L1130" s="2" t="s">
        <v>3415</v>
      </c>
      <c r="M1130" s="2" t="n">
        <v>3783</v>
      </c>
    </row>
    <row r="1131" customFormat="false" ht="18.7" hidden="false" customHeight="true" outlineLevel="0" collapsed="false">
      <c r="A1131" s="1" t="n">
        <v>1130</v>
      </c>
      <c r="B1131" s="7" t="str">
        <f aca="false">HYPERLINK("https://mncourtfraud.com/file/27-CR-21-12947.pdf","27-CR-21-12947")</f>
        <v>27-CR-21-12947</v>
      </c>
      <c r="C1131" s="1" t="n">
        <v>1</v>
      </c>
      <c r="D1131" s="2" t="s">
        <v>12</v>
      </c>
      <c r="E1131" s="8" t="n">
        <v>44468</v>
      </c>
      <c r="F1131" s="2" t="s">
        <v>24</v>
      </c>
      <c r="G1131" s="7" t="str">
        <f aca="false">HYPERLINK("https://mncourtfraud.com/file/MCRO_27-CR-21-12947_Order for Conditional Release_2021-09-29_20251126182710.pdf","MCRO_27-CR-21-12947_Order for Conditional Release_2021-09-29_20251126182710.pdf")</f>
        <v>MCRO_27-CR-21-12947_Order for Conditional Release_2021-09-29_20251126182710.pdf</v>
      </c>
      <c r="H1131" s="7" t="str">
        <f aca="false">HYPERLINK("https://mncourtfraud.com/file/ba989ca65f54d43887ebbc930462a840e60360223cb0c16c223e7e9ed46afecb.cid","ba989ca65f54d43887ebbc930462a840e60360223cb0c16c223e7e9ed46afecb")</f>
        <v>ba989ca65f54d43887ebbc930462a840e60360223cb0c16c223e7e9ed46afecb</v>
      </c>
      <c r="I1131" s="1" t="s">
        <v>3431</v>
      </c>
      <c r="L1131" s="2" t="s">
        <v>3415</v>
      </c>
      <c r="M1131" s="2" t="n">
        <v>444</v>
      </c>
    </row>
    <row r="1132" customFormat="false" ht="18.7" hidden="false" customHeight="true" outlineLevel="0" collapsed="false">
      <c r="A1132" s="1" t="n">
        <v>1131</v>
      </c>
      <c r="B1132" s="7" t="str">
        <f aca="false">HYPERLINK("https://mncourtfraud.com/file/27-CR-21-12947.pdf","27-CR-21-12947")</f>
        <v>27-CR-21-12947</v>
      </c>
      <c r="C1132" s="1" t="n">
        <v>1</v>
      </c>
      <c r="D1132" s="2" t="s">
        <v>12</v>
      </c>
      <c r="E1132" s="8" t="n">
        <v>44468</v>
      </c>
      <c r="F1132" s="2" t="s">
        <v>24</v>
      </c>
      <c r="G1132" s="7" t="str">
        <f aca="false">HYPERLINK("https://mncourtfraud.com/file/MCRO_27-CR-21-12947_Order for Conditional Release_2021-09-29_20251126182710.pdf","MCRO_27-CR-21-12947_Order for Conditional Release_2021-09-29_20251126182710.pdf")</f>
        <v>MCRO_27-CR-21-12947_Order for Conditional Release_2021-09-29_20251126182710.pdf</v>
      </c>
      <c r="H1132" s="7" t="str">
        <f aca="false">HYPERLINK("https://mncourtfraud.com/file/db9c8118091788c7a0a30157e363f5dd281f7a35fb525fad58599ee6371079a5.cid","db9c8118091788c7a0a30157e363f5dd281f7a35fb525fad58599ee6371079a5")</f>
        <v>db9c8118091788c7a0a30157e363f5dd281f7a35fb525fad58599ee6371079a5</v>
      </c>
      <c r="I1132" s="1" t="s">
        <v>3431</v>
      </c>
      <c r="L1132" s="2" t="s">
        <v>3415</v>
      </c>
      <c r="M1132" s="2" t="n">
        <v>848</v>
      </c>
    </row>
    <row r="1133" customFormat="false" ht="18.7" hidden="false" customHeight="true" outlineLevel="0" collapsed="false">
      <c r="A1133" s="1" t="n">
        <v>1132</v>
      </c>
      <c r="B1133" s="7" t="str">
        <f aca="false">HYPERLINK("https://mncourtfraud.com/file/27-CR-21-12947.pdf","27-CR-21-12947")</f>
        <v>27-CR-21-12947</v>
      </c>
      <c r="C1133" s="1" t="n">
        <v>1</v>
      </c>
      <c r="D1133" s="2" t="s">
        <v>12</v>
      </c>
      <c r="E1133" s="8" t="n">
        <v>44468</v>
      </c>
      <c r="F1133" s="2" t="s">
        <v>24</v>
      </c>
      <c r="G1133" s="7" t="str">
        <f aca="false">HYPERLINK("https://mncourtfraud.com/file/MCRO_27-CR-21-12947_Order for Conditional Release_2021-09-29_20251126182710.pdf","MCRO_27-CR-21-12947_Order for Conditional Release_2021-09-29_20251126182710.pdf")</f>
        <v>MCRO_27-CR-21-12947_Order for Conditional Release_2021-09-29_20251126182710.pdf</v>
      </c>
      <c r="H1133" s="7" t="str">
        <f aca="false">HYPERLINK("https://mncourtfraud.com/file/e04b4db843c4bf02679b586bdc06323c2777cf59091b22718210a1dd2a0badc7.png","e04b4db843c4bf02679b586bdc06323c2777cf59091b22718210a1dd2a0badc7")</f>
        <v>e04b4db843c4bf02679b586bdc06323c2777cf59091b22718210a1dd2a0badc7</v>
      </c>
      <c r="I1133" s="1" t="s">
        <v>3406</v>
      </c>
      <c r="L1133" s="2" t="s">
        <v>3412</v>
      </c>
      <c r="M1133" s="2" t="n">
        <v>199</v>
      </c>
      <c r="S1133" s="2" t="n">
        <v>7</v>
      </c>
      <c r="T1133" s="2" t="n">
        <v>347</v>
      </c>
    </row>
    <row r="1134" customFormat="false" ht="18.7" hidden="false" customHeight="true" outlineLevel="0" collapsed="false">
      <c r="A1134" s="1" t="n">
        <v>1133</v>
      </c>
      <c r="B1134" s="7" t="str">
        <f aca="false">HYPERLINK("https://mncourtfraud.com/file/27-CR-21-12947.pdf","27-CR-21-12947")</f>
        <v>27-CR-21-12947</v>
      </c>
      <c r="C1134" s="1" t="n">
        <v>1</v>
      </c>
      <c r="D1134" s="2" t="s">
        <v>12</v>
      </c>
      <c r="E1134" s="8" t="n">
        <v>44468</v>
      </c>
      <c r="F1134" s="2" t="s">
        <v>24</v>
      </c>
      <c r="G1134" s="7" t="str">
        <f aca="false">HYPERLINK("https://mncourtfraud.com/file/MCRO_27-CR-21-12947_Order for Conditional Release_2021-09-29_20251126182710.pdf","MCRO_27-CR-21-12947_Order for Conditional Release_2021-09-29_20251126182710.pdf")</f>
        <v>MCRO_27-CR-21-12947_Order for Conditional Release_2021-09-29_20251126182710.pdf</v>
      </c>
      <c r="H1134" s="7" t="str">
        <f aca="false">HYPERLINK("https://mncourtfraud.com/file/edbae421bba147262ba26ef60780ca6dfd5bedce23be39a1f883da7c23dae35f.cid","edbae421bba147262ba26ef60780ca6dfd5bedce23be39a1f883da7c23dae35f")</f>
        <v>edbae421bba147262ba26ef60780ca6dfd5bedce23be39a1f883da7c23dae35f</v>
      </c>
      <c r="I1134" s="1" t="s">
        <v>3431</v>
      </c>
      <c r="L1134" s="2" t="s">
        <v>3415</v>
      </c>
      <c r="M1134" s="2" t="n">
        <v>21348</v>
      </c>
    </row>
    <row r="1135" customFormat="false" ht="18.7" hidden="false" customHeight="true" outlineLevel="0" collapsed="false">
      <c r="A1135" s="1" t="n">
        <v>1134</v>
      </c>
      <c r="B1135" s="7" t="str">
        <f aca="false">HYPERLINK("https://mncourtfraud.com/file/27-CR-21-12947.pdf","27-CR-21-12947")</f>
        <v>27-CR-21-12947</v>
      </c>
      <c r="C1135" s="1" t="n">
        <v>1</v>
      </c>
      <c r="D1135" s="2" t="s">
        <v>12</v>
      </c>
      <c r="E1135" s="8" t="n">
        <v>44468</v>
      </c>
      <c r="F1135" s="2" t="s">
        <v>24</v>
      </c>
      <c r="G1135" s="7" t="str">
        <f aca="false">HYPERLINK("https://mncourtfraud.com/file/MCRO_27-CR-21-12947_Order for Conditional Release_2021-09-29_20251126182710.pdf","MCRO_27-CR-21-12947_Order for Conditional Release_2021-09-29_20251126182710.pdf")</f>
        <v>MCRO_27-CR-21-12947_Order for Conditional Release_2021-09-29_20251126182710.pdf</v>
      </c>
      <c r="H1135" s="7" t="str">
        <f aca="false">HYPERLINK("https://mncourtfraud.com/file/efd944d517e9b552a77a910c5203f04540cf1249b7304a04f4907f542ec53c17.cid","efd944d517e9b552a77a910c5203f04540cf1249b7304a04f4907f542ec53c17")</f>
        <v>efd944d517e9b552a77a910c5203f04540cf1249b7304a04f4907f542ec53c17</v>
      </c>
      <c r="I1135" s="1" t="s">
        <v>3431</v>
      </c>
      <c r="L1135" s="2" t="s">
        <v>3415</v>
      </c>
      <c r="M1135" s="2" t="n">
        <v>5521</v>
      </c>
    </row>
    <row r="1136" customFormat="false" ht="18.7" hidden="false" customHeight="true" outlineLevel="0" collapsed="false">
      <c r="A1136" s="1" t="n">
        <v>1135</v>
      </c>
      <c r="B1136" s="7" t="str">
        <f aca="false">HYPERLINK("https://mncourtfraud.com/file/27-CR-21-12947.pdf","27-CR-21-12947")</f>
        <v>27-CR-21-12947</v>
      </c>
      <c r="C1136" s="1" t="n">
        <v>1</v>
      </c>
      <c r="D1136" s="2" t="s">
        <v>12</v>
      </c>
      <c r="E1136" s="8" t="n">
        <v>44468</v>
      </c>
      <c r="F1136" s="2" t="s">
        <v>24</v>
      </c>
      <c r="G1136" s="7" t="str">
        <f aca="false">HYPERLINK("https://mncourtfraud.com/file/MCRO_27-CR-21-12947_Order for Conditional Release_2021-09-29_20251126182710.pdf","MCRO_27-CR-21-12947_Order for Conditional Release_2021-09-29_20251126182710.pdf")</f>
        <v>MCRO_27-CR-21-12947_Order for Conditional Release_2021-09-29_20251126182710.pdf</v>
      </c>
      <c r="H1136" s="7" t="str">
        <f aca="false">HYPERLINK("https://mncourtfraud.com/file/fe1965a60cba51fe144ad80b55474d56106539ec2835ed039f2e68d2691deed0.cid","fe1965a60cba51fe144ad80b55474d56106539ec2835ed039f2e68d2691deed0")</f>
        <v>fe1965a60cba51fe144ad80b55474d56106539ec2835ed039f2e68d2691deed0</v>
      </c>
      <c r="I1136" s="1" t="s">
        <v>3431</v>
      </c>
      <c r="L1136" s="2" t="s">
        <v>3415</v>
      </c>
      <c r="M1136" s="2" t="n">
        <v>4323</v>
      </c>
    </row>
    <row r="1137" customFormat="false" ht="18.7" hidden="false" customHeight="true" outlineLevel="0" collapsed="false">
      <c r="A1137" s="1" t="n">
        <v>1136</v>
      </c>
      <c r="B1137" s="7" t="str">
        <f aca="false">HYPERLINK("https://mncourtfraud.com/file/27-CR-21-12947.pdf","27-CR-21-12947")</f>
        <v>27-CR-21-12947</v>
      </c>
      <c r="C1137" s="1" t="n">
        <v>1</v>
      </c>
      <c r="D1137" s="2" t="s">
        <v>12</v>
      </c>
      <c r="E1137" s="8" t="n">
        <v>44468</v>
      </c>
      <c r="F1137" s="2" t="s">
        <v>24</v>
      </c>
      <c r="G1137" s="7" t="str">
        <f aca="false">HYPERLINK("https://mncourtfraud.com/file/MCRO_27-CR-21-12947_Order for Conditional Release_2021-09-29_20251126182710.pdf","MCRO_27-CR-21-12947_Order for Conditional Release_2021-09-29_20251126182710.pdf")</f>
        <v>MCRO_27-CR-21-12947_Order for Conditional Release_2021-09-29_20251126182710.pdf</v>
      </c>
      <c r="H1137" s="7" t="str">
        <f aca="false">HYPERLINK("https://mncourtfraud.com/file/ff78f82f1ff3b9436a8d65df586b0bef19dd8fcf1b27941145ca7e723b37620b.cid","ff78f82f1ff3b9436a8d65df586b0bef19dd8fcf1b27941145ca7e723b37620b")</f>
        <v>ff78f82f1ff3b9436a8d65df586b0bef19dd8fcf1b27941145ca7e723b37620b</v>
      </c>
      <c r="I1137" s="1" t="s">
        <v>3431</v>
      </c>
      <c r="L1137" s="2" t="s">
        <v>3415</v>
      </c>
      <c r="M1137" s="2" t="n">
        <v>339</v>
      </c>
    </row>
    <row r="1138" customFormat="false" ht="18.7" hidden="false" customHeight="true" outlineLevel="0" collapsed="false">
      <c r="A1138" s="1" t="n">
        <v>1137</v>
      </c>
      <c r="B1138" s="7" t="str">
        <f aca="false">HYPERLINK("https://mncourtfraud.com/file/27-CR-21-12947.pdf","27-CR-21-12947")</f>
        <v>27-CR-21-12947</v>
      </c>
      <c r="C1138" s="1" t="n">
        <v>1</v>
      </c>
      <c r="D1138" s="2" t="s">
        <v>12</v>
      </c>
      <c r="E1138" s="8" t="n">
        <v>44543</v>
      </c>
      <c r="F1138" s="2" t="s">
        <v>15</v>
      </c>
      <c r="G1138" s="7" t="str">
        <f aca="false">HYPERLINK("https://mncourtfraud.com/file/MCRO_27-CR-21-12947_Order-Evaluation for Competency to Proceed (Rule 20.01)_2021-12-13_20251126182732.pdf","MCRO_27-CR-21-12947_Order-Evaluation for Competency to Proceed (Rule 20.01)_2021-12-13_20251126182732.pdf")</f>
        <v>MCRO_27-CR-21-12947_Order-Evaluation for Competency to Proceed (Rule 20.01)_2021-12-13_20251126182732.pdf</v>
      </c>
      <c r="H1138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1138" s="1" t="s">
        <v>3413</v>
      </c>
      <c r="J1138" s="2" t="s">
        <v>3423</v>
      </c>
      <c r="K1138" s="2" t="s">
        <v>3423</v>
      </c>
      <c r="L1138" s="2" t="s">
        <v>3415</v>
      </c>
      <c r="M1138" s="2" t="n">
        <v>11088</v>
      </c>
    </row>
    <row r="1139" customFormat="false" ht="18.7" hidden="false" customHeight="true" outlineLevel="0" collapsed="false">
      <c r="A1139" s="1" t="n">
        <v>1138</v>
      </c>
      <c r="B1139" s="7" t="str">
        <f aca="false">HYPERLINK("https://mncourtfraud.com/file/27-CR-21-12947.pdf","27-CR-21-12947")</f>
        <v>27-CR-21-12947</v>
      </c>
      <c r="C1139" s="1" t="n">
        <v>1</v>
      </c>
      <c r="D1139" s="2" t="s">
        <v>12</v>
      </c>
      <c r="E1139" s="8" t="n">
        <v>44543</v>
      </c>
      <c r="F1139" s="2" t="s">
        <v>15</v>
      </c>
      <c r="G1139" s="7" t="str">
        <f aca="false">HYPERLINK("https://mncourtfraud.com/file/MCRO_27-CR-21-12947_Order-Evaluation for Competency to Proceed (Rule 20.01)_2021-12-13_20251126182732.pdf","MCRO_27-CR-21-12947_Order-Evaluation for Competency to Proceed (Rule 20.01)_2021-12-13_20251126182732.pdf")</f>
        <v>MCRO_27-CR-21-12947_Order-Evaluation for Competency to Proceed (Rule 20.01)_2021-12-13_20251126182732.pdf</v>
      </c>
      <c r="H1139" s="7" t="str">
        <f aca="false">HYPERLINK("https://mncourtfraud.com/file/22be6394304ce5b678311fefb19c39c8cb0a49d25f23150f1efe21ad14b99c7b.ttf","22be6394304ce5b678311fefb19c39c8cb0a49d25f23150f1efe21ad14b99c7b")</f>
        <v>22be6394304ce5b678311fefb19c39c8cb0a49d25f23150f1efe21ad14b99c7b</v>
      </c>
      <c r="I1139" s="1" t="s">
        <v>3413</v>
      </c>
      <c r="J1139" s="2" t="s">
        <v>3421</v>
      </c>
      <c r="K1139" s="2" t="s">
        <v>3421</v>
      </c>
      <c r="L1139" s="2" t="s">
        <v>3415</v>
      </c>
      <c r="M1139" s="2" t="n">
        <v>117192</v>
      </c>
    </row>
    <row r="1140" customFormat="false" ht="18.7" hidden="false" customHeight="true" outlineLevel="0" collapsed="false">
      <c r="A1140" s="1" t="n">
        <v>1139</v>
      </c>
      <c r="B1140" s="7" t="str">
        <f aca="false">HYPERLINK("https://mncourtfraud.com/file/27-CR-21-12947.pdf","27-CR-21-12947")</f>
        <v>27-CR-21-12947</v>
      </c>
      <c r="C1140" s="1" t="n">
        <v>1</v>
      </c>
      <c r="D1140" s="2" t="s">
        <v>12</v>
      </c>
      <c r="E1140" s="8" t="n">
        <v>44543</v>
      </c>
      <c r="F1140" s="2" t="s">
        <v>15</v>
      </c>
      <c r="G1140" s="7" t="str">
        <f aca="false">HYPERLINK("https://mncourtfraud.com/file/MCRO_27-CR-21-12947_Order-Evaluation for Competency to Proceed (Rule 20.01)_2021-12-13_20251126182732.pdf","MCRO_27-CR-21-12947_Order-Evaluation for Competency to Proceed (Rule 20.01)_2021-12-13_20251126182732.pdf")</f>
        <v>MCRO_27-CR-21-12947_Order-Evaluation for Competency to Proceed (Rule 20.01)_2021-12-13_20251126182732.pdf</v>
      </c>
      <c r="H1140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1140" s="1" t="s">
        <v>3413</v>
      </c>
      <c r="J1140" s="2" t="s">
        <v>3424</v>
      </c>
      <c r="K1140" s="2" t="s">
        <v>3424</v>
      </c>
      <c r="L1140" s="2" t="s">
        <v>3415</v>
      </c>
      <c r="M1140" s="2" t="n">
        <v>14252</v>
      </c>
    </row>
    <row r="1141" customFormat="false" ht="18.7" hidden="false" customHeight="true" outlineLevel="0" collapsed="false">
      <c r="A1141" s="1" t="n">
        <v>1140</v>
      </c>
      <c r="B1141" s="7" t="str">
        <f aca="false">HYPERLINK("https://mncourtfraud.com/file/27-CR-21-12947.pdf","27-CR-21-12947")</f>
        <v>27-CR-21-12947</v>
      </c>
      <c r="C1141" s="1" t="n">
        <v>1</v>
      </c>
      <c r="D1141" s="2" t="s">
        <v>12</v>
      </c>
      <c r="E1141" s="8" t="n">
        <v>44543</v>
      </c>
      <c r="F1141" s="2" t="s">
        <v>15</v>
      </c>
      <c r="G1141" s="7" t="str">
        <f aca="false">HYPERLINK("https://mncourtfraud.com/file/MCRO_27-CR-21-12947_Order-Evaluation for Competency to Proceed (Rule 20.01)_2021-12-13_20251126182732.pdf","MCRO_27-CR-21-12947_Order-Evaluation for Competency to Proceed (Rule 20.01)_2021-12-13_20251126182732.pdf")</f>
        <v>MCRO_27-CR-21-12947_Order-Evaluation for Competency to Proceed (Rule 20.01)_2021-12-13_20251126182732.pdf</v>
      </c>
      <c r="H1141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141" s="1" t="s">
        <v>3406</v>
      </c>
      <c r="K1141" s="2" t="s">
        <v>3420</v>
      </c>
      <c r="L1141" s="2" t="s">
        <v>3408</v>
      </c>
      <c r="M1141" s="2" t="n">
        <v>7306</v>
      </c>
      <c r="O1141" s="2" t="s">
        <v>3409</v>
      </c>
      <c r="P1141" s="2" t="s">
        <v>3410</v>
      </c>
      <c r="S1141" s="2" t="n">
        <v>319</v>
      </c>
      <c r="T1141" s="2" t="n">
        <v>105</v>
      </c>
    </row>
    <row r="1142" customFormat="false" ht="18.7" hidden="false" customHeight="true" outlineLevel="0" collapsed="false">
      <c r="A1142" s="1" t="n">
        <v>1141</v>
      </c>
      <c r="B1142" s="7" t="str">
        <f aca="false">HYPERLINK("https://mncourtfraud.com/file/27-CR-21-12947.pdf","27-CR-21-12947")</f>
        <v>27-CR-21-12947</v>
      </c>
      <c r="C1142" s="1" t="n">
        <v>1</v>
      </c>
      <c r="D1142" s="2" t="s">
        <v>12</v>
      </c>
      <c r="E1142" s="8" t="n">
        <v>44543</v>
      </c>
      <c r="F1142" s="2" t="s">
        <v>15</v>
      </c>
      <c r="G1142" s="7" t="str">
        <f aca="false">HYPERLINK("https://mncourtfraud.com/file/MCRO_27-CR-21-12947_Order-Evaluation for Competency to Proceed (Rule 20.01)_2021-12-13_20251126182732.pdf","MCRO_27-CR-21-12947_Order-Evaluation for Competency to Proceed (Rule 20.01)_2021-12-13_20251126182732.pdf")</f>
        <v>MCRO_27-CR-21-12947_Order-Evaluation for Competency to Proceed (Rule 20.01)_2021-12-13_20251126182732.pdf</v>
      </c>
      <c r="H1142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142" s="1" t="s">
        <v>3406</v>
      </c>
      <c r="K1142" s="2" t="s">
        <v>3425</v>
      </c>
      <c r="L1142" s="2" t="s">
        <v>3408</v>
      </c>
      <c r="M1142" s="2" t="n">
        <v>21225</v>
      </c>
      <c r="O1142" s="2" t="s">
        <v>3409</v>
      </c>
      <c r="P1142" s="2" t="s">
        <v>3410</v>
      </c>
      <c r="S1142" s="2" t="n">
        <v>319</v>
      </c>
      <c r="T1142" s="2" t="n">
        <v>105</v>
      </c>
    </row>
    <row r="1143" customFormat="false" ht="18.7" hidden="false" customHeight="true" outlineLevel="0" collapsed="false">
      <c r="A1143" s="1" t="n">
        <v>1142</v>
      </c>
      <c r="B1143" s="7" t="str">
        <f aca="false">HYPERLINK("https://mncourtfraud.com/file/27-CR-21-12947.pdf","27-CR-21-12947")</f>
        <v>27-CR-21-12947</v>
      </c>
      <c r="C1143" s="1" t="n">
        <v>1</v>
      </c>
      <c r="D1143" s="2" t="s">
        <v>12</v>
      </c>
      <c r="E1143" s="8" t="n">
        <v>44543</v>
      </c>
      <c r="F1143" s="2" t="s">
        <v>15</v>
      </c>
      <c r="G1143" s="7" t="str">
        <f aca="false">HYPERLINK("https://mncourtfraud.com/file/MCRO_27-CR-21-12947_Order-Evaluation for Competency to Proceed (Rule 20.01)_2021-12-13_20251126182732.pdf","MCRO_27-CR-21-12947_Order-Evaluation for Competency to Proceed (Rule 20.01)_2021-12-13_20251126182732.pdf")</f>
        <v>MCRO_27-CR-21-12947_Order-Evaluation for Competency to Proceed (Rule 20.01)_2021-12-13_20251126182732.pdf</v>
      </c>
      <c r="H1143" s="7" t="str">
        <f aca="false">HYPERLINK("https://mncourtfraud.com/file/f942eca43ffd6bdbf3ee942fee873a73c8baea7707298295b91918b6d8b6d6ee.ttf","f942eca43ffd6bdbf3ee942fee873a73c8baea7707298295b91918b6d8b6d6ee")</f>
        <v>f942eca43ffd6bdbf3ee942fee873a73c8baea7707298295b91918b6d8b6d6ee</v>
      </c>
      <c r="I1143" s="1" t="s">
        <v>3413</v>
      </c>
      <c r="J1143" s="2" t="s">
        <v>3422</v>
      </c>
      <c r="K1143" s="2" t="s">
        <v>3422</v>
      </c>
      <c r="L1143" s="2" t="s">
        <v>3415</v>
      </c>
      <c r="M1143" s="2" t="n">
        <v>125444</v>
      </c>
    </row>
    <row r="1144" customFormat="false" ht="18.7" hidden="false" customHeight="true" outlineLevel="0" collapsed="false">
      <c r="A1144" s="1" t="n">
        <v>1143</v>
      </c>
      <c r="B1144" s="7" t="str">
        <f aca="false">HYPERLINK("https://mncourtfraud.com/file/27-CR-21-12947.pdf","27-CR-21-12947")</f>
        <v>27-CR-21-12947</v>
      </c>
      <c r="C1144" s="1" t="n">
        <v>1</v>
      </c>
      <c r="D1144" s="2" t="s">
        <v>12</v>
      </c>
      <c r="E1144" s="8" t="n">
        <v>44558</v>
      </c>
      <c r="F1144" s="2" t="s">
        <v>15</v>
      </c>
      <c r="G1144" s="7" t="str">
        <f aca="false">HYPERLINK("https://mncourtfraud.com/file/MCRO_27-CR-21-12947_Order-Evaluation for Competency to Proceed (Rule 20.01)_2021-12-28_20251126182740.pdf","MCRO_27-CR-21-12947_Order-Evaluation for Competency to Proceed (Rule 20.01)_2021-12-28_20251126182740.pdf")</f>
        <v>MCRO_27-CR-21-12947_Order-Evaluation for Competency to Proceed (Rule 20.01)_2021-12-28_20251126182740.pdf</v>
      </c>
      <c r="H1144" s="7" t="str">
        <f aca="false">HYPERLINK("https://mncourtfraud.com/file/82dfca2d03ab47431f2b1ea5d3ae68a4691fa404d3686a8ee57be604a82c123f.png","82dfca2d03ab47431f2b1ea5d3ae68a4691fa404d3686a8ee57be604a82c123f")</f>
        <v>82dfca2d03ab47431f2b1ea5d3ae68a4691fa404d3686a8ee57be604a82c123f</v>
      </c>
      <c r="I1144" s="1" t="s">
        <v>3406</v>
      </c>
      <c r="L1144" s="2" t="s">
        <v>3412</v>
      </c>
      <c r="M1144" s="2" t="n">
        <v>131725</v>
      </c>
      <c r="S1144" s="2" t="n">
        <v>2550</v>
      </c>
      <c r="T1144" s="2" t="n">
        <v>3300</v>
      </c>
    </row>
    <row r="1145" customFormat="false" ht="18.7" hidden="false" customHeight="true" outlineLevel="0" collapsed="false">
      <c r="A1145" s="1" t="n">
        <v>1144</v>
      </c>
      <c r="B1145" s="7" t="str">
        <f aca="false">HYPERLINK("https://mncourtfraud.com/file/27-CR-21-12947.pdf","27-CR-21-12947")</f>
        <v>27-CR-21-12947</v>
      </c>
      <c r="C1145" s="1" t="n">
        <v>1</v>
      </c>
      <c r="D1145" s="2" t="s">
        <v>12</v>
      </c>
      <c r="E1145" s="8" t="n">
        <v>44558</v>
      </c>
      <c r="F1145" s="2" t="s">
        <v>15</v>
      </c>
      <c r="G1145" s="7" t="str">
        <f aca="false">HYPERLINK("https://mncourtfraud.com/file/MCRO_27-CR-21-12947_Order-Evaluation for Competency to Proceed (Rule 20.01)_2021-12-28_20251126182740.pdf","MCRO_27-CR-21-12947_Order-Evaluation for Competency to Proceed (Rule 20.01)_2021-12-28_20251126182740.pdf")</f>
        <v>MCRO_27-CR-21-12947_Order-Evaluation for Competency to Proceed (Rule 20.01)_2021-12-28_20251126182740.pdf</v>
      </c>
      <c r="H1145" s="7" t="str">
        <f aca="false">HYPERLINK("https://mncourtfraud.com/file/9705140f6bad37e3c87eac9eb9d8e626471d324553c15fd4e356d063fa7d76c3.ttf","9705140f6bad37e3c87eac9eb9d8e626471d324553c15fd4e356d063fa7d76c3")</f>
        <v>9705140f6bad37e3c87eac9eb9d8e626471d324553c15fd4e356d063fa7d76c3</v>
      </c>
      <c r="I1145" s="1" t="s">
        <v>3413</v>
      </c>
      <c r="L1145" s="2" t="s">
        <v>3415</v>
      </c>
      <c r="M1145" s="2" t="n">
        <v>333576</v>
      </c>
    </row>
    <row r="1146" customFormat="false" ht="18.7" hidden="false" customHeight="true" outlineLevel="0" collapsed="false">
      <c r="A1146" s="1" t="n">
        <v>1145</v>
      </c>
      <c r="B1146" s="7" t="str">
        <f aca="false">HYPERLINK("https://mncourtfraud.com/file/27-CR-21-12947.pdf","27-CR-21-12947")</f>
        <v>27-CR-21-12947</v>
      </c>
      <c r="C1146" s="1" t="n">
        <v>1</v>
      </c>
      <c r="D1146" s="2" t="s">
        <v>12</v>
      </c>
      <c r="E1146" s="8" t="n">
        <v>44558</v>
      </c>
      <c r="F1146" s="2" t="s">
        <v>15</v>
      </c>
      <c r="G1146" s="7" t="str">
        <f aca="false">HYPERLINK("https://mncourtfraud.com/file/MCRO_27-CR-21-12947_Order-Evaluation for Competency to Proceed (Rule 20.01)_2021-12-28_20251126182740.pdf","MCRO_27-CR-21-12947_Order-Evaluation for Competency to Proceed (Rule 20.01)_2021-12-28_20251126182740.pdf")</f>
        <v>MCRO_27-CR-21-12947_Order-Evaluation for Competency to Proceed (Rule 20.01)_2021-12-28_20251126182740.pdf</v>
      </c>
      <c r="H1146" s="7" t="str">
        <f aca="false">HYPERLINK("https://mncourtfraud.com/file/9ff83491f420bbb3f1563f7cb935406891937ae0080505a66aed9d7b375b5ce4.png","9ff83491f420bbb3f1563f7cb935406891937ae0080505a66aed9d7b375b5ce4")</f>
        <v>9ff83491f420bbb3f1563f7cb935406891937ae0080505a66aed9d7b375b5ce4</v>
      </c>
      <c r="I1146" s="1" t="s">
        <v>3406</v>
      </c>
      <c r="L1146" s="2" t="s">
        <v>3412</v>
      </c>
      <c r="M1146" s="2" t="n">
        <v>98502</v>
      </c>
      <c r="S1146" s="2" t="n">
        <v>2550</v>
      </c>
      <c r="T1146" s="2" t="n">
        <v>3300</v>
      </c>
    </row>
    <row r="1147" customFormat="false" ht="18.7" hidden="false" customHeight="true" outlineLevel="0" collapsed="false">
      <c r="A1147" s="1" t="n">
        <v>1146</v>
      </c>
      <c r="B1147" s="7" t="str">
        <f aca="false">HYPERLINK("https://mncourtfraud.com/file/27-CR-21-12947.pdf","27-CR-21-12947")</f>
        <v>27-CR-21-12947</v>
      </c>
      <c r="C1147" s="1" t="n">
        <v>1</v>
      </c>
      <c r="D1147" s="2" t="s">
        <v>12</v>
      </c>
      <c r="E1147" s="8" t="n">
        <v>44558</v>
      </c>
      <c r="F1147" s="2" t="s">
        <v>15</v>
      </c>
      <c r="G1147" s="7" t="str">
        <f aca="false">HYPERLINK("https://mncourtfraud.com/file/MCRO_27-CR-21-12947_Order-Evaluation for Competency to Proceed (Rule 20.01)_2021-12-28_20251126182740.pdf","MCRO_27-CR-21-12947_Order-Evaluation for Competency to Proceed (Rule 20.01)_2021-12-28_20251126182740.pdf")</f>
        <v>MCRO_27-CR-21-12947_Order-Evaluation for Competency to Proceed (Rule 20.01)_2021-12-28_20251126182740.pdf</v>
      </c>
      <c r="H1147" s="7" t="str">
        <f aca="false">HYPERLINK("https://mncourtfraud.com/file/bebd4b0c927bbf0cb6889d7efde5d57b6636e7f5451dd2960eb112a91c7c2613.png","bebd4b0c927bbf0cb6889d7efde5d57b6636e7f5451dd2960eb112a91c7c2613")</f>
        <v>bebd4b0c927bbf0cb6889d7efde5d57b6636e7f5451dd2960eb112a91c7c2613</v>
      </c>
      <c r="I1147" s="1" t="s">
        <v>3406</v>
      </c>
      <c r="L1147" s="2" t="s">
        <v>3412</v>
      </c>
      <c r="M1147" s="2" t="n">
        <v>155955</v>
      </c>
      <c r="S1147" s="2" t="n">
        <v>2550</v>
      </c>
      <c r="T1147" s="2" t="n">
        <v>3300</v>
      </c>
    </row>
    <row r="1148" customFormat="false" ht="18.7" hidden="false" customHeight="true" outlineLevel="0" collapsed="false">
      <c r="A1148" s="1" t="n">
        <v>1147</v>
      </c>
      <c r="B1148" s="7" t="str">
        <f aca="false">HYPERLINK("https://mncourtfraud.com/file/27-CR-21-12947.pdf","27-CR-21-12947")</f>
        <v>27-CR-21-12947</v>
      </c>
      <c r="C1148" s="1" t="n">
        <v>1</v>
      </c>
      <c r="D1148" s="2" t="s">
        <v>12</v>
      </c>
      <c r="E1148" s="8" t="n">
        <v>44593</v>
      </c>
      <c r="F1148" s="2" t="s">
        <v>19</v>
      </c>
      <c r="G1148" s="7" t="str">
        <f aca="false">HYPERLINK("https://mncourtfraud.com/file/MCRO_27-CR-21-12947_Findings and Order_2022-02-01_20251126182615.pdf","MCRO_27-CR-21-12947_Findings and Order_2022-02-01_20251126182615.pdf")</f>
        <v>MCRO_27-CR-21-12947_Findings and Order_2022-02-01_20251126182615.pdf</v>
      </c>
      <c r="H1148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1148" s="1" t="s">
        <v>3413</v>
      </c>
      <c r="J1148" s="2" t="s">
        <v>3426</v>
      </c>
      <c r="K1148" s="2" t="s">
        <v>3426</v>
      </c>
      <c r="L1148" s="2" t="s">
        <v>3415</v>
      </c>
      <c r="M1148" s="2" t="n">
        <v>74997</v>
      </c>
      <c r="N1148" s="2" t="s">
        <v>3427</v>
      </c>
    </row>
    <row r="1149" customFormat="false" ht="18.7" hidden="false" customHeight="true" outlineLevel="0" collapsed="false">
      <c r="A1149" s="1" t="n">
        <v>1148</v>
      </c>
      <c r="B1149" s="7" t="str">
        <f aca="false">HYPERLINK("https://mncourtfraud.com/file/27-CR-21-12947.pdf","27-CR-21-12947")</f>
        <v>27-CR-21-12947</v>
      </c>
      <c r="C1149" s="1" t="n">
        <v>1</v>
      </c>
      <c r="D1149" s="2" t="s">
        <v>12</v>
      </c>
      <c r="E1149" s="8" t="n">
        <v>44593</v>
      </c>
      <c r="F1149" s="2" t="s">
        <v>19</v>
      </c>
      <c r="G1149" s="7" t="str">
        <f aca="false">HYPERLINK("https://mncourtfraud.com/file/MCRO_27-CR-21-12947_Findings and Order_2022-02-01_20251126182615.pdf","MCRO_27-CR-21-12947_Findings and Order_2022-02-01_20251126182615.pdf")</f>
        <v>MCRO_27-CR-21-12947_Findings and Order_2022-02-01_20251126182615.pdf</v>
      </c>
      <c r="H1149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1149" s="1" t="s">
        <v>3428</v>
      </c>
      <c r="J1149" s="2" t="s">
        <v>3429</v>
      </c>
      <c r="K1149" s="2" t="s">
        <v>3429</v>
      </c>
      <c r="L1149" s="2" t="s">
        <v>3415</v>
      </c>
      <c r="M1149" s="2" t="n">
        <v>86093</v>
      </c>
    </row>
    <row r="1150" customFormat="false" ht="18.7" hidden="false" customHeight="true" outlineLevel="0" collapsed="false">
      <c r="A1150" s="1" t="n">
        <v>1149</v>
      </c>
      <c r="B1150" s="7" t="str">
        <f aca="false">HYPERLINK("https://mncourtfraud.com/file/27-CR-21-12947.pdf","27-CR-21-12947")</f>
        <v>27-CR-21-12947</v>
      </c>
      <c r="C1150" s="1" t="n">
        <v>1</v>
      </c>
      <c r="D1150" s="2" t="s">
        <v>12</v>
      </c>
      <c r="E1150" s="8" t="n">
        <v>44593</v>
      </c>
      <c r="F1150" s="2" t="s">
        <v>19</v>
      </c>
      <c r="G1150" s="7" t="str">
        <f aca="false">HYPERLINK("https://mncourtfraud.com/file/MCRO_27-CR-21-12947_Findings and Order_2022-02-01_20251126182615.pdf","MCRO_27-CR-21-12947_Findings and Order_2022-02-01_20251126182615.pdf")</f>
        <v>MCRO_27-CR-21-12947_Findings and Order_2022-02-01_20251126182615.pdf</v>
      </c>
      <c r="H1150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1150" s="1" t="s">
        <v>3413</v>
      </c>
      <c r="J1150" s="2" t="s">
        <v>3414</v>
      </c>
      <c r="K1150" s="2" t="s">
        <v>3414</v>
      </c>
      <c r="L1150" s="2" t="s">
        <v>3415</v>
      </c>
      <c r="M1150" s="2" t="n">
        <v>42332</v>
      </c>
    </row>
    <row r="1151" customFormat="false" ht="18.7" hidden="false" customHeight="true" outlineLevel="0" collapsed="false">
      <c r="A1151" s="1" t="n">
        <v>1150</v>
      </c>
      <c r="B1151" s="7" t="str">
        <f aca="false">HYPERLINK("https://mncourtfraud.com/file/27-CR-21-12947.pdf","27-CR-21-12947")</f>
        <v>27-CR-21-12947</v>
      </c>
      <c r="C1151" s="1" t="n">
        <v>1</v>
      </c>
      <c r="D1151" s="2" t="s">
        <v>12</v>
      </c>
      <c r="E1151" s="8" t="n">
        <v>44593</v>
      </c>
      <c r="F1151" s="2" t="s">
        <v>19</v>
      </c>
      <c r="G1151" s="7" t="str">
        <f aca="false">HYPERLINK("https://mncourtfraud.com/file/MCRO_27-CR-21-12947_Findings and Order_2022-02-01_20251126182615.pdf","MCRO_27-CR-21-12947_Findings and Order_2022-02-01_20251126182615.pdf")</f>
        <v>MCRO_27-CR-21-12947_Findings and Order_2022-02-01_20251126182615.pdf</v>
      </c>
      <c r="H1151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1151" s="1" t="s">
        <v>3413</v>
      </c>
      <c r="J1151" s="2" t="s">
        <v>3414</v>
      </c>
      <c r="K1151" s="2" t="s">
        <v>3414</v>
      </c>
      <c r="L1151" s="2" t="s">
        <v>3415</v>
      </c>
      <c r="M1151" s="2" t="n">
        <v>42332</v>
      </c>
    </row>
    <row r="1152" customFormat="false" ht="18.7" hidden="false" customHeight="true" outlineLevel="0" collapsed="false">
      <c r="A1152" s="1" t="n">
        <v>1151</v>
      </c>
      <c r="B1152" s="7" t="str">
        <f aca="false">HYPERLINK("https://mncourtfraud.com/file/27-CR-21-12947.pdf","27-CR-21-12947")</f>
        <v>27-CR-21-12947</v>
      </c>
      <c r="C1152" s="1" t="n">
        <v>1</v>
      </c>
      <c r="D1152" s="2" t="s">
        <v>12</v>
      </c>
      <c r="E1152" s="8" t="n">
        <v>44593</v>
      </c>
      <c r="F1152" s="2" t="s">
        <v>19</v>
      </c>
      <c r="G1152" s="7" t="str">
        <f aca="false">HYPERLINK("https://mncourtfraud.com/file/MCRO_27-CR-21-12947_Findings and Order_2022-02-01_20251126182615.pdf","MCRO_27-CR-21-12947_Findings and Order_2022-02-01_20251126182615.pdf")</f>
        <v>MCRO_27-CR-21-12947_Findings and Order_2022-02-01_20251126182615.pdf</v>
      </c>
      <c r="H1152" s="7" t="str">
        <f aca="false">HYPERLINK("https://mncourtfraud.com/file/d1e06f7a12c8d4ae1de62861dbfeadf4f6b52b1cfd6801e548bc1d08782c1451.ttf","d1e06f7a12c8d4ae1de62861dbfeadf4f6b52b1cfd6801e548bc1d08782c1451")</f>
        <v>d1e06f7a12c8d4ae1de62861dbfeadf4f6b52b1cfd6801e548bc1d08782c1451</v>
      </c>
      <c r="I1152" s="1" t="s">
        <v>3413</v>
      </c>
      <c r="J1152" s="2" t="s">
        <v>3414</v>
      </c>
      <c r="K1152" s="2" t="s">
        <v>3416</v>
      </c>
      <c r="L1152" s="2" t="s">
        <v>3415</v>
      </c>
      <c r="M1152" s="2" t="n">
        <v>28584</v>
      </c>
    </row>
    <row r="1153" customFormat="false" ht="18.7" hidden="false" customHeight="true" outlineLevel="0" collapsed="false">
      <c r="A1153" s="1" t="n">
        <v>1152</v>
      </c>
      <c r="B1153" s="7" t="str">
        <f aca="false">HYPERLINK("https://mncourtfraud.com/file/27-CR-21-12947.pdf","27-CR-21-12947")</f>
        <v>27-CR-21-12947</v>
      </c>
      <c r="C1153" s="1" t="n">
        <v>1</v>
      </c>
      <c r="D1153" s="2" t="s">
        <v>12</v>
      </c>
      <c r="E1153" s="8" t="n">
        <v>44593</v>
      </c>
      <c r="F1153" s="2" t="s">
        <v>19</v>
      </c>
      <c r="G1153" s="7" t="str">
        <f aca="false">HYPERLINK("https://mncourtfraud.com/file/MCRO_27-CR-21-12947_Findings and Order_2022-02-01_20251126182615.pdf","MCRO_27-CR-21-12947_Findings and Order_2022-02-01_20251126182615.pdf")</f>
        <v>MCRO_27-CR-21-12947_Findings and Order_2022-02-01_20251126182615.pdf</v>
      </c>
      <c r="H1153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1153" s="1" t="s">
        <v>3406</v>
      </c>
      <c r="K1153" s="2" t="s">
        <v>3430</v>
      </c>
      <c r="L1153" s="2" t="s">
        <v>3408</v>
      </c>
      <c r="M1153" s="2" t="n">
        <v>28069</v>
      </c>
      <c r="O1153" s="2" t="s">
        <v>3409</v>
      </c>
      <c r="P1153" s="2" t="s">
        <v>3410</v>
      </c>
      <c r="S1153" s="2" t="n">
        <v>448</v>
      </c>
      <c r="T1153" s="2" t="n">
        <v>128</v>
      </c>
    </row>
    <row r="1154" customFormat="false" ht="18.7" hidden="false" customHeight="true" outlineLevel="0" collapsed="false">
      <c r="A1154" s="1" t="n">
        <v>1153</v>
      </c>
      <c r="B1154" s="7" t="str">
        <f aca="false">HYPERLINK("https://mncourtfraud.com/file/27-CR-21-12947.pdf","27-CR-21-12947")</f>
        <v>27-CR-21-12947</v>
      </c>
      <c r="C1154" s="1" t="n">
        <v>1</v>
      </c>
      <c r="D1154" s="2" t="s">
        <v>12</v>
      </c>
      <c r="E1154" s="8" t="n">
        <v>44692</v>
      </c>
      <c r="F1154" s="2" t="s">
        <v>15</v>
      </c>
      <c r="G1154" s="7" t="str">
        <f aca="false">HYPERLINK("https://mncourtfraud.com/file/MCRO_27-CR-21-12947_Order-Evaluation for Competency to Proceed (Rule 20.01)_2022-05-11_20251126182749.pdf","MCRO_27-CR-21-12947_Order-Evaluation for Competency to Proceed (Rule 20.01)_2022-05-11_20251126182749.pdf")</f>
        <v>MCRO_27-CR-21-12947_Order-Evaluation for Competency to Proceed (Rule 20.01)_2022-05-11_20251126182749.pdf</v>
      </c>
      <c r="H1154" s="7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1154" s="1" t="s">
        <v>3406</v>
      </c>
      <c r="K1154" s="2" t="s">
        <v>3432</v>
      </c>
      <c r="L1154" s="2" t="s">
        <v>3408</v>
      </c>
      <c r="M1154" s="2" t="n">
        <v>21121</v>
      </c>
      <c r="O1154" s="2" t="s">
        <v>3409</v>
      </c>
      <c r="P1154" s="2" t="s">
        <v>3410</v>
      </c>
      <c r="S1154" s="2" t="n">
        <v>695</v>
      </c>
      <c r="T1154" s="2" t="n">
        <v>233</v>
      </c>
    </row>
    <row r="1155" customFormat="false" ht="18.7" hidden="false" customHeight="true" outlineLevel="0" collapsed="false">
      <c r="A1155" s="1" t="n">
        <v>1154</v>
      </c>
      <c r="B1155" s="7" t="str">
        <f aca="false">HYPERLINK("https://mncourtfraud.com/file/27-CR-21-12947.pdf","27-CR-21-12947")</f>
        <v>27-CR-21-12947</v>
      </c>
      <c r="C1155" s="1" t="n">
        <v>1</v>
      </c>
      <c r="D1155" s="2" t="s">
        <v>12</v>
      </c>
      <c r="E1155" s="8" t="n">
        <v>44692</v>
      </c>
      <c r="F1155" s="2" t="s">
        <v>15</v>
      </c>
      <c r="G1155" s="7" t="str">
        <f aca="false">HYPERLINK("https://mncourtfraud.com/file/MCRO_27-CR-21-12947_Order-Evaluation for Competency to Proceed (Rule 20.01)_2022-05-11_20251126182749.pdf","MCRO_27-CR-21-12947_Order-Evaluation for Competency to Proceed (Rule 20.01)_2022-05-11_20251126182749.pdf")</f>
        <v>MCRO_27-CR-21-12947_Order-Evaluation for Competency to Proceed (Rule 20.01)_2022-05-11_20251126182749.pdf</v>
      </c>
      <c r="H1155" s="7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1155" s="1" t="s">
        <v>3406</v>
      </c>
      <c r="K1155" s="2" t="s">
        <v>3433</v>
      </c>
      <c r="L1155" s="2" t="s">
        <v>3408</v>
      </c>
      <c r="M1155" s="2" t="n">
        <v>53838</v>
      </c>
      <c r="O1155" s="2" t="s">
        <v>3409</v>
      </c>
      <c r="P1155" s="2" t="s">
        <v>3410</v>
      </c>
      <c r="S1155" s="2" t="n">
        <v>695</v>
      </c>
      <c r="T1155" s="2" t="n">
        <v>233</v>
      </c>
    </row>
    <row r="1156" customFormat="false" ht="18.7" hidden="false" customHeight="true" outlineLevel="0" collapsed="false">
      <c r="A1156" s="1" t="n">
        <v>1155</v>
      </c>
      <c r="B1156" s="7" t="str">
        <f aca="false">HYPERLINK("https://mncourtfraud.com/file/27-CR-21-12947.pdf","27-CR-21-12947")</f>
        <v>27-CR-21-12947</v>
      </c>
      <c r="C1156" s="1" t="n">
        <v>1</v>
      </c>
      <c r="D1156" s="2" t="s">
        <v>12</v>
      </c>
      <c r="E1156" s="8" t="n">
        <v>44692</v>
      </c>
      <c r="F1156" s="2" t="s">
        <v>15</v>
      </c>
      <c r="G1156" s="7" t="str">
        <f aca="false">HYPERLINK("https://mncourtfraud.com/file/MCRO_27-CR-21-12947_Order-Evaluation for Competency to Proceed (Rule 20.01)_2022-05-11_20251126182749.pdf","MCRO_27-CR-21-12947_Order-Evaluation for Competency to Proceed (Rule 20.01)_2022-05-11_20251126182749.pdf")</f>
        <v>MCRO_27-CR-21-12947_Order-Evaluation for Competency to Proceed (Rule 20.01)_2022-05-11_20251126182749.pdf</v>
      </c>
      <c r="H1156" s="7" t="str">
        <f aca="false">HYPERLINK("https://mncourtfraud.com/file/322fe0e9595a4df4693edf307e5f8a42a470721d59f006a7b0e86def92125a58.ttf","322fe0e9595a4df4693edf307e5f8a42a470721d59f006a7b0e86def92125a58")</f>
        <v>322fe0e9595a4df4693edf307e5f8a42a470721d59f006a7b0e86def92125a58</v>
      </c>
      <c r="I1156" s="1" t="s">
        <v>3413</v>
      </c>
      <c r="J1156" s="2" t="s">
        <v>3434</v>
      </c>
      <c r="K1156" s="2" t="s">
        <v>3434</v>
      </c>
      <c r="L1156" s="2" t="s">
        <v>3415</v>
      </c>
      <c r="M1156" s="2" t="n">
        <v>46736</v>
      </c>
      <c r="N1156" s="2" t="s">
        <v>3435</v>
      </c>
    </row>
    <row r="1157" customFormat="false" ht="18.7" hidden="false" customHeight="true" outlineLevel="0" collapsed="false">
      <c r="A1157" s="1" t="n">
        <v>1156</v>
      </c>
      <c r="B1157" s="7" t="str">
        <f aca="false">HYPERLINK("https://mncourtfraud.com/file/27-CR-21-12947.pdf","27-CR-21-12947")</f>
        <v>27-CR-21-12947</v>
      </c>
      <c r="C1157" s="1" t="n">
        <v>1</v>
      </c>
      <c r="D1157" s="2" t="s">
        <v>12</v>
      </c>
      <c r="E1157" s="8" t="n">
        <v>44692</v>
      </c>
      <c r="F1157" s="2" t="s">
        <v>15</v>
      </c>
      <c r="G1157" s="7" t="str">
        <f aca="false">HYPERLINK("https://mncourtfraud.com/file/MCRO_27-CR-21-12947_Order-Evaluation for Competency to Proceed (Rule 20.01)_2022-05-11_20251126182749.pdf","MCRO_27-CR-21-12947_Order-Evaluation for Competency to Proceed (Rule 20.01)_2022-05-11_20251126182749.pdf")</f>
        <v>MCRO_27-CR-21-12947_Order-Evaluation for Competency to Proceed (Rule 20.01)_2022-05-11_20251126182749.pdf</v>
      </c>
      <c r="H1157" s="7" t="str">
        <f aca="false">HYPERLINK("https://mncourtfraud.com/file/32ebada21768d6238e03c647b5e5acdf6ce656f0735d59c3fb698ce40418a709.ttf","32ebada21768d6238e03c647b5e5acdf6ce656f0735d59c3fb698ce40418a709")</f>
        <v>32ebada21768d6238e03c647b5e5acdf6ce656f0735d59c3fb698ce40418a709</v>
      </c>
      <c r="I1157" s="1" t="s">
        <v>3413</v>
      </c>
      <c r="J1157" s="2" t="s">
        <v>3436</v>
      </c>
      <c r="K1157" s="2" t="s">
        <v>3436</v>
      </c>
      <c r="L1157" s="2" t="s">
        <v>3415</v>
      </c>
      <c r="M1157" s="2" t="n">
        <v>65744</v>
      </c>
      <c r="N1157" s="2" t="s">
        <v>3437</v>
      </c>
    </row>
    <row r="1158" customFormat="false" ht="18.7" hidden="false" customHeight="true" outlineLevel="0" collapsed="false">
      <c r="A1158" s="1" t="n">
        <v>1157</v>
      </c>
      <c r="B1158" s="7" t="str">
        <f aca="false">HYPERLINK("https://mncourtfraud.com/file/27-CR-21-12947.pdf","27-CR-21-12947")</f>
        <v>27-CR-21-12947</v>
      </c>
      <c r="C1158" s="1" t="n">
        <v>1</v>
      </c>
      <c r="D1158" s="2" t="s">
        <v>12</v>
      </c>
      <c r="E1158" s="8" t="n">
        <v>44692</v>
      </c>
      <c r="F1158" s="2" t="s">
        <v>15</v>
      </c>
      <c r="G1158" s="7" t="str">
        <f aca="false">HYPERLINK("https://mncourtfraud.com/file/MCRO_27-CR-21-12947_Order-Evaluation for Competency to Proceed (Rule 20.01)_2022-05-11_20251126182749.pdf","MCRO_27-CR-21-12947_Order-Evaluation for Competency to Proceed (Rule 20.01)_2022-05-11_20251126182749.pdf")</f>
        <v>MCRO_27-CR-21-12947_Order-Evaluation for Competency to Proceed (Rule 20.01)_2022-05-11_20251126182749.pdf</v>
      </c>
      <c r="H1158" s="7" t="str">
        <f aca="false">HYPERLINK("https://mncourtfraud.com/file/694dcb82a5515430b7fddfbf16881b942820c8c41fee3eea3505a20c7d4e41e6.ttf","694dcb82a5515430b7fddfbf16881b942820c8c41fee3eea3505a20c7d4e41e6")</f>
        <v>694dcb82a5515430b7fddfbf16881b942820c8c41fee3eea3505a20c7d4e41e6</v>
      </c>
      <c r="I1158" s="1" t="s">
        <v>3413</v>
      </c>
      <c r="J1158" s="2" t="s">
        <v>3438</v>
      </c>
      <c r="K1158" s="2" t="s">
        <v>3438</v>
      </c>
      <c r="L1158" s="2" t="s">
        <v>3415</v>
      </c>
      <c r="M1158" s="2" t="n">
        <v>72828</v>
      </c>
      <c r="N1158" s="2" t="s">
        <v>3439</v>
      </c>
    </row>
    <row r="1159" customFormat="false" ht="18.7" hidden="false" customHeight="true" outlineLevel="0" collapsed="false">
      <c r="A1159" s="1" t="n">
        <v>1158</v>
      </c>
      <c r="B1159" s="7" t="str">
        <f aca="false">HYPERLINK("https://mncourtfraud.com/file/27-CR-21-12947.pdf","27-CR-21-12947")</f>
        <v>27-CR-21-12947</v>
      </c>
      <c r="C1159" s="1" t="n">
        <v>1</v>
      </c>
      <c r="D1159" s="2" t="s">
        <v>12</v>
      </c>
      <c r="E1159" s="8" t="n">
        <v>44692</v>
      </c>
      <c r="F1159" s="2" t="s">
        <v>15</v>
      </c>
      <c r="G1159" s="7" t="str">
        <f aca="false">HYPERLINK("https://mncourtfraud.com/file/MCRO_27-CR-21-12947_Order-Evaluation for Competency to Proceed (Rule 20.01)_2022-05-11_20251126182749.pdf","MCRO_27-CR-21-12947_Order-Evaluation for Competency to Proceed (Rule 20.01)_2022-05-11_20251126182749.pdf")</f>
        <v>MCRO_27-CR-21-12947_Order-Evaluation for Competency to Proceed (Rule 20.01)_2022-05-11_20251126182749.pdf</v>
      </c>
      <c r="H1159" s="7" t="str">
        <f aca="false">HYPERLINK("https://mncourtfraud.com/file/87764021d6d62f7c396208d3f1fa8113e5ad5f90bd03c35e7200536389af4e6a.ttf","87764021d6d62f7c396208d3f1fa8113e5ad5f90bd03c35e7200536389af4e6a")</f>
        <v>87764021d6d62f7c396208d3f1fa8113e5ad5f90bd03c35e7200536389af4e6a</v>
      </c>
      <c r="I1159" s="1" t="s">
        <v>3413</v>
      </c>
      <c r="J1159" s="2" t="s">
        <v>3440</v>
      </c>
      <c r="K1159" s="2" t="s">
        <v>3440</v>
      </c>
      <c r="L1159" s="2" t="s">
        <v>3415</v>
      </c>
      <c r="M1159" s="2" t="n">
        <v>6280</v>
      </c>
      <c r="N1159" s="2" t="s">
        <v>3441</v>
      </c>
    </row>
    <row r="1160" customFormat="false" ht="18.7" hidden="false" customHeight="true" outlineLevel="0" collapsed="false">
      <c r="A1160" s="1" t="n">
        <v>1159</v>
      </c>
      <c r="B1160" s="7" t="str">
        <f aca="false">HYPERLINK("https://mncourtfraud.com/file/27-CR-21-12947.pdf","27-CR-21-12947")</f>
        <v>27-CR-21-12947</v>
      </c>
      <c r="C1160" s="1" t="n">
        <v>1</v>
      </c>
      <c r="D1160" s="2" t="s">
        <v>12</v>
      </c>
      <c r="E1160" s="8" t="n">
        <v>44692</v>
      </c>
      <c r="F1160" s="2" t="s">
        <v>15</v>
      </c>
      <c r="G1160" s="7" t="str">
        <f aca="false">HYPERLINK("https://mncourtfraud.com/file/MCRO_27-CR-21-12947_Order-Evaluation for Competency to Proceed (Rule 20.01)_2022-05-11_20251126182749.pdf","MCRO_27-CR-21-12947_Order-Evaluation for Competency to Proceed (Rule 20.01)_2022-05-11_20251126182749.pdf")</f>
        <v>MCRO_27-CR-21-12947_Order-Evaluation for Competency to Proceed (Rule 20.01)_2022-05-11_20251126182749.pdf</v>
      </c>
      <c r="H1160" s="7" t="str">
        <f aca="false">HYPERLINK("https://mncourtfraud.com/file/a1ad71f465be26cf6bb430c59ae6133d3c381ada339ba3c6b2eadf32a9b4096b.ttf","a1ad71f465be26cf6bb430c59ae6133d3c381ada339ba3c6b2eadf32a9b4096b")</f>
        <v>a1ad71f465be26cf6bb430c59ae6133d3c381ada339ba3c6b2eadf32a9b4096b</v>
      </c>
      <c r="I1160" s="1" t="s">
        <v>3413</v>
      </c>
      <c r="J1160" s="2" t="s">
        <v>3442</v>
      </c>
      <c r="K1160" s="2" t="s">
        <v>3442</v>
      </c>
      <c r="L1160" s="2" t="s">
        <v>3415</v>
      </c>
      <c r="M1160" s="2" t="n">
        <v>5988</v>
      </c>
      <c r="N1160" s="2" t="s">
        <v>3443</v>
      </c>
    </row>
    <row r="1161" customFormat="false" ht="18.7" hidden="false" customHeight="true" outlineLevel="0" collapsed="false">
      <c r="A1161" s="1" t="n">
        <v>1160</v>
      </c>
      <c r="B1161" s="7" t="str">
        <f aca="false">HYPERLINK("https://mncourtfraud.com/file/27-CR-21-12947.pdf","27-CR-21-12947")</f>
        <v>27-CR-21-12947</v>
      </c>
      <c r="C1161" s="1" t="n">
        <v>1</v>
      </c>
      <c r="D1161" s="2" t="s">
        <v>12</v>
      </c>
      <c r="E1161" s="8" t="n">
        <v>44692</v>
      </c>
      <c r="F1161" s="2" t="s">
        <v>15</v>
      </c>
      <c r="G1161" s="7" t="str">
        <f aca="false">HYPERLINK("https://mncourtfraud.com/file/MCRO_27-CR-21-12947_Order-Evaluation for Competency to Proceed (Rule 20.01)_2022-05-11_20251126182749.pdf","MCRO_27-CR-21-12947_Order-Evaluation for Competency to Proceed (Rule 20.01)_2022-05-11_20251126182749.pdf")</f>
        <v>MCRO_27-CR-21-12947_Order-Evaluation for Competency to Proceed (Rule 20.01)_2022-05-11_20251126182749.pdf</v>
      </c>
      <c r="H1161" s="7" t="str">
        <f aca="false">HYPERLINK("https://mncourtfraud.com/file/e1befe23dc5d05be4c8e965e6fc9e74e95400600e0da0c86dd389645355f3ad1.ttf","e1befe23dc5d05be4c8e965e6fc9e74e95400600e0da0c86dd389645355f3ad1")</f>
        <v>e1befe23dc5d05be4c8e965e6fc9e74e95400600e0da0c86dd389645355f3ad1</v>
      </c>
      <c r="I1161" s="1" t="s">
        <v>3413</v>
      </c>
      <c r="J1161" s="2" t="s">
        <v>3444</v>
      </c>
      <c r="K1161" s="2" t="s">
        <v>3444</v>
      </c>
      <c r="L1161" s="2" t="s">
        <v>3415</v>
      </c>
      <c r="M1161" s="2" t="n">
        <v>94308</v>
      </c>
      <c r="N1161" s="2" t="s">
        <v>3445</v>
      </c>
    </row>
    <row r="1162" customFormat="false" ht="18.7" hidden="false" customHeight="true" outlineLevel="0" collapsed="false">
      <c r="A1162" s="1" t="n">
        <v>1161</v>
      </c>
      <c r="B1162" s="7" t="str">
        <f aca="false">HYPERLINK("https://mncourtfraud.com/file/27-CR-21-12947.pdf","27-CR-21-12947")</f>
        <v>27-CR-21-12947</v>
      </c>
      <c r="C1162" s="1" t="n">
        <v>1</v>
      </c>
      <c r="D1162" s="2" t="s">
        <v>12</v>
      </c>
      <c r="E1162" s="8" t="n">
        <v>44895</v>
      </c>
      <c r="F1162" s="2" t="s">
        <v>15</v>
      </c>
      <c r="G1162" s="7" t="str">
        <f aca="false">HYPERLINK("https://mncourtfraud.com/file/MCRO_27-CR-21-12947_Order-Evaluation for Competency to Proceed (Rule 20.01)_2022-11-30_20251126182757.pdf","MCRO_27-CR-21-12947_Order-Evaluation for Competency to Proceed (Rule 20.01)_2022-11-30_20251126182757.pdf")</f>
        <v>MCRO_27-CR-21-12947_Order-Evaluation for Competency to Proceed (Rule 20.01)_2022-11-30_20251126182757.pdf</v>
      </c>
      <c r="H1162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1162" s="1" t="s">
        <v>3413</v>
      </c>
      <c r="J1162" s="2" t="s">
        <v>3423</v>
      </c>
      <c r="K1162" s="2" t="s">
        <v>3423</v>
      </c>
      <c r="L1162" s="2" t="s">
        <v>3415</v>
      </c>
      <c r="M1162" s="2" t="n">
        <v>11088</v>
      </c>
    </row>
    <row r="1163" customFormat="false" ht="18.7" hidden="false" customHeight="true" outlineLevel="0" collapsed="false">
      <c r="A1163" s="1" t="n">
        <v>1162</v>
      </c>
      <c r="B1163" s="7" t="str">
        <f aca="false">HYPERLINK("https://mncourtfraud.com/file/27-CR-21-12947.pdf","27-CR-21-12947")</f>
        <v>27-CR-21-12947</v>
      </c>
      <c r="C1163" s="1" t="n">
        <v>1</v>
      </c>
      <c r="D1163" s="2" t="s">
        <v>12</v>
      </c>
      <c r="E1163" s="8" t="n">
        <v>44895</v>
      </c>
      <c r="F1163" s="2" t="s">
        <v>15</v>
      </c>
      <c r="G1163" s="7" t="str">
        <f aca="false">HYPERLINK("https://mncourtfraud.com/file/MCRO_27-CR-21-12947_Order-Evaluation for Competency to Proceed (Rule 20.01)_2022-11-30_20251126182757.pdf","MCRO_27-CR-21-12947_Order-Evaluation for Competency to Proceed (Rule 20.01)_2022-11-30_20251126182757.pdf")</f>
        <v>MCRO_27-CR-21-12947_Order-Evaluation for Competency to Proceed (Rule 20.01)_2022-11-30_20251126182757.pdf</v>
      </c>
      <c r="H1163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1163" s="1" t="s">
        <v>3413</v>
      </c>
      <c r="J1163" s="2" t="s">
        <v>3446</v>
      </c>
      <c r="K1163" s="2" t="s">
        <v>3446</v>
      </c>
      <c r="L1163" s="2" t="s">
        <v>3415</v>
      </c>
      <c r="M1163" s="2" t="n">
        <v>55072</v>
      </c>
      <c r="N1163" s="2" t="s">
        <v>3447</v>
      </c>
    </row>
    <row r="1164" customFormat="false" ht="18.7" hidden="false" customHeight="true" outlineLevel="0" collapsed="false">
      <c r="A1164" s="1" t="n">
        <v>1163</v>
      </c>
      <c r="B1164" s="7" t="str">
        <f aca="false">HYPERLINK("https://mncourtfraud.com/file/27-CR-21-12947.pdf","27-CR-21-12947")</f>
        <v>27-CR-21-12947</v>
      </c>
      <c r="C1164" s="1" t="n">
        <v>1</v>
      </c>
      <c r="D1164" s="2" t="s">
        <v>12</v>
      </c>
      <c r="E1164" s="8" t="n">
        <v>44895</v>
      </c>
      <c r="F1164" s="2" t="s">
        <v>15</v>
      </c>
      <c r="G1164" s="7" t="str">
        <f aca="false">HYPERLINK("https://mncourtfraud.com/file/MCRO_27-CR-21-12947_Order-Evaluation for Competency to Proceed (Rule 20.01)_2022-11-30_20251126182757.pdf","MCRO_27-CR-21-12947_Order-Evaluation for Competency to Proceed (Rule 20.01)_2022-11-30_20251126182757.pdf")</f>
        <v>MCRO_27-CR-21-12947_Order-Evaluation for Competency to Proceed (Rule 20.01)_2022-11-30_20251126182757.pdf</v>
      </c>
      <c r="H1164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1164" s="1" t="s">
        <v>3413</v>
      </c>
      <c r="J1164" s="2" t="s">
        <v>3424</v>
      </c>
      <c r="K1164" s="2" t="s">
        <v>3424</v>
      </c>
      <c r="L1164" s="2" t="s">
        <v>3415</v>
      </c>
      <c r="M1164" s="2" t="n">
        <v>14252</v>
      </c>
    </row>
    <row r="1165" customFormat="false" ht="18.7" hidden="false" customHeight="true" outlineLevel="0" collapsed="false">
      <c r="A1165" s="1" t="n">
        <v>1164</v>
      </c>
      <c r="B1165" s="7" t="str">
        <f aca="false">HYPERLINK("https://mncourtfraud.com/file/27-CR-21-12947.pdf","27-CR-21-12947")</f>
        <v>27-CR-21-12947</v>
      </c>
      <c r="C1165" s="1" t="n">
        <v>1</v>
      </c>
      <c r="D1165" s="2" t="s">
        <v>12</v>
      </c>
      <c r="E1165" s="8" t="n">
        <v>44895</v>
      </c>
      <c r="F1165" s="2" t="s">
        <v>15</v>
      </c>
      <c r="G1165" s="7" t="str">
        <f aca="false">HYPERLINK("https://mncourtfraud.com/file/MCRO_27-CR-21-12947_Order-Evaluation for Competency to Proceed (Rule 20.01)_2022-11-30_20251126182757.pdf","MCRO_27-CR-21-12947_Order-Evaluation for Competency to Proceed (Rule 20.01)_2022-11-30_20251126182757.pdf")</f>
        <v>MCRO_27-CR-21-12947_Order-Evaluation for Competency to Proceed (Rule 20.01)_2022-11-30_20251126182757.pdf</v>
      </c>
      <c r="H1165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165" s="1" t="s">
        <v>3406</v>
      </c>
      <c r="K1165" s="2" t="s">
        <v>3420</v>
      </c>
      <c r="L1165" s="2" t="s">
        <v>3408</v>
      </c>
      <c r="M1165" s="2" t="n">
        <v>7306</v>
      </c>
      <c r="O1165" s="2" t="s">
        <v>3409</v>
      </c>
      <c r="P1165" s="2" t="s">
        <v>3410</v>
      </c>
      <c r="S1165" s="2" t="n">
        <v>319</v>
      </c>
      <c r="T1165" s="2" t="n">
        <v>105</v>
      </c>
    </row>
    <row r="1166" customFormat="false" ht="18.7" hidden="false" customHeight="true" outlineLevel="0" collapsed="false">
      <c r="A1166" s="1" t="n">
        <v>1165</v>
      </c>
      <c r="B1166" s="7" t="str">
        <f aca="false">HYPERLINK("https://mncourtfraud.com/file/27-CR-21-12947.pdf","27-CR-21-12947")</f>
        <v>27-CR-21-12947</v>
      </c>
      <c r="C1166" s="1" t="n">
        <v>1</v>
      </c>
      <c r="D1166" s="2" t="s">
        <v>12</v>
      </c>
      <c r="E1166" s="8" t="n">
        <v>44895</v>
      </c>
      <c r="F1166" s="2" t="s">
        <v>15</v>
      </c>
      <c r="G1166" s="7" t="str">
        <f aca="false">HYPERLINK("https://mncourtfraud.com/file/MCRO_27-CR-21-12947_Order-Evaluation for Competency to Proceed (Rule 20.01)_2022-11-30_20251126182757.pdf","MCRO_27-CR-21-12947_Order-Evaluation for Competency to Proceed (Rule 20.01)_2022-11-30_20251126182757.pdf")</f>
        <v>MCRO_27-CR-21-12947_Order-Evaluation for Competency to Proceed (Rule 20.01)_2022-11-30_20251126182757.pdf</v>
      </c>
      <c r="H1166" s="7" t="str">
        <f aca="false">HYPERLINK("https://mncourtfraud.com/file/677e52a3b8403ce87e338b0a2e31e6f8e5ddf03fb0ca7043a341135cf0255eaa.ttf","677e52a3b8403ce87e338b0a2e31e6f8e5ddf03fb0ca7043a341135cf0255eaa")</f>
        <v>677e52a3b8403ce87e338b0a2e31e6f8e5ddf03fb0ca7043a341135cf0255eaa</v>
      </c>
      <c r="I1166" s="1" t="s">
        <v>3413</v>
      </c>
      <c r="J1166" s="2" t="s">
        <v>3422</v>
      </c>
      <c r="K1166" s="2" t="s">
        <v>3422</v>
      </c>
      <c r="L1166" s="2" t="s">
        <v>3415</v>
      </c>
      <c r="M1166" s="2" t="n">
        <v>149960</v>
      </c>
    </row>
    <row r="1167" customFormat="false" ht="18.7" hidden="false" customHeight="true" outlineLevel="0" collapsed="false">
      <c r="A1167" s="1" t="n">
        <v>1166</v>
      </c>
      <c r="B1167" s="7" t="str">
        <f aca="false">HYPERLINK("https://mncourtfraud.com/file/27-CR-21-12947.pdf","27-CR-21-12947")</f>
        <v>27-CR-21-12947</v>
      </c>
      <c r="C1167" s="1" t="n">
        <v>1</v>
      </c>
      <c r="D1167" s="2" t="s">
        <v>12</v>
      </c>
      <c r="E1167" s="8" t="n">
        <v>44895</v>
      </c>
      <c r="F1167" s="2" t="s">
        <v>15</v>
      </c>
      <c r="G1167" s="7" t="str">
        <f aca="false">HYPERLINK("https://mncourtfraud.com/file/MCRO_27-CR-21-12947_Order-Evaluation for Competency to Proceed (Rule 20.01)_2022-11-30_20251126182757.pdf","MCRO_27-CR-21-12947_Order-Evaluation for Competency to Proceed (Rule 20.01)_2022-11-30_20251126182757.pdf")</f>
        <v>MCRO_27-CR-21-12947_Order-Evaluation for Competency to Proceed (Rule 20.01)_2022-11-30_20251126182757.pdf</v>
      </c>
      <c r="H1167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1167" s="1" t="s">
        <v>3413</v>
      </c>
      <c r="J1167" s="2" t="s">
        <v>3448</v>
      </c>
      <c r="K1167" s="2" t="s">
        <v>3448</v>
      </c>
      <c r="L1167" s="2" t="s">
        <v>3415</v>
      </c>
      <c r="M1167" s="2" t="n">
        <v>916684</v>
      </c>
    </row>
    <row r="1168" customFormat="false" ht="18.7" hidden="false" customHeight="true" outlineLevel="0" collapsed="false">
      <c r="A1168" s="1" t="n">
        <v>1167</v>
      </c>
      <c r="B1168" s="7" t="str">
        <f aca="false">HYPERLINK("https://mncourtfraud.com/file/27-CR-21-12947.pdf","27-CR-21-12947")</f>
        <v>27-CR-21-12947</v>
      </c>
      <c r="C1168" s="1" t="n">
        <v>1</v>
      </c>
      <c r="D1168" s="2" t="s">
        <v>12</v>
      </c>
      <c r="E1168" s="8" t="n">
        <v>44895</v>
      </c>
      <c r="F1168" s="2" t="s">
        <v>15</v>
      </c>
      <c r="G1168" s="7" t="str">
        <f aca="false">HYPERLINK("https://mncourtfraud.com/file/MCRO_27-CR-21-12947_Order-Evaluation for Competency to Proceed (Rule 20.01)_2022-11-30_20251126182757.pdf","MCRO_27-CR-21-12947_Order-Evaluation for Competency to Proceed (Rule 20.01)_2022-11-30_20251126182757.pdf")</f>
        <v>MCRO_27-CR-21-12947_Order-Evaluation for Competency to Proceed (Rule 20.01)_2022-11-30_20251126182757.pdf</v>
      </c>
      <c r="H1168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168" s="1" t="s">
        <v>3406</v>
      </c>
      <c r="K1168" s="2" t="s">
        <v>3425</v>
      </c>
      <c r="L1168" s="2" t="s">
        <v>3408</v>
      </c>
      <c r="M1168" s="2" t="n">
        <v>21225</v>
      </c>
      <c r="O1168" s="2" t="s">
        <v>3409</v>
      </c>
      <c r="P1168" s="2" t="s">
        <v>3410</v>
      </c>
      <c r="S1168" s="2" t="n">
        <v>319</v>
      </c>
      <c r="T1168" s="2" t="n">
        <v>105</v>
      </c>
    </row>
    <row r="1169" customFormat="false" ht="18.7" hidden="false" customHeight="true" outlineLevel="0" collapsed="false">
      <c r="A1169" s="1" t="n">
        <v>1168</v>
      </c>
      <c r="B1169" s="7" t="str">
        <f aca="false">HYPERLINK("https://mncourtfraud.com/file/27-CR-21-12947.pdf","27-CR-21-12947")</f>
        <v>27-CR-21-12947</v>
      </c>
      <c r="C1169" s="1" t="n">
        <v>1</v>
      </c>
      <c r="D1169" s="2" t="s">
        <v>12</v>
      </c>
      <c r="E1169" s="8" t="n">
        <v>44895</v>
      </c>
      <c r="F1169" s="2" t="s">
        <v>15</v>
      </c>
      <c r="G1169" s="7" t="str">
        <f aca="false">HYPERLINK("https://mncourtfraud.com/file/MCRO_27-CR-21-12947_Order-Evaluation for Competency to Proceed (Rule 20.01)_2022-11-30_20251126182757.pdf","MCRO_27-CR-21-12947_Order-Evaluation for Competency to Proceed (Rule 20.01)_2022-11-30_20251126182757.pdf")</f>
        <v>MCRO_27-CR-21-12947_Order-Evaluation for Competency to Proceed (Rule 20.01)_2022-11-30_20251126182757.pdf</v>
      </c>
      <c r="H1169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1169" s="1" t="s">
        <v>3413</v>
      </c>
      <c r="J1169" s="2" t="s">
        <v>3449</v>
      </c>
      <c r="K1169" s="2" t="s">
        <v>3449</v>
      </c>
      <c r="L1169" s="2" t="s">
        <v>3415</v>
      </c>
      <c r="M1169" s="2" t="n">
        <v>124664</v>
      </c>
    </row>
    <row r="1170" customFormat="false" ht="18.7" hidden="false" customHeight="true" outlineLevel="0" collapsed="false">
      <c r="A1170" s="1" t="n">
        <v>1169</v>
      </c>
      <c r="B1170" s="7" t="str">
        <f aca="false">HYPERLINK("https://mncourtfraud.com/file/27-CR-21-12947.pdf","27-CR-21-12947")</f>
        <v>27-CR-21-12947</v>
      </c>
      <c r="C1170" s="1" t="n">
        <v>1</v>
      </c>
      <c r="D1170" s="2" t="s">
        <v>12</v>
      </c>
      <c r="E1170" s="8" t="n">
        <v>44895</v>
      </c>
      <c r="F1170" s="2" t="s">
        <v>15</v>
      </c>
      <c r="G1170" s="7" t="str">
        <f aca="false">HYPERLINK("https://mncourtfraud.com/file/MCRO_27-CR-21-12947_Order-Evaluation for Competency to Proceed (Rule 20.01)_2022-11-30_20251126182757.pdf","MCRO_27-CR-21-12947_Order-Evaluation for Competency to Proceed (Rule 20.01)_2022-11-30_20251126182757.pdf")</f>
        <v>MCRO_27-CR-21-12947_Order-Evaluation for Competency to Proceed (Rule 20.01)_2022-11-30_20251126182757.pdf</v>
      </c>
      <c r="H1170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1170" s="1" t="s">
        <v>3413</v>
      </c>
      <c r="J1170" s="2" t="s">
        <v>3449</v>
      </c>
      <c r="K1170" s="2" t="s">
        <v>3449</v>
      </c>
      <c r="L1170" s="2" t="s">
        <v>3415</v>
      </c>
      <c r="M1170" s="2" t="n">
        <v>124664</v>
      </c>
    </row>
    <row r="1171" customFormat="false" ht="18.7" hidden="false" customHeight="true" outlineLevel="0" collapsed="false">
      <c r="A1171" s="1" t="n">
        <v>1170</v>
      </c>
      <c r="B1171" s="7" t="str">
        <f aca="false">HYPERLINK("https://mncourtfraud.com/file/27-CR-21-12947.pdf","27-CR-21-12947")</f>
        <v>27-CR-21-12947</v>
      </c>
      <c r="C1171" s="1" t="n">
        <v>1</v>
      </c>
      <c r="D1171" s="2" t="s">
        <v>12</v>
      </c>
      <c r="E1171" s="8" t="n">
        <v>45048</v>
      </c>
      <c r="F1171" s="2" t="s">
        <v>80</v>
      </c>
      <c r="G1171" s="7" t="str">
        <f aca="false">HYPERLINK("https://mncourtfraud.com/file/MCRO_27-CR-21-12947_Finding of Incompetency and Order_2023-05-02_20251126182603.pdf","MCRO_27-CR-21-12947_Finding of Incompetency and Order_2023-05-02_20251126182603.pdf")</f>
        <v>MCRO_27-CR-21-12947_Finding of Incompetency and Order_2023-05-02_20251126182603.pdf</v>
      </c>
      <c r="H1171" s="7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1171" s="1" t="s">
        <v>3406</v>
      </c>
      <c r="L1171" s="2" t="s">
        <v>3412</v>
      </c>
      <c r="M1171" s="2" t="n">
        <v>3506</v>
      </c>
      <c r="S1171" s="2" t="n">
        <v>1410</v>
      </c>
      <c r="T1171" s="2" t="n">
        <v>150</v>
      </c>
    </row>
    <row r="1172" customFormat="false" ht="18.7" hidden="false" customHeight="true" outlineLevel="0" collapsed="false">
      <c r="A1172" s="1" t="n">
        <v>1171</v>
      </c>
      <c r="B1172" s="7" t="str">
        <f aca="false">HYPERLINK("https://mncourtfraud.com/file/27-CR-21-12947.pdf","27-CR-21-12947")</f>
        <v>27-CR-21-12947</v>
      </c>
      <c r="C1172" s="1" t="n">
        <v>1</v>
      </c>
      <c r="D1172" s="2" t="s">
        <v>12</v>
      </c>
      <c r="E1172" s="8" t="n">
        <v>45048</v>
      </c>
      <c r="F1172" s="2" t="s">
        <v>80</v>
      </c>
      <c r="G1172" s="7" t="str">
        <f aca="false">HYPERLINK("https://mncourtfraud.com/file/MCRO_27-CR-21-12947_Finding of Incompetency and Order_2023-05-02_20251126182603.pdf","MCRO_27-CR-21-12947_Finding of Incompetency and Order_2023-05-02_20251126182603.pdf")</f>
        <v>MCRO_27-CR-21-12947_Finding of Incompetency and Order_2023-05-02_20251126182603.pdf</v>
      </c>
      <c r="H1172" s="7" t="str">
        <f aca="false">HYPERLINK("https://mncourtfraud.com/file/18befca089509ee2fbaddf9c5b79bf5988523b22d2369743ed9a591b9fc3bdb6.ttf","18befca089509ee2fbaddf9c5b79bf5988523b22d2369743ed9a591b9fc3bdb6")</f>
        <v>18befca089509ee2fbaddf9c5b79bf5988523b22d2369743ed9a591b9fc3bdb6</v>
      </c>
      <c r="I1172" s="1" t="s">
        <v>3413</v>
      </c>
      <c r="J1172" s="2" t="s">
        <v>3421</v>
      </c>
      <c r="K1172" s="2" t="s">
        <v>3450</v>
      </c>
      <c r="L1172" s="2" t="s">
        <v>3415</v>
      </c>
      <c r="M1172" s="2" t="n">
        <v>115928</v>
      </c>
    </row>
    <row r="1173" customFormat="false" ht="18.7" hidden="false" customHeight="true" outlineLevel="0" collapsed="false">
      <c r="A1173" s="1" t="n">
        <v>1172</v>
      </c>
      <c r="B1173" s="7" t="str">
        <f aca="false">HYPERLINK("https://mncourtfraud.com/file/27-CR-21-12947.pdf","27-CR-21-12947")</f>
        <v>27-CR-21-12947</v>
      </c>
      <c r="C1173" s="1" t="n">
        <v>1</v>
      </c>
      <c r="D1173" s="2" t="s">
        <v>12</v>
      </c>
      <c r="E1173" s="8" t="n">
        <v>45048</v>
      </c>
      <c r="F1173" s="2" t="s">
        <v>80</v>
      </c>
      <c r="G1173" s="7" t="str">
        <f aca="false">HYPERLINK("https://mncourtfraud.com/file/MCRO_27-CR-21-12947_Finding of Incompetency and Order_2023-05-02_20251126182603.pdf","MCRO_27-CR-21-12947_Finding of Incompetency and Order_2023-05-02_20251126182603.pdf")</f>
        <v>MCRO_27-CR-21-12947_Finding of Incompetency and Order_2023-05-02_20251126182603.pdf</v>
      </c>
      <c r="H1173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1173" s="1" t="s">
        <v>3413</v>
      </c>
      <c r="J1173" s="2" t="s">
        <v>3446</v>
      </c>
      <c r="K1173" s="2" t="s">
        <v>3446</v>
      </c>
      <c r="L1173" s="2" t="s">
        <v>3415</v>
      </c>
      <c r="M1173" s="2" t="n">
        <v>55072</v>
      </c>
      <c r="N1173" s="2" t="s">
        <v>3447</v>
      </c>
    </row>
    <row r="1174" customFormat="false" ht="18.7" hidden="false" customHeight="true" outlineLevel="0" collapsed="false">
      <c r="A1174" s="1" t="n">
        <v>1173</v>
      </c>
      <c r="B1174" s="7" t="str">
        <f aca="false">HYPERLINK("https://mncourtfraud.com/file/27-CR-21-12947.pdf","27-CR-21-12947")</f>
        <v>27-CR-21-12947</v>
      </c>
      <c r="C1174" s="1" t="n">
        <v>1</v>
      </c>
      <c r="D1174" s="2" t="s">
        <v>12</v>
      </c>
      <c r="E1174" s="8" t="n">
        <v>45048</v>
      </c>
      <c r="F1174" s="2" t="s">
        <v>80</v>
      </c>
      <c r="G1174" s="7" t="str">
        <f aca="false">HYPERLINK("https://mncourtfraud.com/file/MCRO_27-CR-21-12947_Finding of Incompetency and Order_2023-05-02_20251126182603.pdf","MCRO_27-CR-21-12947_Finding of Incompetency and Order_2023-05-02_20251126182603.pdf")</f>
        <v>MCRO_27-CR-21-12947_Finding of Incompetency and Order_2023-05-02_20251126182603.pdf</v>
      </c>
      <c r="H1174" s="7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1174" s="1" t="s">
        <v>3406</v>
      </c>
      <c r="K1174" s="2" t="s">
        <v>3451</v>
      </c>
      <c r="L1174" s="2" t="s">
        <v>3408</v>
      </c>
      <c r="M1174" s="2" t="n">
        <v>5295</v>
      </c>
      <c r="O1174" s="2" t="s">
        <v>3452</v>
      </c>
      <c r="P1174" s="2" t="s">
        <v>3410</v>
      </c>
      <c r="S1174" s="2" t="n">
        <v>833</v>
      </c>
      <c r="T1174" s="2" t="n">
        <v>186</v>
      </c>
    </row>
    <row r="1175" customFormat="false" ht="18.7" hidden="false" customHeight="true" outlineLevel="0" collapsed="false">
      <c r="A1175" s="1" t="n">
        <v>1174</v>
      </c>
      <c r="B1175" s="7" t="str">
        <f aca="false">HYPERLINK("https://mncourtfraud.com/file/27-CR-21-12947.pdf","27-CR-21-12947")</f>
        <v>27-CR-21-12947</v>
      </c>
      <c r="C1175" s="1" t="n">
        <v>1</v>
      </c>
      <c r="D1175" s="2" t="s">
        <v>12</v>
      </c>
      <c r="E1175" s="8" t="n">
        <v>45048</v>
      </c>
      <c r="F1175" s="2" t="s">
        <v>80</v>
      </c>
      <c r="G1175" s="7" t="str">
        <f aca="false">HYPERLINK("https://mncourtfraud.com/file/MCRO_27-CR-21-12947_Finding of Incompetency and Order_2023-05-02_20251126182603.pdf","MCRO_27-CR-21-12947_Finding of Incompetency and Order_2023-05-02_20251126182603.pdf")</f>
        <v>MCRO_27-CR-21-12947_Finding of Incompetency and Order_2023-05-02_20251126182603.pdf</v>
      </c>
      <c r="H1175" s="7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1175" s="1" t="s">
        <v>3406</v>
      </c>
      <c r="K1175" s="2" t="s">
        <v>3453</v>
      </c>
      <c r="L1175" s="2" t="s">
        <v>3408</v>
      </c>
      <c r="M1175" s="2" t="n">
        <v>3442</v>
      </c>
      <c r="O1175" s="2" t="s">
        <v>3454</v>
      </c>
      <c r="P1175" s="2" t="s">
        <v>3410</v>
      </c>
      <c r="S1175" s="2" t="n">
        <v>857</v>
      </c>
      <c r="T1175" s="2" t="n">
        <v>184</v>
      </c>
    </row>
    <row r="1176" customFormat="false" ht="18.7" hidden="false" customHeight="true" outlineLevel="0" collapsed="false">
      <c r="A1176" s="1" t="n">
        <v>1175</v>
      </c>
      <c r="B1176" s="7" t="str">
        <f aca="false">HYPERLINK("https://mncourtfraud.com/file/27-CR-21-12947.pdf","27-CR-21-12947")</f>
        <v>27-CR-21-12947</v>
      </c>
      <c r="C1176" s="1" t="n">
        <v>1</v>
      </c>
      <c r="D1176" s="2" t="s">
        <v>12</v>
      </c>
      <c r="E1176" s="8" t="n">
        <v>45048</v>
      </c>
      <c r="F1176" s="2" t="s">
        <v>80</v>
      </c>
      <c r="G1176" s="7" t="str">
        <f aca="false">HYPERLINK("https://mncourtfraud.com/file/MCRO_27-CR-21-12947_Finding of Incompetency and Order_2023-05-02_20251126182603.pdf","MCRO_27-CR-21-12947_Finding of Incompetency and Order_2023-05-02_20251126182603.pdf")</f>
        <v>MCRO_27-CR-21-12947_Finding of Incompetency and Order_2023-05-02_20251126182603.pdf</v>
      </c>
      <c r="H1176" s="7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1176" s="1" t="s">
        <v>3406</v>
      </c>
      <c r="L1176" s="2" t="s">
        <v>3412</v>
      </c>
      <c r="M1176" s="2" t="n">
        <v>3824</v>
      </c>
      <c r="S1176" s="2" t="n">
        <v>1850</v>
      </c>
      <c r="T1176" s="2" t="n">
        <v>160</v>
      </c>
    </row>
    <row r="1177" customFormat="false" ht="18.7" hidden="false" customHeight="true" outlineLevel="0" collapsed="false">
      <c r="A1177" s="1" t="n">
        <v>1176</v>
      </c>
      <c r="B1177" s="7" t="str">
        <f aca="false">HYPERLINK("https://mncourtfraud.com/file/27-CR-21-12947.pdf","27-CR-21-12947")</f>
        <v>27-CR-21-12947</v>
      </c>
      <c r="C1177" s="1" t="n">
        <v>1</v>
      </c>
      <c r="D1177" s="2" t="s">
        <v>12</v>
      </c>
      <c r="E1177" s="8" t="n">
        <v>45048</v>
      </c>
      <c r="F1177" s="2" t="s">
        <v>80</v>
      </c>
      <c r="G1177" s="7" t="str">
        <f aca="false">HYPERLINK("https://mncourtfraud.com/file/MCRO_27-CR-21-12947_Finding of Incompetency and Order_2023-05-02_20251126182603.pdf","MCRO_27-CR-21-12947_Finding of Incompetency and Order_2023-05-02_20251126182603.pdf")</f>
        <v>MCRO_27-CR-21-12947_Finding of Incompetency and Order_2023-05-02_20251126182603.pdf</v>
      </c>
      <c r="H1177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1177" s="1" t="s">
        <v>3413</v>
      </c>
      <c r="J1177" s="2" t="s">
        <v>3448</v>
      </c>
      <c r="K1177" s="2" t="s">
        <v>3448</v>
      </c>
      <c r="L1177" s="2" t="s">
        <v>3415</v>
      </c>
      <c r="M1177" s="2" t="n">
        <v>916684</v>
      </c>
    </row>
    <row r="1178" customFormat="false" ht="18.7" hidden="false" customHeight="true" outlineLevel="0" collapsed="false">
      <c r="A1178" s="1" t="n">
        <v>1177</v>
      </c>
      <c r="B1178" s="7" t="str">
        <f aca="false">HYPERLINK("https://mncourtfraud.com/file/27-CR-21-12947.pdf","27-CR-21-12947")</f>
        <v>27-CR-21-12947</v>
      </c>
      <c r="C1178" s="1" t="n">
        <v>1</v>
      </c>
      <c r="D1178" s="2" t="s">
        <v>12</v>
      </c>
      <c r="E1178" s="8" t="n">
        <v>45093</v>
      </c>
      <c r="F1178" s="2" t="s">
        <v>82</v>
      </c>
      <c r="G1178" s="7" t="str">
        <f aca="false">HYPERLINK("https://mncourtfraud.com/file/MCRO_27-CR-21-12947_Notice of Case Reassignment_2023-06-16_20251126182639.pdf","MCRO_27-CR-21-12947_Notice of Case Reassignment_2023-06-16_20251126182639.pdf")</f>
        <v>MCRO_27-CR-21-12947_Notice of Case Reassignment_2023-06-16_20251126182639.pdf</v>
      </c>
      <c r="H1178" s="7" t="str">
        <f aca="false">HYPERLINK("https://mncourtfraud.com/file/1fd1136a5ae69c0e5068fedf111533c283fb06da71a1aebe96b41cad9a15bb33.ttf","1fd1136a5ae69c0e5068fedf111533c283fb06da71a1aebe96b41cad9a15bb33")</f>
        <v>1fd1136a5ae69c0e5068fedf111533c283fb06da71a1aebe96b41cad9a15bb33</v>
      </c>
      <c r="I1178" s="1" t="s">
        <v>3413</v>
      </c>
      <c r="J1178" s="2" t="s">
        <v>3455</v>
      </c>
      <c r="K1178" s="2" t="s">
        <v>3455</v>
      </c>
      <c r="L1178" s="2" t="s">
        <v>3415</v>
      </c>
      <c r="M1178" s="2" t="n">
        <v>96348</v>
      </c>
      <c r="N1178" s="2" t="s">
        <v>3456</v>
      </c>
    </row>
    <row r="1179" customFormat="false" ht="18.7" hidden="false" customHeight="true" outlineLevel="0" collapsed="false">
      <c r="A1179" s="1" t="n">
        <v>1178</v>
      </c>
      <c r="B1179" s="7" t="str">
        <f aca="false">HYPERLINK("https://mncourtfraud.com/file/27-CR-21-12947.pdf","27-CR-21-12947")</f>
        <v>27-CR-21-12947</v>
      </c>
      <c r="C1179" s="1" t="n">
        <v>1</v>
      </c>
      <c r="D1179" s="2" t="s">
        <v>12</v>
      </c>
      <c r="E1179" s="8" t="n">
        <v>45093</v>
      </c>
      <c r="F1179" s="2" t="s">
        <v>82</v>
      </c>
      <c r="G1179" s="7" t="str">
        <f aca="false">HYPERLINK("https://mncourtfraud.com/file/MCRO_27-CR-21-12947_Notice of Case Reassignment_2023-06-16_20251126182639.pdf","MCRO_27-CR-21-12947_Notice of Case Reassignment_2023-06-16_20251126182639.pdf")</f>
        <v>MCRO_27-CR-21-12947_Notice of Case Reassignment_2023-06-16_20251126182639.pdf</v>
      </c>
      <c r="H1179" s="7" t="str">
        <f aca="false">HYPERLINK("https://mncourtfraud.com/file/4b0b043cb476134a2e47a5f4c233d3d0f7a52a3b063b8831356383f89fcd1118.ttf","4b0b043cb476134a2e47a5f4c233d3d0f7a52a3b063b8831356383f89fcd1118")</f>
        <v>4b0b043cb476134a2e47a5f4c233d3d0f7a52a3b063b8831356383f89fcd1118</v>
      </c>
      <c r="I1179" s="1" t="s">
        <v>3413</v>
      </c>
      <c r="J1179" s="2" t="s">
        <v>3457</v>
      </c>
      <c r="K1179" s="2" t="s">
        <v>3457</v>
      </c>
      <c r="L1179" s="2" t="s">
        <v>3415</v>
      </c>
      <c r="M1179" s="2" t="n">
        <v>79764</v>
      </c>
      <c r="N1179" s="2" t="s">
        <v>3458</v>
      </c>
    </row>
    <row r="1180" customFormat="false" ht="18.7" hidden="false" customHeight="true" outlineLevel="0" collapsed="false">
      <c r="A1180" s="1" t="n">
        <v>1179</v>
      </c>
      <c r="B1180" s="7" t="str">
        <f aca="false">HYPERLINK("https://mncourtfraud.com/file/27-CR-21-12947.pdf","27-CR-21-12947")</f>
        <v>27-CR-21-12947</v>
      </c>
      <c r="C1180" s="1" t="n">
        <v>1</v>
      </c>
      <c r="D1180" s="2" t="s">
        <v>12</v>
      </c>
      <c r="E1180" s="8" t="n">
        <v>45160</v>
      </c>
      <c r="F1180" s="2" t="s">
        <v>15</v>
      </c>
      <c r="G1180" s="7" t="str">
        <f aca="false">HYPERLINK("https://mncourtfraud.com/file/MCRO_27-CR-21-12947_Order-Evaluation for Competency to Proceed (Rule 20.01)_2023-08-22_20251126182805.pdf","MCRO_27-CR-21-12947_Order-Evaluation for Competency to Proceed (Rule 20.01)_2023-08-22_20251126182805.pdf")</f>
        <v>MCRO_27-CR-21-12947_Order-Evaluation for Competency to Proceed (Rule 20.01)_2023-08-22_20251126182805.pdf</v>
      </c>
      <c r="H1180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1180" s="1" t="s">
        <v>3413</v>
      </c>
      <c r="J1180" s="2" t="s">
        <v>3449</v>
      </c>
      <c r="K1180" s="2" t="s">
        <v>3449</v>
      </c>
      <c r="L1180" s="2" t="s">
        <v>3415</v>
      </c>
      <c r="M1180" s="2" t="n">
        <v>125504</v>
      </c>
    </row>
    <row r="1181" customFormat="false" ht="18.7" hidden="false" customHeight="true" outlineLevel="0" collapsed="false">
      <c r="A1181" s="1" t="n">
        <v>1180</v>
      </c>
      <c r="B1181" s="7" t="str">
        <f aca="false">HYPERLINK("https://mncourtfraud.com/file/27-CR-21-12947.pdf","27-CR-21-12947")</f>
        <v>27-CR-21-12947</v>
      </c>
      <c r="C1181" s="1" t="n">
        <v>1</v>
      </c>
      <c r="D1181" s="2" t="s">
        <v>12</v>
      </c>
      <c r="E1181" s="8" t="n">
        <v>45160</v>
      </c>
      <c r="F1181" s="2" t="s">
        <v>15</v>
      </c>
      <c r="G1181" s="7" t="str">
        <f aca="false">HYPERLINK("https://mncourtfraud.com/file/MCRO_27-CR-21-12947_Order-Evaluation for Competency to Proceed (Rule 20.01)_2023-08-22_20251126182805.pdf","MCRO_27-CR-21-12947_Order-Evaluation for Competency to Proceed (Rule 20.01)_2023-08-22_20251126182805.pdf")</f>
        <v>MCRO_27-CR-21-12947_Order-Evaluation for Competency to Proceed (Rule 20.01)_2023-08-22_20251126182805.pdf</v>
      </c>
      <c r="H1181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1181" s="1" t="s">
        <v>3413</v>
      </c>
      <c r="J1181" s="2" t="s">
        <v>3449</v>
      </c>
      <c r="K1181" s="2" t="s">
        <v>3449</v>
      </c>
      <c r="L1181" s="2" t="s">
        <v>3415</v>
      </c>
      <c r="M1181" s="2" t="n">
        <v>125504</v>
      </c>
    </row>
    <row r="1182" customFormat="false" ht="18.7" hidden="false" customHeight="true" outlineLevel="0" collapsed="false">
      <c r="A1182" s="1" t="n">
        <v>1181</v>
      </c>
      <c r="B1182" s="7" t="str">
        <f aca="false">HYPERLINK("https://mncourtfraud.com/file/27-CR-21-12947.pdf","27-CR-21-12947")</f>
        <v>27-CR-21-12947</v>
      </c>
      <c r="C1182" s="1" t="n">
        <v>1</v>
      </c>
      <c r="D1182" s="2" t="s">
        <v>12</v>
      </c>
      <c r="E1182" s="8" t="n">
        <v>45160</v>
      </c>
      <c r="F1182" s="2" t="s">
        <v>15</v>
      </c>
      <c r="G1182" s="7" t="str">
        <f aca="false">HYPERLINK("https://mncourtfraud.com/file/MCRO_27-CR-21-12947_Order-Evaluation for Competency to Proceed (Rule 20.01)_2023-08-22_20251126182805.pdf","MCRO_27-CR-21-12947_Order-Evaluation for Competency to Proceed (Rule 20.01)_2023-08-22_20251126182805.pdf")</f>
        <v>MCRO_27-CR-21-12947_Order-Evaluation for Competency to Proceed (Rule 20.01)_2023-08-22_20251126182805.pdf</v>
      </c>
      <c r="H1182" s="7" t="str">
        <f aca="false">HYPERLINK("https://mncourtfraud.com/file/0174a154b1dd2c8824c0108a525fa6ced84bf8b7d2fc9696a847700a4f83bb3b.ttf","0174a154b1dd2c8824c0108a525fa6ced84bf8b7d2fc9696a847700a4f83bb3b")</f>
        <v>0174a154b1dd2c8824c0108a525fa6ced84bf8b7d2fc9696a847700a4f83bb3b</v>
      </c>
      <c r="I1182" s="1" t="s">
        <v>3413</v>
      </c>
      <c r="J1182" s="2" t="s">
        <v>3422</v>
      </c>
      <c r="K1182" s="2" t="s">
        <v>3422</v>
      </c>
      <c r="L1182" s="2" t="s">
        <v>3415</v>
      </c>
      <c r="M1182" s="2" t="n">
        <v>101216</v>
      </c>
    </row>
    <row r="1183" customFormat="false" ht="18.7" hidden="false" customHeight="true" outlineLevel="0" collapsed="false">
      <c r="A1183" s="1" t="n">
        <v>1182</v>
      </c>
      <c r="B1183" s="7" t="str">
        <f aca="false">HYPERLINK("https://mncourtfraud.com/file/27-CR-21-12947.pdf","27-CR-21-12947")</f>
        <v>27-CR-21-12947</v>
      </c>
      <c r="C1183" s="1" t="n">
        <v>1</v>
      </c>
      <c r="D1183" s="2" t="s">
        <v>12</v>
      </c>
      <c r="E1183" s="8" t="n">
        <v>45160</v>
      </c>
      <c r="F1183" s="2" t="s">
        <v>15</v>
      </c>
      <c r="G1183" s="7" t="str">
        <f aca="false">HYPERLINK("https://mncourtfraud.com/file/MCRO_27-CR-21-12947_Order-Evaluation for Competency to Proceed (Rule 20.01)_2023-08-22_20251126182805.pdf","MCRO_27-CR-21-12947_Order-Evaluation for Competency to Proceed (Rule 20.01)_2023-08-22_20251126182805.pdf")</f>
        <v>MCRO_27-CR-21-12947_Order-Evaluation for Competency to Proceed (Rule 20.01)_2023-08-22_20251126182805.pdf</v>
      </c>
      <c r="H1183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1183" s="1" t="s">
        <v>3413</v>
      </c>
      <c r="J1183" s="2" t="s">
        <v>3423</v>
      </c>
      <c r="K1183" s="2" t="s">
        <v>3423</v>
      </c>
      <c r="L1183" s="2" t="s">
        <v>3415</v>
      </c>
      <c r="M1183" s="2" t="n">
        <v>11088</v>
      </c>
    </row>
    <row r="1184" customFormat="false" ht="18.7" hidden="false" customHeight="true" outlineLevel="0" collapsed="false">
      <c r="A1184" s="1" t="n">
        <v>1183</v>
      </c>
      <c r="B1184" s="7" t="str">
        <f aca="false">HYPERLINK("https://mncourtfraud.com/file/27-CR-21-12947.pdf","27-CR-21-12947")</f>
        <v>27-CR-21-12947</v>
      </c>
      <c r="C1184" s="1" t="n">
        <v>1</v>
      </c>
      <c r="D1184" s="2" t="s">
        <v>12</v>
      </c>
      <c r="E1184" s="8" t="n">
        <v>45160</v>
      </c>
      <c r="F1184" s="2" t="s">
        <v>15</v>
      </c>
      <c r="G1184" s="7" t="str">
        <f aca="false">HYPERLINK("https://mncourtfraud.com/file/MCRO_27-CR-21-12947_Order-Evaluation for Competency to Proceed (Rule 20.01)_2023-08-22_20251126182805.pdf","MCRO_27-CR-21-12947_Order-Evaluation for Competency to Proceed (Rule 20.01)_2023-08-22_20251126182805.pdf")</f>
        <v>MCRO_27-CR-21-12947_Order-Evaluation for Competency to Proceed (Rule 20.01)_2023-08-22_20251126182805.pdf</v>
      </c>
      <c r="H1184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1184" s="1" t="s">
        <v>3413</v>
      </c>
      <c r="J1184" s="2" t="s">
        <v>3446</v>
      </c>
      <c r="K1184" s="2" t="s">
        <v>3446</v>
      </c>
      <c r="L1184" s="2" t="s">
        <v>3415</v>
      </c>
      <c r="M1184" s="2" t="n">
        <v>55072</v>
      </c>
      <c r="N1184" s="2" t="s">
        <v>3447</v>
      </c>
    </row>
    <row r="1185" customFormat="false" ht="18.7" hidden="false" customHeight="true" outlineLevel="0" collapsed="false">
      <c r="A1185" s="1" t="n">
        <v>1184</v>
      </c>
      <c r="B1185" s="7" t="str">
        <f aca="false">HYPERLINK("https://mncourtfraud.com/file/27-CR-21-12947.pdf","27-CR-21-12947")</f>
        <v>27-CR-21-12947</v>
      </c>
      <c r="C1185" s="1" t="n">
        <v>1</v>
      </c>
      <c r="D1185" s="2" t="s">
        <v>12</v>
      </c>
      <c r="E1185" s="8" t="n">
        <v>45160</v>
      </c>
      <c r="F1185" s="2" t="s">
        <v>15</v>
      </c>
      <c r="G1185" s="7" t="str">
        <f aca="false">HYPERLINK("https://mncourtfraud.com/file/MCRO_27-CR-21-12947_Order-Evaluation for Competency to Proceed (Rule 20.01)_2023-08-22_20251126182805.pdf","MCRO_27-CR-21-12947_Order-Evaluation for Competency to Proceed (Rule 20.01)_2023-08-22_20251126182805.pdf")</f>
        <v>MCRO_27-CR-21-12947_Order-Evaluation for Competency to Proceed (Rule 20.01)_2023-08-22_20251126182805.pdf</v>
      </c>
      <c r="H1185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1185" s="1" t="s">
        <v>3413</v>
      </c>
      <c r="J1185" s="2" t="s">
        <v>3424</v>
      </c>
      <c r="K1185" s="2" t="s">
        <v>3424</v>
      </c>
      <c r="L1185" s="2" t="s">
        <v>3415</v>
      </c>
      <c r="M1185" s="2" t="n">
        <v>14252</v>
      </c>
    </row>
    <row r="1186" customFormat="false" ht="18.7" hidden="false" customHeight="true" outlineLevel="0" collapsed="false">
      <c r="A1186" s="1" t="n">
        <v>1185</v>
      </c>
      <c r="B1186" s="7" t="str">
        <f aca="false">HYPERLINK("https://mncourtfraud.com/file/27-CR-21-12947.pdf","27-CR-21-12947")</f>
        <v>27-CR-21-12947</v>
      </c>
      <c r="C1186" s="1" t="n">
        <v>1</v>
      </c>
      <c r="D1186" s="2" t="s">
        <v>12</v>
      </c>
      <c r="E1186" s="8" t="n">
        <v>45160</v>
      </c>
      <c r="F1186" s="2" t="s">
        <v>15</v>
      </c>
      <c r="G1186" s="7" t="str">
        <f aca="false">HYPERLINK("https://mncourtfraud.com/file/MCRO_27-CR-21-12947_Order-Evaluation for Competency to Proceed (Rule 20.01)_2023-08-22_20251126182805.pdf","MCRO_27-CR-21-12947_Order-Evaluation for Competency to Proceed (Rule 20.01)_2023-08-22_20251126182805.pdf")</f>
        <v>MCRO_27-CR-21-12947_Order-Evaluation for Competency to Proceed (Rule 20.01)_2023-08-22_20251126182805.pdf</v>
      </c>
      <c r="H1186" s="7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1186" s="1" t="s">
        <v>3406</v>
      </c>
      <c r="L1186" s="2" t="s">
        <v>3412</v>
      </c>
      <c r="M1186" s="2" t="n">
        <v>5012</v>
      </c>
      <c r="S1186" s="2" t="n">
        <v>2740</v>
      </c>
      <c r="T1186" s="2" t="n">
        <v>180</v>
      </c>
    </row>
    <row r="1187" customFormat="false" ht="18.7" hidden="false" customHeight="true" outlineLevel="0" collapsed="false">
      <c r="A1187" s="1" t="n">
        <v>1186</v>
      </c>
      <c r="B1187" s="7" t="str">
        <f aca="false">HYPERLINK("https://mncourtfraud.com/file/27-CR-21-12947.pdf","27-CR-21-12947")</f>
        <v>27-CR-21-12947</v>
      </c>
      <c r="C1187" s="1" t="n">
        <v>1</v>
      </c>
      <c r="D1187" s="2" t="s">
        <v>12</v>
      </c>
      <c r="E1187" s="8" t="n">
        <v>45160</v>
      </c>
      <c r="F1187" s="2" t="s">
        <v>15</v>
      </c>
      <c r="G1187" s="7" t="str">
        <f aca="false">HYPERLINK("https://mncourtfraud.com/file/MCRO_27-CR-21-12947_Order-Evaluation for Competency to Proceed (Rule 20.01)_2023-08-22_20251126182805.pdf","MCRO_27-CR-21-12947_Order-Evaluation for Competency to Proceed (Rule 20.01)_2023-08-22_20251126182805.pdf")</f>
        <v>MCRO_27-CR-21-12947_Order-Evaluation for Competency to Proceed (Rule 20.01)_2023-08-22_20251126182805.pdf</v>
      </c>
      <c r="H1187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1187" s="1" t="s">
        <v>3413</v>
      </c>
      <c r="J1187" s="2" t="s">
        <v>3448</v>
      </c>
      <c r="K1187" s="2" t="s">
        <v>3448</v>
      </c>
      <c r="L1187" s="2" t="s">
        <v>3415</v>
      </c>
      <c r="M1187" s="2" t="n">
        <v>916684</v>
      </c>
    </row>
    <row r="1188" customFormat="false" ht="18.7" hidden="false" customHeight="true" outlineLevel="0" collapsed="false">
      <c r="A1188" s="1" t="n">
        <v>1187</v>
      </c>
      <c r="B1188" s="7" t="str">
        <f aca="false">HYPERLINK("https://mncourtfraud.com/file/27-CR-21-12947.pdf","27-CR-21-12947")</f>
        <v>27-CR-21-12947</v>
      </c>
      <c r="C1188" s="1" t="n">
        <v>1</v>
      </c>
      <c r="D1188" s="2" t="s">
        <v>12</v>
      </c>
      <c r="E1188" s="8" t="n">
        <v>45160</v>
      </c>
      <c r="F1188" s="2" t="s">
        <v>15</v>
      </c>
      <c r="G1188" s="7" t="str">
        <f aca="false">HYPERLINK("https://mncourtfraud.com/file/MCRO_27-CR-21-12947_Order-Evaluation for Competency to Proceed (Rule 20.01)_2023-08-22_20251126182805.pdf","MCRO_27-CR-21-12947_Order-Evaluation for Competency to Proceed (Rule 20.01)_2023-08-22_20251126182805.pdf")</f>
        <v>MCRO_27-CR-21-12947_Order-Evaluation for Competency to Proceed (Rule 20.01)_2023-08-22_20251126182805.pdf</v>
      </c>
      <c r="H1188" s="7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1188" s="1" t="s">
        <v>3406</v>
      </c>
      <c r="K1188" s="2" t="s">
        <v>3459</v>
      </c>
      <c r="L1188" s="2" t="s">
        <v>3408</v>
      </c>
      <c r="M1188" s="2" t="n">
        <v>5220</v>
      </c>
      <c r="O1188" s="2" t="s">
        <v>3460</v>
      </c>
      <c r="P1188" s="2" t="s">
        <v>3410</v>
      </c>
      <c r="S1188" s="2" t="n">
        <v>881</v>
      </c>
      <c r="T1188" s="2" t="n">
        <v>216</v>
      </c>
    </row>
    <row r="1189" customFormat="false" ht="18.7" hidden="false" customHeight="true" outlineLevel="0" collapsed="false">
      <c r="A1189" s="1" t="n">
        <v>1188</v>
      </c>
      <c r="B1189" s="7" t="str">
        <f aca="false">HYPERLINK("https://mncourtfraud.com/file/27-CR-21-12947.pdf","27-CR-21-12947")</f>
        <v>27-CR-21-12947</v>
      </c>
      <c r="C1189" s="1" t="n">
        <v>1</v>
      </c>
      <c r="D1189" s="2" t="s">
        <v>12</v>
      </c>
      <c r="E1189" s="8" t="n">
        <v>45412</v>
      </c>
      <c r="F1189" s="2" t="s">
        <v>15</v>
      </c>
      <c r="G1189" s="7" t="str">
        <f aca="false">HYPERLINK("https://mncourtfraud.com/file/MCRO_27-CR-21-12947_Order-Evaluation for Competency to Proceed (Rule 20.01)_2024-04-30_20251126182816.pdf","MCRO_27-CR-21-12947_Order-Evaluation for Competency to Proceed (Rule 20.01)_2024-04-30_20251126182816.pdf")</f>
        <v>MCRO_27-CR-21-12947_Order-Evaluation for Competency to Proceed (Rule 20.01)_2024-04-30_20251126182816.pdf</v>
      </c>
      <c r="H1189" s="7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1189" s="1" t="s">
        <v>3406</v>
      </c>
      <c r="L1189" s="2" t="s">
        <v>3412</v>
      </c>
      <c r="M1189" s="2" t="n">
        <v>154549</v>
      </c>
      <c r="S1189" s="2" t="n">
        <v>2560</v>
      </c>
      <c r="T1189" s="2" t="n">
        <v>3300</v>
      </c>
    </row>
    <row r="1190" customFormat="false" ht="18.7" hidden="false" customHeight="true" outlineLevel="0" collapsed="false">
      <c r="A1190" s="1" t="n">
        <v>1189</v>
      </c>
      <c r="B1190" s="7" t="str">
        <f aca="false">HYPERLINK("https://mncourtfraud.com/file/27-CR-21-12947.pdf","27-CR-21-12947")</f>
        <v>27-CR-21-12947</v>
      </c>
      <c r="C1190" s="1" t="n">
        <v>1</v>
      </c>
      <c r="D1190" s="2" t="s">
        <v>12</v>
      </c>
      <c r="E1190" s="8" t="n">
        <v>45412</v>
      </c>
      <c r="F1190" s="2" t="s">
        <v>15</v>
      </c>
      <c r="G1190" s="7" t="str">
        <f aca="false">HYPERLINK("https://mncourtfraud.com/file/MCRO_27-CR-21-12947_Order-Evaluation for Competency to Proceed (Rule 20.01)_2024-04-30_20251126182816.pdf","MCRO_27-CR-21-12947_Order-Evaluation for Competency to Proceed (Rule 20.01)_2024-04-30_20251126182816.pdf")</f>
        <v>MCRO_27-CR-21-12947_Order-Evaluation for Competency to Proceed (Rule 20.01)_2024-04-30_20251126182816.pdf</v>
      </c>
      <c r="H1190" s="7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1190" s="1" t="s">
        <v>3406</v>
      </c>
      <c r="L1190" s="2" t="s">
        <v>3412</v>
      </c>
      <c r="M1190" s="2" t="n">
        <v>180051</v>
      </c>
      <c r="S1190" s="2" t="n">
        <v>2560</v>
      </c>
      <c r="T1190" s="2" t="n">
        <v>3300</v>
      </c>
    </row>
    <row r="1191" customFormat="false" ht="18.7" hidden="false" customHeight="true" outlineLevel="0" collapsed="false">
      <c r="A1191" s="1" t="n">
        <v>1190</v>
      </c>
      <c r="B1191" s="7" t="str">
        <f aca="false">HYPERLINK("https://mncourtfraud.com/file/27-CR-21-12947.pdf","27-CR-21-12947")</f>
        <v>27-CR-21-12947</v>
      </c>
      <c r="C1191" s="1" t="n">
        <v>1</v>
      </c>
      <c r="D1191" s="2" t="s">
        <v>12</v>
      </c>
      <c r="E1191" s="8" t="n">
        <v>45412</v>
      </c>
      <c r="F1191" s="2" t="s">
        <v>24</v>
      </c>
      <c r="G1191" s="7" t="str">
        <f aca="false">HYPERLINK("https://mncourtfraud.com/file/MCRO_27-CR-21-12947_Order for Conditional Release_2024-04-30_20251126182656.pdf","MCRO_27-CR-21-12947_Order for Conditional Release_2024-04-30_20251126182656.pdf")</f>
        <v>MCRO_27-CR-21-12947_Order for Conditional Release_2024-04-30_20251126182656.pdf</v>
      </c>
      <c r="H1191" s="7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1191" s="1" t="s">
        <v>3406</v>
      </c>
      <c r="L1191" s="2" t="s">
        <v>3412</v>
      </c>
      <c r="M1191" s="2" t="n">
        <v>38726</v>
      </c>
      <c r="S1191" s="2" t="n">
        <v>2560</v>
      </c>
      <c r="T1191" s="2" t="n">
        <v>3300</v>
      </c>
    </row>
    <row r="1192" customFormat="false" ht="18.7" hidden="false" customHeight="true" outlineLevel="0" collapsed="false">
      <c r="A1192" s="1" t="n">
        <v>1191</v>
      </c>
      <c r="B1192" s="7" t="str">
        <f aca="false">HYPERLINK("https://mncourtfraud.com/file/27-CR-21-12947.pdf","27-CR-21-12947")</f>
        <v>27-CR-21-12947</v>
      </c>
      <c r="C1192" s="1" t="n">
        <v>1</v>
      </c>
      <c r="D1192" s="2" t="s">
        <v>12</v>
      </c>
      <c r="E1192" s="8" t="n">
        <v>45412</v>
      </c>
      <c r="F1192" s="2" t="s">
        <v>15</v>
      </c>
      <c r="G1192" s="7" t="str">
        <f aca="false">HYPERLINK("https://mncourtfraud.com/file/MCRO_27-CR-21-12947_Order-Evaluation for Competency to Proceed (Rule 20.01)_2024-04-30_20251126182816.pdf","MCRO_27-CR-21-12947_Order-Evaluation for Competency to Proceed (Rule 20.01)_2024-04-30_20251126182816.pdf")</f>
        <v>MCRO_27-CR-21-12947_Order-Evaluation for Competency to Proceed (Rule 20.01)_2024-04-30_20251126182816.pdf</v>
      </c>
      <c r="H1192" s="7" t="str">
        <f aca="false">HYPERLINK("https://mncourtfraud.com/file/4db7d2599119dc45c08adba3b9b2ba67e6a3d697261d3f95ca4c5b01777bcfbe.ttf","4db7d2599119dc45c08adba3b9b2ba67e6a3d697261d3f95ca4c5b01777bcfbe")</f>
        <v>4db7d2599119dc45c08adba3b9b2ba67e6a3d697261d3f95ca4c5b01777bcfbe</v>
      </c>
      <c r="I1192" s="1" t="s">
        <v>3413</v>
      </c>
      <c r="L1192" s="2" t="s">
        <v>3415</v>
      </c>
      <c r="M1192" s="2" t="n">
        <v>333576</v>
      </c>
    </row>
    <row r="1193" customFormat="false" ht="18.7" hidden="false" customHeight="true" outlineLevel="0" collapsed="false">
      <c r="A1193" s="1" t="n">
        <v>1192</v>
      </c>
      <c r="B1193" s="7" t="str">
        <f aca="false">HYPERLINK("https://mncourtfraud.com/file/27-CR-21-12947.pdf","27-CR-21-12947")</f>
        <v>27-CR-21-12947</v>
      </c>
      <c r="C1193" s="1" t="n">
        <v>1</v>
      </c>
      <c r="D1193" s="2" t="s">
        <v>12</v>
      </c>
      <c r="E1193" s="8" t="n">
        <v>45412</v>
      </c>
      <c r="F1193" s="2" t="s">
        <v>15</v>
      </c>
      <c r="G1193" s="7" t="str">
        <f aca="false">HYPERLINK("https://mncourtfraud.com/file/MCRO_27-CR-21-12947_Order-Evaluation for Competency to Proceed (Rule 20.01)_2024-04-30_20251126182816.pdf","MCRO_27-CR-21-12947_Order-Evaluation for Competency to Proceed (Rule 20.01)_2024-04-30_20251126182816.pdf")</f>
        <v>MCRO_27-CR-21-12947_Order-Evaluation for Competency to Proceed (Rule 20.01)_2024-04-30_20251126182816.pdf</v>
      </c>
      <c r="H1193" s="7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1193" s="1" t="s">
        <v>3406</v>
      </c>
      <c r="L1193" s="2" t="s">
        <v>3412</v>
      </c>
      <c r="M1193" s="2" t="n">
        <v>71271</v>
      </c>
      <c r="S1193" s="2" t="n">
        <v>2560</v>
      </c>
      <c r="T1193" s="2" t="n">
        <v>3300</v>
      </c>
    </row>
    <row r="1194" customFormat="false" ht="18.7" hidden="false" customHeight="true" outlineLevel="0" collapsed="false">
      <c r="A1194" s="1" t="n">
        <v>1193</v>
      </c>
      <c r="B1194" s="7" t="str">
        <f aca="false">HYPERLINK("https://mncourtfraud.com/file/27-CR-21-12947.pdf","27-CR-21-12947")</f>
        <v>27-CR-21-12947</v>
      </c>
      <c r="C1194" s="1" t="n">
        <v>1</v>
      </c>
      <c r="D1194" s="2" t="s">
        <v>12</v>
      </c>
      <c r="E1194" s="8" t="n">
        <v>45412</v>
      </c>
      <c r="F1194" s="2" t="s">
        <v>24</v>
      </c>
      <c r="G1194" s="7" t="str">
        <f aca="false">HYPERLINK("https://mncourtfraud.com/file/MCRO_27-CR-21-12947_Order for Conditional Release_2024-04-30_20251126182656.pdf","MCRO_27-CR-21-12947_Order for Conditional Release_2024-04-30_20251126182656.pdf")</f>
        <v>MCRO_27-CR-21-12947_Order for Conditional Release_2024-04-30_20251126182656.pdf</v>
      </c>
      <c r="H1194" s="7" t="str">
        <f aca="false">HYPERLINK("https://mncourtfraud.com/file/d5cf4f06aaee8f372e6af86dab12d75d131a3ba68ba6baeac4b7b514ef3e0b85.ttf","d5cf4f06aaee8f372e6af86dab12d75d131a3ba68ba6baeac4b7b514ef3e0b85")</f>
        <v>d5cf4f06aaee8f372e6af86dab12d75d131a3ba68ba6baeac4b7b514ef3e0b85</v>
      </c>
      <c r="I1194" s="1" t="s">
        <v>3413</v>
      </c>
      <c r="L1194" s="2" t="s">
        <v>3415</v>
      </c>
      <c r="M1194" s="2" t="n">
        <v>333576</v>
      </c>
    </row>
    <row r="1195" customFormat="false" ht="18.7" hidden="false" customHeight="true" outlineLevel="0" collapsed="false">
      <c r="A1195" s="1" t="n">
        <v>1194</v>
      </c>
      <c r="B1195" s="7" t="str">
        <f aca="false">HYPERLINK("https://mncourtfraud.com/file/27-CR-21-12947.pdf","27-CR-21-12947")</f>
        <v>27-CR-21-12947</v>
      </c>
      <c r="C1195" s="1" t="n">
        <v>1</v>
      </c>
      <c r="D1195" s="2" t="s">
        <v>12</v>
      </c>
      <c r="E1195" s="8" t="n">
        <v>45412</v>
      </c>
      <c r="F1195" s="2" t="s">
        <v>24</v>
      </c>
      <c r="G1195" s="7" t="str">
        <f aca="false">HYPERLINK("https://mncourtfraud.com/file/MCRO_27-CR-21-12947_Order for Conditional Release_2024-04-30_20251126182656.pdf","MCRO_27-CR-21-12947_Order for Conditional Release_2024-04-30_20251126182656.pdf")</f>
        <v>MCRO_27-CR-21-12947_Order for Conditional Release_2024-04-30_20251126182656.pdf</v>
      </c>
      <c r="H1195" s="7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1195" s="1" t="s">
        <v>3406</v>
      </c>
      <c r="L1195" s="2" t="s">
        <v>3412</v>
      </c>
      <c r="M1195" s="2" t="n">
        <v>195018</v>
      </c>
      <c r="S1195" s="2" t="n">
        <v>2560</v>
      </c>
      <c r="T1195" s="2" t="n">
        <v>3300</v>
      </c>
    </row>
    <row r="1196" customFormat="false" ht="18.7" hidden="false" customHeight="true" outlineLevel="0" collapsed="false">
      <c r="A1196" s="1" t="n">
        <v>1195</v>
      </c>
      <c r="B1196" s="7" t="str">
        <f aca="false">HYPERLINK("https://mncourtfraud.com/file/27-CR-21-13144.pdf","27-CR-21-13144")</f>
        <v>27-CR-21-13144</v>
      </c>
      <c r="C1196" s="1" t="n">
        <v>1</v>
      </c>
      <c r="D1196" s="2" t="s">
        <v>12</v>
      </c>
      <c r="E1196" s="8" t="n">
        <v>44396</v>
      </c>
      <c r="F1196" s="2" t="s">
        <v>15</v>
      </c>
      <c r="G1196" s="7" t="str">
        <f aca="false">HYPERLINK("https://mncourtfraud.com/file/MCRO_27-CR-21-13144_Order-Evaluation for Competency to Proceed (Rule 20.01)_2021-07-19_20251126183017.pdf","MCRO_27-CR-21-13144_Order-Evaluation for Competency to Proceed (Rule 20.01)_2021-07-19_20251126183017.pdf")</f>
        <v>MCRO_27-CR-21-13144_Order-Evaluation for Competency to Proceed (Rule 20.01)_2021-07-19_20251126183017.pdf</v>
      </c>
      <c r="H1196" s="7" t="str">
        <f aca="false">HYPERLINK("https://mncourtfraud.com/file/3a9a21c5fc0bee063c76837a4e467602616679481e7ad87a5e5e635f33a99166.png","3a9a21c5fc0bee063c76837a4e467602616679481e7ad87a5e5e635f33a99166")</f>
        <v>3a9a21c5fc0bee063c76837a4e467602616679481e7ad87a5e5e635f33a99166</v>
      </c>
      <c r="I1196" s="1" t="s">
        <v>3406</v>
      </c>
      <c r="L1196" s="2" t="s">
        <v>3412</v>
      </c>
      <c r="M1196" s="2" t="n">
        <v>142220</v>
      </c>
      <c r="S1196" s="2" t="n">
        <v>2550</v>
      </c>
      <c r="T1196" s="2" t="n">
        <v>3300</v>
      </c>
    </row>
    <row r="1197" customFormat="false" ht="18.7" hidden="false" customHeight="true" outlineLevel="0" collapsed="false">
      <c r="A1197" s="1" t="n">
        <v>1196</v>
      </c>
      <c r="B1197" s="7" t="str">
        <f aca="false">HYPERLINK("https://mncourtfraud.com/file/27-CR-21-13144.pdf","27-CR-21-13144")</f>
        <v>27-CR-21-13144</v>
      </c>
      <c r="C1197" s="1" t="n">
        <v>1</v>
      </c>
      <c r="D1197" s="2" t="s">
        <v>12</v>
      </c>
      <c r="E1197" s="8" t="n">
        <v>44396</v>
      </c>
      <c r="F1197" s="2" t="s">
        <v>15</v>
      </c>
      <c r="G1197" s="7" t="str">
        <f aca="false">HYPERLINK("https://mncourtfraud.com/file/MCRO_27-CR-21-13144_Order-Evaluation for Competency to Proceed (Rule 20.01)_2021-07-19_20251126183017.pdf","MCRO_27-CR-21-13144_Order-Evaluation for Competency to Proceed (Rule 20.01)_2021-07-19_20251126183017.pdf")</f>
        <v>MCRO_27-CR-21-13144_Order-Evaluation for Competency to Proceed (Rule 20.01)_2021-07-19_20251126183017.pdf</v>
      </c>
      <c r="H1197" s="7" t="str">
        <f aca="false">HYPERLINK("https://mncourtfraud.com/file/6b3156d855b81ec062ca798a4bbf7b711e10e20bd644bff84671358f8ea67c7e.ttf","6b3156d855b81ec062ca798a4bbf7b711e10e20bd644bff84671358f8ea67c7e")</f>
        <v>6b3156d855b81ec062ca798a4bbf7b711e10e20bd644bff84671358f8ea67c7e</v>
      </c>
      <c r="I1197" s="1" t="s">
        <v>3413</v>
      </c>
      <c r="L1197" s="2" t="s">
        <v>3415</v>
      </c>
      <c r="M1197" s="2" t="n">
        <v>333584</v>
      </c>
    </row>
    <row r="1198" customFormat="false" ht="18.7" hidden="false" customHeight="true" outlineLevel="0" collapsed="false">
      <c r="A1198" s="1" t="n">
        <v>1197</v>
      </c>
      <c r="B1198" s="7" t="str">
        <f aca="false">HYPERLINK("https://mncourtfraud.com/file/27-CR-21-13144.pdf","27-CR-21-13144")</f>
        <v>27-CR-21-13144</v>
      </c>
      <c r="C1198" s="1" t="n">
        <v>1</v>
      </c>
      <c r="D1198" s="2" t="s">
        <v>12</v>
      </c>
      <c r="E1198" s="8" t="n">
        <v>44396</v>
      </c>
      <c r="F1198" s="2" t="s">
        <v>15</v>
      </c>
      <c r="G1198" s="7" t="str">
        <f aca="false">HYPERLINK("https://mncourtfraud.com/file/MCRO_27-CR-21-13144_Order-Evaluation for Competency to Proceed (Rule 20.01)_2021-07-19_20251126183017.pdf","MCRO_27-CR-21-13144_Order-Evaluation for Competency to Proceed (Rule 20.01)_2021-07-19_20251126183017.pdf")</f>
        <v>MCRO_27-CR-21-13144_Order-Evaluation for Competency to Proceed (Rule 20.01)_2021-07-19_20251126183017.pdf</v>
      </c>
      <c r="H1198" s="7" t="str">
        <f aca="false">HYPERLINK("https://mncourtfraud.com/file/bf5c3e53540d5eb2707fcf99c73bf6c49cb60fc7fd1693baddac22c84f1394e8.png","bf5c3e53540d5eb2707fcf99c73bf6c49cb60fc7fd1693baddac22c84f1394e8")</f>
        <v>bf5c3e53540d5eb2707fcf99c73bf6c49cb60fc7fd1693baddac22c84f1394e8</v>
      </c>
      <c r="I1198" s="1" t="s">
        <v>3406</v>
      </c>
      <c r="L1198" s="2" t="s">
        <v>3412</v>
      </c>
      <c r="M1198" s="2" t="n">
        <v>153096</v>
      </c>
      <c r="S1198" s="2" t="n">
        <v>2550</v>
      </c>
      <c r="T1198" s="2" t="n">
        <v>3300</v>
      </c>
    </row>
    <row r="1199" customFormat="false" ht="18.7" hidden="false" customHeight="true" outlineLevel="0" collapsed="false">
      <c r="A1199" s="1" t="n">
        <v>1198</v>
      </c>
      <c r="B1199" s="7" t="str">
        <f aca="false">HYPERLINK("https://mncourtfraud.com/file/27-CR-21-13144.pdf","27-CR-21-13144")</f>
        <v>27-CR-21-13144</v>
      </c>
      <c r="C1199" s="1" t="n">
        <v>1</v>
      </c>
      <c r="D1199" s="2" t="s">
        <v>12</v>
      </c>
      <c r="E1199" s="8" t="n">
        <v>44405</v>
      </c>
      <c r="F1199" s="2" t="s">
        <v>145</v>
      </c>
      <c r="G1199" s="7" t="str">
        <f aca="false">HYPERLINK("https://mncourtfraud.com/file/MCRO_27-CR-21-13144_Demand or Request for Discovery_2021-07-28_20251126182845.pdf","MCRO_27-CR-21-13144_Demand or Request for Discovery_2021-07-28_20251126182845.pdf")</f>
        <v>MCRO_27-CR-21-13144_Demand or Request for Discovery_2021-07-28_20251126182845.pdf</v>
      </c>
      <c r="H1199" s="7" t="str">
        <f aca="false">HYPERLINK("https://mncourtfraud.com/file/52cc160da93a6642e8de2aadc249d77b3ae0a8e6c96054d93de373ad8eab0ad8.ttf","52cc160da93a6642e8de2aadc249d77b3ae0a8e6c96054d93de373ad8eab0ad8")</f>
        <v>52cc160da93a6642e8de2aadc249d77b3ae0a8e6c96054d93de373ad8eab0ad8</v>
      </c>
      <c r="I1199" s="1" t="s">
        <v>3413</v>
      </c>
      <c r="J1199" s="2" t="s">
        <v>3497</v>
      </c>
      <c r="K1199" s="2" t="s">
        <v>3497</v>
      </c>
      <c r="L1199" s="2" t="s">
        <v>3415</v>
      </c>
      <c r="M1199" s="2" t="n">
        <v>98894</v>
      </c>
      <c r="N1199" s="2" t="s">
        <v>3498</v>
      </c>
    </row>
    <row r="1200" customFormat="false" ht="18.7" hidden="false" customHeight="true" outlineLevel="0" collapsed="false">
      <c r="A1200" s="1" t="n">
        <v>1199</v>
      </c>
      <c r="B1200" s="7" t="str">
        <f aca="false">HYPERLINK("https://mncourtfraud.com/file/27-CR-21-13144.pdf","27-CR-21-13144")</f>
        <v>27-CR-21-13144</v>
      </c>
      <c r="C1200" s="1" t="n">
        <v>1</v>
      </c>
      <c r="D1200" s="2" t="s">
        <v>12</v>
      </c>
      <c r="E1200" s="8" t="n">
        <v>44405</v>
      </c>
      <c r="F1200" s="2" t="s">
        <v>145</v>
      </c>
      <c r="G1200" s="7" t="str">
        <f aca="false">HYPERLINK("https://mncourtfraud.com/file/MCRO_27-CR-21-13144_Demand or Request for Discovery_2021-07-28_20251126182845.pdf","MCRO_27-CR-21-13144_Demand or Request for Discovery_2021-07-28_20251126182845.pdf")</f>
        <v>MCRO_27-CR-21-13144_Demand or Request for Discovery_2021-07-28_20251126182845.pdf</v>
      </c>
      <c r="H1200" s="7" t="str">
        <f aca="false">HYPERLINK("https://mncourtfraud.com/file/6cce36920876c8abeab5cdf1fdf60b6e4bd00429e89ea019d95fc5f925300599.ttf","6cce36920876c8abeab5cdf1fdf60b6e4bd00429e89ea019d95fc5f925300599")</f>
        <v>6cce36920876c8abeab5cdf1fdf60b6e4bd00429e89ea019d95fc5f925300599</v>
      </c>
      <c r="I1200" s="1" t="s">
        <v>3413</v>
      </c>
      <c r="J1200" s="2" t="s">
        <v>3499</v>
      </c>
      <c r="K1200" s="2" t="s">
        <v>3499</v>
      </c>
      <c r="L1200" s="2" t="s">
        <v>3415</v>
      </c>
      <c r="M1200" s="2" t="n">
        <v>77492</v>
      </c>
      <c r="N1200" s="2" t="s">
        <v>3500</v>
      </c>
    </row>
    <row r="1201" customFormat="false" ht="18.7" hidden="false" customHeight="true" outlineLevel="0" collapsed="false">
      <c r="A1201" s="1" t="n">
        <v>1200</v>
      </c>
      <c r="B1201" s="7" t="str">
        <f aca="false">HYPERLINK("https://mncourtfraud.com/file/27-CR-21-13144.pdf","27-CR-21-13144")</f>
        <v>27-CR-21-13144</v>
      </c>
      <c r="C1201" s="1" t="n">
        <v>1</v>
      </c>
      <c r="D1201" s="2" t="s">
        <v>12</v>
      </c>
      <c r="E1201" s="8" t="n">
        <v>44405</v>
      </c>
      <c r="F1201" s="2" t="s">
        <v>145</v>
      </c>
      <c r="G1201" s="7" t="str">
        <f aca="false">HYPERLINK("https://mncourtfraud.com/file/MCRO_27-CR-21-13144_Demand or Request for Discovery_2021-07-28_20251126182845.pdf","MCRO_27-CR-21-13144_Demand or Request for Discovery_2021-07-28_20251126182845.pdf")</f>
        <v>MCRO_27-CR-21-13144_Demand or Request for Discovery_2021-07-28_20251126182845.pdf</v>
      </c>
      <c r="H1201" s="7" t="str">
        <f aca="false">HYPERLINK("https://mncourtfraud.com/file/9aa2691124d8a82264976dffaf3bf91329ad4cbd1d05852bc8a3ffa2c4c94c0d.ttf","9aa2691124d8a82264976dffaf3bf91329ad4cbd1d05852bc8a3ffa2c4c94c0d")</f>
        <v>9aa2691124d8a82264976dffaf3bf91329ad4cbd1d05852bc8a3ffa2c4c94c0d</v>
      </c>
      <c r="I1201" s="1" t="s">
        <v>3413</v>
      </c>
      <c r="J1201" s="2" t="s">
        <v>3501</v>
      </c>
      <c r="K1201" s="2" t="s">
        <v>3501</v>
      </c>
      <c r="L1201" s="2" t="s">
        <v>3415</v>
      </c>
      <c r="M1201" s="2" t="n">
        <v>38978</v>
      </c>
      <c r="N1201" s="2" t="s">
        <v>3502</v>
      </c>
    </row>
    <row r="1202" customFormat="false" ht="18.7" hidden="false" customHeight="true" outlineLevel="0" collapsed="false">
      <c r="A1202" s="1" t="n">
        <v>1201</v>
      </c>
      <c r="B1202" s="7" t="str">
        <f aca="false">HYPERLINK("https://mncourtfraud.com/file/27-CR-21-13144.pdf","27-CR-21-13144")</f>
        <v>27-CR-21-13144</v>
      </c>
      <c r="C1202" s="1" t="n">
        <v>1</v>
      </c>
      <c r="D1202" s="2" t="s">
        <v>12</v>
      </c>
      <c r="E1202" s="8" t="n">
        <v>44405</v>
      </c>
      <c r="F1202" s="2" t="s">
        <v>145</v>
      </c>
      <c r="G1202" s="7" t="str">
        <f aca="false">HYPERLINK("https://mncourtfraud.com/file/MCRO_27-CR-21-13144_Demand or Request for Discovery_2021-07-28_20251126182845.pdf","MCRO_27-CR-21-13144_Demand or Request for Discovery_2021-07-28_20251126182845.pdf")</f>
        <v>MCRO_27-CR-21-13144_Demand or Request for Discovery_2021-07-28_20251126182845.pdf</v>
      </c>
      <c r="H1202" s="7" t="str">
        <f aca="false">HYPERLINK("https://mncourtfraud.com/file/f7f5bd32f559ff542b2fb80e3fee21f024907413ce7a9ed34c6b43ba88ff57f4.ttf","f7f5bd32f559ff542b2fb80e3fee21f024907413ce7a9ed34c6b43ba88ff57f4")</f>
        <v>f7f5bd32f559ff542b2fb80e3fee21f024907413ce7a9ed34c6b43ba88ff57f4</v>
      </c>
      <c r="I1202" s="1" t="s">
        <v>3413</v>
      </c>
      <c r="J1202" s="2" t="s">
        <v>3503</v>
      </c>
      <c r="K1202" s="2" t="s">
        <v>3503</v>
      </c>
      <c r="L1202" s="2" t="s">
        <v>3415</v>
      </c>
      <c r="M1202" s="2" t="n">
        <v>51515</v>
      </c>
      <c r="N1202" s="2" t="s">
        <v>3504</v>
      </c>
    </row>
    <row r="1203" customFormat="false" ht="18.7" hidden="false" customHeight="true" outlineLevel="0" collapsed="false">
      <c r="A1203" s="1" t="n">
        <v>1202</v>
      </c>
      <c r="B1203" s="7" t="str">
        <f aca="false">HYPERLINK("https://mncourtfraud.com/file/27-CR-21-13144.pdf","27-CR-21-13144")</f>
        <v>27-CR-21-13144</v>
      </c>
      <c r="C1203" s="1" t="n">
        <v>1</v>
      </c>
      <c r="D1203" s="2" t="s">
        <v>12</v>
      </c>
      <c r="E1203" s="8" t="n">
        <v>44439</v>
      </c>
      <c r="F1203" s="2" t="s">
        <v>19</v>
      </c>
      <c r="G1203" s="7" t="str">
        <f aca="false">HYPERLINK("https://mncourtfraud.com/file/MCRO_27-CR-21-13144_Findings and Order_2021-08-31_20251126182917.pdf","MCRO_27-CR-21-13144_Findings and Order_2021-08-31_20251126182917.pdf")</f>
        <v>MCRO_27-CR-21-13144_Findings and Order_2021-08-31_20251126182917.pdf</v>
      </c>
      <c r="H1203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1203" s="1" t="s">
        <v>3413</v>
      </c>
      <c r="J1203" s="2" t="s">
        <v>3426</v>
      </c>
      <c r="K1203" s="2" t="s">
        <v>3426</v>
      </c>
      <c r="L1203" s="2" t="s">
        <v>3415</v>
      </c>
      <c r="M1203" s="2" t="n">
        <v>74997</v>
      </c>
      <c r="N1203" s="2" t="s">
        <v>3427</v>
      </c>
    </row>
    <row r="1204" customFormat="false" ht="18.7" hidden="false" customHeight="true" outlineLevel="0" collapsed="false">
      <c r="A1204" s="1" t="n">
        <v>1203</v>
      </c>
      <c r="B1204" s="7" t="str">
        <f aca="false">HYPERLINK("https://mncourtfraud.com/file/27-CR-21-13144.pdf","27-CR-21-13144")</f>
        <v>27-CR-21-13144</v>
      </c>
      <c r="C1204" s="1" t="n">
        <v>1</v>
      </c>
      <c r="D1204" s="2" t="s">
        <v>12</v>
      </c>
      <c r="E1204" s="8" t="n">
        <v>44439</v>
      </c>
      <c r="F1204" s="2" t="s">
        <v>19</v>
      </c>
      <c r="G1204" s="7" t="str">
        <f aca="false">HYPERLINK("https://mncourtfraud.com/file/MCRO_27-CR-21-13144_Findings and Order_2021-08-31_20251126182917.pdf","MCRO_27-CR-21-13144_Findings and Order_2021-08-31_20251126182917.pdf")</f>
        <v>MCRO_27-CR-21-13144_Findings and Order_2021-08-31_20251126182917.pdf</v>
      </c>
      <c r="H1204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1204" s="1" t="s">
        <v>3413</v>
      </c>
      <c r="J1204" s="2" t="s">
        <v>3414</v>
      </c>
      <c r="K1204" s="2" t="s">
        <v>3414</v>
      </c>
      <c r="L1204" s="2" t="s">
        <v>3415</v>
      </c>
      <c r="M1204" s="2" t="n">
        <v>65384</v>
      </c>
    </row>
    <row r="1205" customFormat="false" ht="18.7" hidden="false" customHeight="true" outlineLevel="0" collapsed="false">
      <c r="A1205" s="1" t="n">
        <v>1204</v>
      </c>
      <c r="B1205" s="7" t="str">
        <f aca="false">HYPERLINK("https://mncourtfraud.com/file/27-CR-21-13144.pdf","27-CR-21-13144")</f>
        <v>27-CR-21-13144</v>
      </c>
      <c r="C1205" s="1" t="n">
        <v>1</v>
      </c>
      <c r="D1205" s="2" t="s">
        <v>12</v>
      </c>
      <c r="E1205" s="8" t="n">
        <v>44439</v>
      </c>
      <c r="F1205" s="2" t="s">
        <v>19</v>
      </c>
      <c r="G1205" s="7" t="str">
        <f aca="false">HYPERLINK("https://mncourtfraud.com/file/MCRO_27-CR-21-13144_Findings and Order_2021-08-31_20251126182917.pdf","MCRO_27-CR-21-13144_Findings and Order_2021-08-31_20251126182917.pdf")</f>
        <v>MCRO_27-CR-21-13144_Findings and Order_2021-08-31_20251126182917.pdf</v>
      </c>
      <c r="H1205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1205" s="1" t="s">
        <v>3413</v>
      </c>
      <c r="J1205" s="2" t="s">
        <v>3414</v>
      </c>
      <c r="K1205" s="2" t="s">
        <v>3414</v>
      </c>
      <c r="L1205" s="2" t="s">
        <v>3415</v>
      </c>
      <c r="M1205" s="2" t="n">
        <v>65384</v>
      </c>
    </row>
    <row r="1206" customFormat="false" ht="18.7" hidden="false" customHeight="true" outlineLevel="0" collapsed="false">
      <c r="A1206" s="1" t="n">
        <v>1205</v>
      </c>
      <c r="B1206" s="7" t="str">
        <f aca="false">HYPERLINK("https://mncourtfraud.com/file/27-CR-21-13144.pdf","27-CR-21-13144")</f>
        <v>27-CR-21-13144</v>
      </c>
      <c r="C1206" s="1" t="n">
        <v>1</v>
      </c>
      <c r="D1206" s="2" t="s">
        <v>12</v>
      </c>
      <c r="E1206" s="8" t="n">
        <v>44439</v>
      </c>
      <c r="F1206" s="2" t="s">
        <v>19</v>
      </c>
      <c r="G1206" s="7" t="str">
        <f aca="false">HYPERLINK("https://mncourtfraud.com/file/MCRO_27-CR-21-13144_Findings and Order_2021-08-31_20251126182917.pdf","MCRO_27-CR-21-13144_Findings and Order_2021-08-31_20251126182917.pdf")</f>
        <v>MCRO_27-CR-21-13144_Findings and Order_2021-08-31_20251126182917.pdf</v>
      </c>
      <c r="H1206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1206" s="1" t="s">
        <v>3428</v>
      </c>
      <c r="J1206" s="2" t="s">
        <v>3429</v>
      </c>
      <c r="K1206" s="2" t="s">
        <v>3429</v>
      </c>
      <c r="L1206" s="2" t="s">
        <v>3415</v>
      </c>
      <c r="M1206" s="2" t="n">
        <v>86093</v>
      </c>
    </row>
    <row r="1207" customFormat="false" ht="18.7" hidden="false" customHeight="true" outlineLevel="0" collapsed="false">
      <c r="A1207" s="1" t="n">
        <v>1206</v>
      </c>
      <c r="B1207" s="7" t="str">
        <f aca="false">HYPERLINK("https://mncourtfraud.com/file/27-CR-21-13144.pdf","27-CR-21-13144")</f>
        <v>27-CR-21-13144</v>
      </c>
      <c r="C1207" s="1" t="n">
        <v>1</v>
      </c>
      <c r="D1207" s="2" t="s">
        <v>12</v>
      </c>
      <c r="E1207" s="8" t="n">
        <v>44439</v>
      </c>
      <c r="F1207" s="2" t="s">
        <v>19</v>
      </c>
      <c r="G1207" s="7" t="str">
        <f aca="false">HYPERLINK("https://mncourtfraud.com/file/MCRO_27-CR-21-13144_Findings and Order_2021-08-31_20251126182917.pdf","MCRO_27-CR-21-13144_Findings and Order_2021-08-31_20251126182917.pdf")</f>
        <v>MCRO_27-CR-21-13144_Findings and Order_2021-08-31_20251126182917.pdf</v>
      </c>
      <c r="H1207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1207" s="1" t="s">
        <v>3406</v>
      </c>
      <c r="K1207" s="2" t="s">
        <v>3430</v>
      </c>
      <c r="L1207" s="2" t="s">
        <v>3408</v>
      </c>
      <c r="M1207" s="2" t="n">
        <v>28069</v>
      </c>
      <c r="O1207" s="2" t="s">
        <v>3409</v>
      </c>
      <c r="P1207" s="2" t="s">
        <v>3410</v>
      </c>
      <c r="S1207" s="2" t="n">
        <v>448</v>
      </c>
      <c r="T1207" s="2" t="n">
        <v>128</v>
      </c>
    </row>
    <row r="1208" customFormat="false" ht="18.7" hidden="false" customHeight="true" outlineLevel="0" collapsed="false">
      <c r="A1208" s="1" t="n">
        <v>1207</v>
      </c>
      <c r="B1208" s="7" t="str">
        <f aca="false">HYPERLINK("https://mncourtfraud.com/file/27-CR-21-13144.pdf","27-CR-21-13144")</f>
        <v>27-CR-21-13144</v>
      </c>
      <c r="C1208" s="1" t="n">
        <v>1</v>
      </c>
      <c r="D1208" s="2" t="s">
        <v>12</v>
      </c>
      <c r="E1208" s="8" t="n">
        <v>44439</v>
      </c>
      <c r="F1208" s="2" t="s">
        <v>19</v>
      </c>
      <c r="G1208" s="7" t="str">
        <f aca="false">HYPERLINK("https://mncourtfraud.com/file/MCRO_27-CR-21-13144_Findings and Order_2021-08-31_20251126182917.pdf","MCRO_27-CR-21-13144_Findings and Order_2021-08-31_20251126182917.pdf")</f>
        <v>MCRO_27-CR-21-13144_Findings and Order_2021-08-31_20251126182917.pdf</v>
      </c>
      <c r="H1208" s="7" t="str">
        <f aca="false">HYPERLINK("https://mncourtfraud.com/file/d85226137c53579f37f2c87321a4ff209a309a82330591d9457774d7d697befc.ttf","d85226137c53579f37f2c87321a4ff209a309a82330591d9457774d7d697befc")</f>
        <v>d85226137c53579f37f2c87321a4ff209a309a82330591d9457774d7d697befc</v>
      </c>
      <c r="I1208" s="1" t="s">
        <v>3413</v>
      </c>
      <c r="J1208" s="2" t="s">
        <v>3414</v>
      </c>
      <c r="K1208" s="2" t="s">
        <v>3416</v>
      </c>
      <c r="L1208" s="2" t="s">
        <v>3415</v>
      </c>
      <c r="M1208" s="2" t="n">
        <v>49992</v>
      </c>
    </row>
    <row r="1209" customFormat="false" ht="18.7" hidden="false" customHeight="true" outlineLevel="0" collapsed="false">
      <c r="A1209" s="1" t="n">
        <v>1208</v>
      </c>
      <c r="B1209" s="7" t="str">
        <f aca="false">HYPERLINK("https://mncourtfraud.com/file/27-CR-21-13144.pdf","27-CR-21-13144")</f>
        <v>27-CR-21-13144</v>
      </c>
      <c r="C1209" s="1" t="n">
        <v>1</v>
      </c>
      <c r="D1209" s="2" t="s">
        <v>12</v>
      </c>
      <c r="E1209" s="8" t="n">
        <v>44460</v>
      </c>
      <c r="F1209" s="2" t="s">
        <v>24</v>
      </c>
      <c r="G1209" s="7" t="str">
        <f aca="false">HYPERLINK("https://mncourtfraud.com/file/MCRO_27-CR-21-13144_Order for Conditional Release_2021-09-21_20251126182955.pdf","MCRO_27-CR-21-13144_Order for Conditional Release_2021-09-21_20251126182955.pdf")</f>
        <v>MCRO_27-CR-21-13144_Order for Conditional Release_2021-09-21_20251126182955.pdf</v>
      </c>
      <c r="H1209" s="7" t="str">
        <f aca="false">HYPERLINK("https://mncourtfraud.com/file/02dfb6e08fd11b3563d1b9b621b56dbf2dc11acbd85e42bfd83f728fb300bef2.ttf","02dfb6e08fd11b3563d1b9b621b56dbf2dc11acbd85e42bfd83f728fb300bef2")</f>
        <v>02dfb6e08fd11b3563d1b9b621b56dbf2dc11acbd85e42bfd83f728fb300bef2</v>
      </c>
      <c r="I1209" s="1" t="s">
        <v>3413</v>
      </c>
      <c r="L1209" s="2" t="s">
        <v>3415</v>
      </c>
      <c r="M1209" s="2" t="n">
        <v>333576</v>
      </c>
    </row>
    <row r="1210" customFormat="false" ht="18.7" hidden="false" customHeight="true" outlineLevel="0" collapsed="false">
      <c r="A1210" s="1" t="n">
        <v>1209</v>
      </c>
      <c r="B1210" s="7" t="str">
        <f aca="false">HYPERLINK("https://mncourtfraud.com/file/27-CR-21-13144.pdf","27-CR-21-13144")</f>
        <v>27-CR-21-13144</v>
      </c>
      <c r="C1210" s="1" t="n">
        <v>1</v>
      </c>
      <c r="D1210" s="2" t="s">
        <v>12</v>
      </c>
      <c r="E1210" s="8" t="n">
        <v>44460</v>
      </c>
      <c r="F1210" s="2" t="s">
        <v>24</v>
      </c>
      <c r="G1210" s="7" t="str">
        <f aca="false">HYPERLINK("https://mncourtfraud.com/file/MCRO_27-CR-21-13144_Order for Conditional Release_2021-09-21_20251126182955.pdf","MCRO_27-CR-21-13144_Order for Conditional Release_2021-09-21_20251126182955.pdf")</f>
        <v>MCRO_27-CR-21-13144_Order for Conditional Release_2021-09-21_20251126182955.pdf</v>
      </c>
      <c r="H1210" s="7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1210" s="1" t="s">
        <v>3406</v>
      </c>
      <c r="L1210" s="2" t="s">
        <v>3412</v>
      </c>
      <c r="M1210" s="2" t="n">
        <v>152962</v>
      </c>
      <c r="S1210" s="2" t="n">
        <v>2560</v>
      </c>
      <c r="T1210" s="2" t="n">
        <v>3300</v>
      </c>
    </row>
    <row r="1211" customFormat="false" ht="18.7" hidden="false" customHeight="true" outlineLevel="0" collapsed="false">
      <c r="A1211" s="1" t="n">
        <v>1210</v>
      </c>
      <c r="B1211" s="7" t="str">
        <f aca="false">HYPERLINK("https://mncourtfraud.com/file/27-CR-21-13144.pdf","27-CR-21-13144")</f>
        <v>27-CR-21-13144</v>
      </c>
      <c r="C1211" s="1" t="n">
        <v>1</v>
      </c>
      <c r="D1211" s="2" t="s">
        <v>12</v>
      </c>
      <c r="E1211" s="8" t="n">
        <v>44468</v>
      </c>
      <c r="F1211" s="2" t="s">
        <v>24</v>
      </c>
      <c r="G1211" s="7" t="str">
        <f aca="false">HYPERLINK("https://mncourtfraud.com/file/MCRO_27-CR-21-13144_Order for Conditional Release_2021-09-29_20251126183006.pdf","MCRO_27-CR-21-13144_Order for Conditional Release_2021-09-29_20251126183006.pdf")</f>
        <v>MCRO_27-CR-21-13144_Order for Conditional Release_2021-09-29_20251126183006.pdf</v>
      </c>
      <c r="H1211" s="7" t="str">
        <f aca="false">HYPERLINK("https://mncourtfraud.com/file/29d541cb6920f2a0815a72232c8164e19ffda7ff89f025261d343aef97d55c23.png","29d541cb6920f2a0815a72232c8164e19ffda7ff89f025261d343aef97d55c23")</f>
        <v>29d541cb6920f2a0815a72232c8164e19ffda7ff89f025261d343aef97d55c23</v>
      </c>
      <c r="I1211" s="1" t="s">
        <v>3406</v>
      </c>
      <c r="L1211" s="2" t="s">
        <v>3412</v>
      </c>
      <c r="M1211" s="2" t="n">
        <v>104</v>
      </c>
      <c r="S1211" s="2" t="n">
        <v>5</v>
      </c>
      <c r="T1211" s="2" t="n">
        <v>75</v>
      </c>
    </row>
    <row r="1212" customFormat="false" ht="18.7" hidden="false" customHeight="true" outlineLevel="0" collapsed="false">
      <c r="A1212" s="1" t="n">
        <v>1211</v>
      </c>
      <c r="B1212" s="7" t="str">
        <f aca="false">HYPERLINK("https://mncourtfraud.com/file/27-CR-21-13144.pdf","27-CR-21-13144")</f>
        <v>27-CR-21-13144</v>
      </c>
      <c r="C1212" s="1" t="n">
        <v>1</v>
      </c>
      <c r="D1212" s="2" t="s">
        <v>12</v>
      </c>
      <c r="E1212" s="8" t="n">
        <v>44468</v>
      </c>
      <c r="F1212" s="2" t="s">
        <v>24</v>
      </c>
      <c r="G1212" s="7" t="str">
        <f aca="false">HYPERLINK("https://mncourtfraud.com/file/MCRO_27-CR-21-13144_Order for Conditional Release_2021-09-29_20251126183006.pdf","MCRO_27-CR-21-13144_Order for Conditional Release_2021-09-29_20251126183006.pdf")</f>
        <v>MCRO_27-CR-21-13144_Order for Conditional Release_2021-09-29_20251126183006.pdf</v>
      </c>
      <c r="H1212" s="7" t="str">
        <f aca="false">HYPERLINK("https://mncourtfraud.com/file/3d978c70f8a4a91fd25d0f653c2931516767fdd837fcadff75a8c3cd2ba3a28e.png","3d978c70f8a4a91fd25d0f653c2931516767fdd837fcadff75a8c3cd2ba3a28e")</f>
        <v>3d978c70f8a4a91fd25d0f653c2931516767fdd837fcadff75a8c3cd2ba3a28e</v>
      </c>
      <c r="I1212" s="1" t="s">
        <v>3406</v>
      </c>
      <c r="L1212" s="2" t="s">
        <v>3412</v>
      </c>
      <c r="M1212" s="2" t="n">
        <v>2435</v>
      </c>
      <c r="S1212" s="2" t="n">
        <v>1069</v>
      </c>
      <c r="T1212" s="2" t="n">
        <v>679</v>
      </c>
    </row>
    <row r="1213" customFormat="false" ht="18.7" hidden="false" customHeight="true" outlineLevel="0" collapsed="false">
      <c r="A1213" s="1" t="n">
        <v>1212</v>
      </c>
      <c r="B1213" s="7" t="str">
        <f aca="false">HYPERLINK("https://mncourtfraud.com/file/27-CR-21-13144.pdf","27-CR-21-13144")</f>
        <v>27-CR-21-13144</v>
      </c>
      <c r="C1213" s="1" t="n">
        <v>1</v>
      </c>
      <c r="D1213" s="2" t="s">
        <v>12</v>
      </c>
      <c r="E1213" s="8" t="n">
        <v>44468</v>
      </c>
      <c r="F1213" s="2" t="s">
        <v>24</v>
      </c>
      <c r="G1213" s="7" t="str">
        <f aca="false">HYPERLINK("https://mncourtfraud.com/file/MCRO_27-CR-21-13144_Order for Conditional Release_2021-09-29_20251126183006.pdf","MCRO_27-CR-21-13144_Order for Conditional Release_2021-09-29_20251126183006.pdf")</f>
        <v>MCRO_27-CR-21-13144_Order for Conditional Release_2021-09-29_20251126183006.pdf</v>
      </c>
      <c r="H1213" s="7" t="str">
        <f aca="false">HYPERLINK("https://mncourtfraud.com/file/3f202249d41f264cabf7a4fd2c634829df7886c25cb759658f06c1a8bca28360.cid","3f202249d41f264cabf7a4fd2c634829df7886c25cb759658f06c1a8bca28360")</f>
        <v>3f202249d41f264cabf7a4fd2c634829df7886c25cb759658f06c1a8bca28360</v>
      </c>
      <c r="I1213" s="1" t="s">
        <v>3431</v>
      </c>
      <c r="L1213" s="2" t="s">
        <v>3415</v>
      </c>
      <c r="M1213" s="2" t="n">
        <v>1397</v>
      </c>
    </row>
    <row r="1214" customFormat="false" ht="18.7" hidden="false" customHeight="true" outlineLevel="0" collapsed="false">
      <c r="A1214" s="1" t="n">
        <v>1213</v>
      </c>
      <c r="B1214" s="7" t="str">
        <f aca="false">HYPERLINK("https://mncourtfraud.com/file/27-CR-21-13144.pdf","27-CR-21-13144")</f>
        <v>27-CR-21-13144</v>
      </c>
      <c r="C1214" s="1" t="n">
        <v>1</v>
      </c>
      <c r="D1214" s="2" t="s">
        <v>12</v>
      </c>
      <c r="E1214" s="8" t="n">
        <v>44468</v>
      </c>
      <c r="F1214" s="2" t="s">
        <v>24</v>
      </c>
      <c r="G1214" s="7" t="str">
        <f aca="false">HYPERLINK("https://mncourtfraud.com/file/MCRO_27-CR-21-13144_Order for Conditional Release_2021-09-29_20251126183006.pdf","MCRO_27-CR-21-13144_Order for Conditional Release_2021-09-29_20251126183006.pdf")</f>
        <v>MCRO_27-CR-21-13144_Order for Conditional Release_2021-09-29_20251126183006.pdf</v>
      </c>
      <c r="H1214" s="7" t="str">
        <f aca="false">HYPERLINK("https://mncourtfraud.com/file/425a64ecdc19aa0c86b927b2be8980d179c92ac4af2a49d3c3ad0aa278728c52.png","425a64ecdc19aa0c86b927b2be8980d179c92ac4af2a49d3c3ad0aa278728c52")</f>
        <v>425a64ecdc19aa0c86b927b2be8980d179c92ac4af2a49d3c3ad0aa278728c52</v>
      </c>
      <c r="I1214" s="1" t="s">
        <v>3406</v>
      </c>
      <c r="L1214" s="2" t="s">
        <v>3412</v>
      </c>
      <c r="M1214" s="2" t="n">
        <v>520</v>
      </c>
      <c r="S1214" s="2" t="n">
        <v>126</v>
      </c>
      <c r="T1214" s="2" t="n">
        <v>150</v>
      </c>
    </row>
    <row r="1215" customFormat="false" ht="18.7" hidden="false" customHeight="true" outlineLevel="0" collapsed="false">
      <c r="A1215" s="1" t="n">
        <v>1214</v>
      </c>
      <c r="B1215" s="7" t="str">
        <f aca="false">HYPERLINK("https://mncourtfraud.com/file/27-CR-21-13144.pdf","27-CR-21-13144")</f>
        <v>27-CR-21-13144</v>
      </c>
      <c r="C1215" s="1" t="n">
        <v>1</v>
      </c>
      <c r="D1215" s="2" t="s">
        <v>12</v>
      </c>
      <c r="E1215" s="8" t="n">
        <v>44468</v>
      </c>
      <c r="F1215" s="2" t="s">
        <v>24</v>
      </c>
      <c r="G1215" s="7" t="str">
        <f aca="false">HYPERLINK("https://mncourtfraud.com/file/MCRO_27-CR-21-13144_Order for Conditional Release_2021-09-29_20251126183006.pdf","MCRO_27-CR-21-13144_Order for Conditional Release_2021-09-29_20251126183006.pdf")</f>
        <v>MCRO_27-CR-21-13144_Order for Conditional Release_2021-09-29_20251126183006.pdf</v>
      </c>
      <c r="H1215" s="7" t="str">
        <f aca="false">HYPERLINK("https://mncourtfraud.com/file/4458a2b033c8132fd890227750c1df180ec4563b9dc0a6394b3691240425c9b3.cid","4458a2b033c8132fd890227750c1df180ec4563b9dc0a6394b3691240425c9b3")</f>
        <v>4458a2b033c8132fd890227750c1df180ec4563b9dc0a6394b3691240425c9b3</v>
      </c>
      <c r="I1215" s="1" t="s">
        <v>3431</v>
      </c>
      <c r="L1215" s="2" t="s">
        <v>3415</v>
      </c>
      <c r="M1215" s="2" t="n">
        <v>3580</v>
      </c>
    </row>
    <row r="1216" customFormat="false" ht="18.7" hidden="false" customHeight="true" outlineLevel="0" collapsed="false">
      <c r="A1216" s="1" t="n">
        <v>1215</v>
      </c>
      <c r="B1216" s="7" t="str">
        <f aca="false">HYPERLINK("https://mncourtfraud.com/file/27-CR-21-13144.pdf","27-CR-21-13144")</f>
        <v>27-CR-21-13144</v>
      </c>
      <c r="C1216" s="1" t="n">
        <v>1</v>
      </c>
      <c r="D1216" s="2" t="s">
        <v>12</v>
      </c>
      <c r="E1216" s="8" t="n">
        <v>44468</v>
      </c>
      <c r="F1216" s="2" t="s">
        <v>24</v>
      </c>
      <c r="G1216" s="7" t="str">
        <f aca="false">HYPERLINK("https://mncourtfraud.com/file/MCRO_27-CR-21-13144_Order for Conditional Release_2021-09-29_20251126183006.pdf","MCRO_27-CR-21-13144_Order for Conditional Release_2021-09-29_20251126183006.pdf")</f>
        <v>MCRO_27-CR-21-13144_Order for Conditional Release_2021-09-29_20251126183006.pdf</v>
      </c>
      <c r="H1216" s="7" t="str">
        <f aca="false">HYPERLINK("https://mncourtfraud.com/file/45a9f49ddf96d4a4dcf4561d2702204f448986045babf3fdd52fa18200557e31.png","45a9f49ddf96d4a4dcf4561d2702204f448986045babf3fdd52fa18200557e31")</f>
        <v>45a9f49ddf96d4a4dcf4561d2702204f448986045babf3fdd52fa18200557e31</v>
      </c>
      <c r="I1216" s="1" t="s">
        <v>3406</v>
      </c>
      <c r="L1216" s="2" t="s">
        <v>3412</v>
      </c>
      <c r="M1216" s="2" t="n">
        <v>97</v>
      </c>
      <c r="S1216" s="2" t="n">
        <v>3</v>
      </c>
      <c r="T1216" s="2" t="n">
        <v>4</v>
      </c>
    </row>
    <row r="1217" customFormat="false" ht="18.7" hidden="false" customHeight="true" outlineLevel="0" collapsed="false">
      <c r="A1217" s="1" t="n">
        <v>1216</v>
      </c>
      <c r="B1217" s="7" t="str">
        <f aca="false">HYPERLINK("https://mncourtfraud.com/file/27-CR-21-13144.pdf","27-CR-21-13144")</f>
        <v>27-CR-21-13144</v>
      </c>
      <c r="C1217" s="1" t="n">
        <v>1</v>
      </c>
      <c r="D1217" s="2" t="s">
        <v>12</v>
      </c>
      <c r="E1217" s="8" t="n">
        <v>44468</v>
      </c>
      <c r="F1217" s="2" t="s">
        <v>24</v>
      </c>
      <c r="G1217" s="7" t="str">
        <f aca="false">HYPERLINK("https://mncourtfraud.com/file/MCRO_27-CR-21-13144_Order for Conditional Release_2021-09-29_20251126183006.pdf","MCRO_27-CR-21-13144_Order for Conditional Release_2021-09-29_20251126183006.pdf")</f>
        <v>MCRO_27-CR-21-13144_Order for Conditional Release_2021-09-29_20251126183006.pdf</v>
      </c>
      <c r="H1217" s="7" t="str">
        <f aca="false">HYPERLINK("https://mncourtfraud.com/file/50457dc3e0bb6204f128f3222c76884dffaf132a86395902e3967a44a5d511ed.cid","50457dc3e0bb6204f128f3222c76884dffaf132a86395902e3967a44a5d511ed")</f>
        <v>50457dc3e0bb6204f128f3222c76884dffaf132a86395902e3967a44a5d511ed</v>
      </c>
      <c r="I1217" s="1" t="s">
        <v>3431</v>
      </c>
      <c r="L1217" s="2" t="s">
        <v>3415</v>
      </c>
      <c r="M1217" s="2" t="n">
        <v>2839</v>
      </c>
    </row>
    <row r="1218" customFormat="false" ht="18.7" hidden="false" customHeight="true" outlineLevel="0" collapsed="false">
      <c r="A1218" s="1" t="n">
        <v>1217</v>
      </c>
      <c r="B1218" s="7" t="str">
        <f aca="false">HYPERLINK("https://mncourtfraud.com/file/27-CR-21-13144.pdf","27-CR-21-13144")</f>
        <v>27-CR-21-13144</v>
      </c>
      <c r="C1218" s="1" t="n">
        <v>1</v>
      </c>
      <c r="D1218" s="2" t="s">
        <v>12</v>
      </c>
      <c r="E1218" s="8" t="n">
        <v>44468</v>
      </c>
      <c r="F1218" s="2" t="s">
        <v>24</v>
      </c>
      <c r="G1218" s="7" t="str">
        <f aca="false">HYPERLINK("https://mncourtfraud.com/file/MCRO_27-CR-21-13144_Order for Conditional Release_2021-09-29_20251126183006.pdf","MCRO_27-CR-21-13144_Order for Conditional Release_2021-09-29_20251126183006.pdf")</f>
        <v>MCRO_27-CR-21-13144_Order for Conditional Release_2021-09-29_20251126183006.pdf</v>
      </c>
      <c r="H1218" s="7" t="str">
        <f aca="false">HYPERLINK("https://mncourtfraud.com/file/52f2827f81e9a21813e5089396a7afa6accf4023998e877d3b9460283e0bb9a5.cid","52f2827f81e9a21813e5089396a7afa6accf4023998e877d3b9460283e0bb9a5")</f>
        <v>52f2827f81e9a21813e5089396a7afa6accf4023998e877d3b9460283e0bb9a5</v>
      </c>
      <c r="I1218" s="1" t="s">
        <v>3431</v>
      </c>
      <c r="L1218" s="2" t="s">
        <v>3415</v>
      </c>
      <c r="M1218" s="2" t="n">
        <v>381</v>
      </c>
    </row>
    <row r="1219" customFormat="false" ht="18.7" hidden="false" customHeight="true" outlineLevel="0" collapsed="false">
      <c r="A1219" s="1" t="n">
        <v>1218</v>
      </c>
      <c r="B1219" s="7" t="str">
        <f aca="false">HYPERLINK("https://mncourtfraud.com/file/27-CR-21-13144.pdf","27-CR-21-13144")</f>
        <v>27-CR-21-13144</v>
      </c>
      <c r="C1219" s="1" t="n">
        <v>1</v>
      </c>
      <c r="D1219" s="2" t="s">
        <v>12</v>
      </c>
      <c r="E1219" s="8" t="n">
        <v>44468</v>
      </c>
      <c r="F1219" s="2" t="s">
        <v>24</v>
      </c>
      <c r="G1219" s="7" t="str">
        <f aca="false">HYPERLINK("https://mncourtfraud.com/file/MCRO_27-CR-21-13144_Order for Conditional Release_2021-09-29_20251126183006.pdf","MCRO_27-CR-21-13144_Order for Conditional Release_2021-09-29_20251126183006.pdf")</f>
        <v>MCRO_27-CR-21-13144_Order for Conditional Release_2021-09-29_20251126183006.pdf</v>
      </c>
      <c r="H1219" s="7" t="str">
        <f aca="false">HYPERLINK("https://mncourtfraud.com/file/5bf127b8427f0831bc8864aa549643604be6b63d8ca96ff1ba7182ccec9bc2ad.cid","5bf127b8427f0831bc8864aa549643604be6b63d8ca96ff1ba7182ccec9bc2ad")</f>
        <v>5bf127b8427f0831bc8864aa549643604be6b63d8ca96ff1ba7182ccec9bc2ad</v>
      </c>
      <c r="I1219" s="1" t="s">
        <v>3431</v>
      </c>
      <c r="L1219" s="2" t="s">
        <v>3415</v>
      </c>
      <c r="M1219" s="2" t="n">
        <v>7990</v>
      </c>
    </row>
    <row r="1220" customFormat="false" ht="18.7" hidden="false" customHeight="true" outlineLevel="0" collapsed="false">
      <c r="A1220" s="1" t="n">
        <v>1219</v>
      </c>
      <c r="B1220" s="7" t="str">
        <f aca="false">HYPERLINK("https://mncourtfraud.com/file/27-CR-21-13144.pdf","27-CR-21-13144")</f>
        <v>27-CR-21-13144</v>
      </c>
      <c r="C1220" s="1" t="n">
        <v>1</v>
      </c>
      <c r="D1220" s="2" t="s">
        <v>12</v>
      </c>
      <c r="E1220" s="8" t="n">
        <v>44468</v>
      </c>
      <c r="F1220" s="2" t="s">
        <v>24</v>
      </c>
      <c r="G1220" s="7" t="str">
        <f aca="false">HYPERLINK("https://mncourtfraud.com/file/MCRO_27-CR-21-13144_Order for Conditional Release_2021-09-29_20251126183006.pdf","MCRO_27-CR-21-13144_Order for Conditional Release_2021-09-29_20251126183006.pdf")</f>
        <v>MCRO_27-CR-21-13144_Order for Conditional Release_2021-09-29_20251126183006.pdf</v>
      </c>
      <c r="H1220" s="7" t="str">
        <f aca="false">HYPERLINK("https://mncourtfraud.com/file/614121b29b009262816a5b70532c1a04ec73c5d83786c4500719e9e7d614a562.cid","614121b29b009262816a5b70532c1a04ec73c5d83786c4500719e9e7d614a562")</f>
        <v>614121b29b009262816a5b70532c1a04ec73c5d83786c4500719e9e7d614a562</v>
      </c>
      <c r="I1220" s="1" t="s">
        <v>3431</v>
      </c>
      <c r="L1220" s="2" t="s">
        <v>3415</v>
      </c>
      <c r="M1220" s="2" t="n">
        <v>5970</v>
      </c>
    </row>
    <row r="1221" customFormat="false" ht="18.7" hidden="false" customHeight="true" outlineLevel="0" collapsed="false">
      <c r="A1221" s="1" t="n">
        <v>1220</v>
      </c>
      <c r="B1221" s="7" t="str">
        <f aca="false">HYPERLINK("https://mncourtfraud.com/file/27-CR-21-13144.pdf","27-CR-21-13144")</f>
        <v>27-CR-21-13144</v>
      </c>
      <c r="C1221" s="1" t="n">
        <v>1</v>
      </c>
      <c r="D1221" s="2" t="s">
        <v>12</v>
      </c>
      <c r="E1221" s="8" t="n">
        <v>44468</v>
      </c>
      <c r="F1221" s="2" t="s">
        <v>24</v>
      </c>
      <c r="G1221" s="7" t="str">
        <f aca="false">HYPERLINK("https://mncourtfraud.com/file/MCRO_27-CR-21-13144_Order for Conditional Release_2021-09-29_20251126183006.pdf","MCRO_27-CR-21-13144_Order for Conditional Release_2021-09-29_20251126183006.pdf")</f>
        <v>MCRO_27-CR-21-13144_Order for Conditional Release_2021-09-29_20251126183006.pdf</v>
      </c>
      <c r="H1221" s="7" t="str">
        <f aca="false">HYPERLINK("https://mncourtfraud.com/file/7e14169e8fd6eddddd43bc2fc14557202f527587078dd29e867ad63570714e07.png","7e14169e8fd6eddddd43bc2fc14557202f527587078dd29e867ad63570714e07")</f>
        <v>7e14169e8fd6eddddd43bc2fc14557202f527587078dd29e867ad63570714e07</v>
      </c>
      <c r="I1221" s="1" t="s">
        <v>3406</v>
      </c>
      <c r="L1221" s="2" t="s">
        <v>3412</v>
      </c>
      <c r="M1221" s="2" t="n">
        <v>100</v>
      </c>
      <c r="S1221" s="2" t="n">
        <v>5</v>
      </c>
      <c r="T1221" s="2" t="n">
        <v>5</v>
      </c>
    </row>
    <row r="1222" customFormat="false" ht="18.7" hidden="false" customHeight="true" outlineLevel="0" collapsed="false">
      <c r="A1222" s="1" t="n">
        <v>1221</v>
      </c>
      <c r="B1222" s="7" t="str">
        <f aca="false">HYPERLINK("https://mncourtfraud.com/file/27-CR-21-13144.pdf","27-CR-21-13144")</f>
        <v>27-CR-21-13144</v>
      </c>
      <c r="C1222" s="1" t="n">
        <v>1</v>
      </c>
      <c r="D1222" s="2" t="s">
        <v>12</v>
      </c>
      <c r="E1222" s="8" t="n">
        <v>44468</v>
      </c>
      <c r="F1222" s="2" t="s">
        <v>24</v>
      </c>
      <c r="G1222" s="7" t="str">
        <f aca="false">HYPERLINK("https://mncourtfraud.com/file/MCRO_27-CR-21-13144_Order for Conditional Release_2021-09-29_20251126183006.pdf","MCRO_27-CR-21-13144_Order for Conditional Release_2021-09-29_20251126183006.pdf")</f>
        <v>MCRO_27-CR-21-13144_Order for Conditional Release_2021-09-29_20251126183006.pdf</v>
      </c>
      <c r="H1222" s="7" t="str">
        <f aca="false">HYPERLINK("https://mncourtfraud.com/file/8198df5372238cac138bb64883627cf42bfc08ac483ff14b35858ae098fa3e09.cid","8198df5372238cac138bb64883627cf42bfc08ac483ff14b35858ae098fa3e09")</f>
        <v>8198df5372238cac138bb64883627cf42bfc08ac483ff14b35858ae098fa3e09</v>
      </c>
      <c r="I1222" s="1" t="s">
        <v>3431</v>
      </c>
      <c r="L1222" s="2" t="s">
        <v>3415</v>
      </c>
      <c r="M1222" s="2" t="n">
        <v>3966</v>
      </c>
    </row>
    <row r="1223" customFormat="false" ht="18.7" hidden="false" customHeight="true" outlineLevel="0" collapsed="false">
      <c r="A1223" s="1" t="n">
        <v>1222</v>
      </c>
      <c r="B1223" s="7" t="str">
        <f aca="false">HYPERLINK("https://mncourtfraud.com/file/27-CR-21-13144.pdf","27-CR-21-13144")</f>
        <v>27-CR-21-13144</v>
      </c>
      <c r="C1223" s="1" t="n">
        <v>1</v>
      </c>
      <c r="D1223" s="2" t="s">
        <v>12</v>
      </c>
      <c r="E1223" s="8" t="n">
        <v>44468</v>
      </c>
      <c r="F1223" s="2" t="s">
        <v>24</v>
      </c>
      <c r="G1223" s="7" t="str">
        <f aca="false">HYPERLINK("https://mncourtfraud.com/file/MCRO_27-CR-21-13144_Order for Conditional Release_2021-09-29_20251126183006.pdf","MCRO_27-CR-21-13144_Order for Conditional Release_2021-09-29_20251126183006.pdf")</f>
        <v>MCRO_27-CR-21-13144_Order for Conditional Release_2021-09-29_20251126183006.pdf</v>
      </c>
      <c r="H1223" s="7" t="str">
        <f aca="false">HYPERLINK("https://mncourtfraud.com/file/8793bfb8eeebb59de729b22461b75a010eda532097214bf8285117449fae5b3c.png","8793bfb8eeebb59de729b22461b75a010eda532097214bf8285117449fae5b3c")</f>
        <v>8793bfb8eeebb59de729b22461b75a010eda532097214bf8285117449fae5b3c</v>
      </c>
      <c r="I1223" s="1" t="s">
        <v>3406</v>
      </c>
      <c r="L1223" s="2" t="s">
        <v>3412</v>
      </c>
      <c r="M1223" s="2" t="n">
        <v>104</v>
      </c>
      <c r="S1223" s="2" t="n">
        <v>6</v>
      </c>
      <c r="T1223" s="2" t="n">
        <v>4</v>
      </c>
    </row>
    <row r="1224" customFormat="false" ht="18.7" hidden="false" customHeight="true" outlineLevel="0" collapsed="false">
      <c r="A1224" s="1" t="n">
        <v>1223</v>
      </c>
      <c r="B1224" s="7" t="str">
        <f aca="false">HYPERLINK("https://mncourtfraud.com/file/27-CR-21-13144.pdf","27-CR-21-13144")</f>
        <v>27-CR-21-13144</v>
      </c>
      <c r="C1224" s="1" t="n">
        <v>1</v>
      </c>
      <c r="D1224" s="2" t="s">
        <v>12</v>
      </c>
      <c r="E1224" s="8" t="n">
        <v>44468</v>
      </c>
      <c r="F1224" s="2" t="s">
        <v>24</v>
      </c>
      <c r="G1224" s="7" t="str">
        <f aca="false">HYPERLINK("https://mncourtfraud.com/file/MCRO_27-CR-21-13144_Order for Conditional Release_2021-09-29_20251126183006.pdf","MCRO_27-CR-21-13144_Order for Conditional Release_2021-09-29_20251126183006.pdf")</f>
        <v>MCRO_27-CR-21-13144_Order for Conditional Release_2021-09-29_20251126183006.pdf</v>
      </c>
      <c r="H1224" s="7" t="str">
        <f aca="false">HYPERLINK("https://mncourtfraud.com/file/8c2e00c7a4e8974eff73eba397a59d5f5f25d249433535298973d70a9f79dec8.png","8c2e00c7a4e8974eff73eba397a59d5f5f25d249433535298973d70a9f79dec8")</f>
        <v>8c2e00c7a4e8974eff73eba397a59d5f5f25d249433535298973d70a9f79dec8</v>
      </c>
      <c r="I1224" s="1" t="s">
        <v>3406</v>
      </c>
      <c r="L1224" s="2" t="s">
        <v>3412</v>
      </c>
      <c r="M1224" s="2" t="n">
        <v>810</v>
      </c>
      <c r="S1224" s="2" t="n">
        <v>519</v>
      </c>
      <c r="T1224" s="2" t="n">
        <v>231</v>
      </c>
    </row>
    <row r="1225" customFormat="false" ht="18.7" hidden="false" customHeight="true" outlineLevel="0" collapsed="false">
      <c r="A1225" s="1" t="n">
        <v>1224</v>
      </c>
      <c r="B1225" s="7" t="str">
        <f aca="false">HYPERLINK("https://mncourtfraud.com/file/27-CR-21-13144.pdf","27-CR-21-13144")</f>
        <v>27-CR-21-13144</v>
      </c>
      <c r="C1225" s="1" t="n">
        <v>1</v>
      </c>
      <c r="D1225" s="2" t="s">
        <v>12</v>
      </c>
      <c r="E1225" s="8" t="n">
        <v>44468</v>
      </c>
      <c r="F1225" s="2" t="s">
        <v>24</v>
      </c>
      <c r="G1225" s="7" t="str">
        <f aca="false">HYPERLINK("https://mncourtfraud.com/file/MCRO_27-CR-21-13144_Order for Conditional Release_2021-09-29_20251126183006.pdf","MCRO_27-CR-21-13144_Order for Conditional Release_2021-09-29_20251126183006.pdf")</f>
        <v>MCRO_27-CR-21-13144_Order for Conditional Release_2021-09-29_20251126183006.pdf</v>
      </c>
      <c r="H1225" s="7" t="str">
        <f aca="false">HYPERLINK("https://mncourtfraud.com/file/a431b1b5f48186b4c98851d84352c1573e22c0e9b97117edbc0ad8603da3c307.png","a431b1b5f48186b4c98851d84352c1573e22c0e9b97117edbc0ad8603da3c307")</f>
        <v>a431b1b5f48186b4c98851d84352c1573e22c0e9b97117edbc0ad8603da3c307</v>
      </c>
      <c r="I1225" s="1" t="s">
        <v>3406</v>
      </c>
      <c r="L1225" s="2" t="s">
        <v>3412</v>
      </c>
      <c r="M1225" s="2" t="n">
        <v>157</v>
      </c>
      <c r="S1225" s="2" t="n">
        <v>7</v>
      </c>
      <c r="T1225" s="2" t="n">
        <v>284</v>
      </c>
    </row>
    <row r="1226" customFormat="false" ht="18.7" hidden="false" customHeight="true" outlineLevel="0" collapsed="false">
      <c r="A1226" s="1" t="n">
        <v>1225</v>
      </c>
      <c r="B1226" s="7" t="str">
        <f aca="false">HYPERLINK("https://mncourtfraud.com/file/27-CR-21-13144.pdf","27-CR-21-13144")</f>
        <v>27-CR-21-13144</v>
      </c>
      <c r="C1226" s="1" t="n">
        <v>1</v>
      </c>
      <c r="D1226" s="2" t="s">
        <v>12</v>
      </c>
      <c r="E1226" s="8" t="n">
        <v>44468</v>
      </c>
      <c r="F1226" s="2" t="s">
        <v>24</v>
      </c>
      <c r="G1226" s="7" t="str">
        <f aca="false">HYPERLINK("https://mncourtfraud.com/file/MCRO_27-CR-21-13144_Order for Conditional Release_2021-09-29_20251126183006.pdf","MCRO_27-CR-21-13144_Order for Conditional Release_2021-09-29_20251126183006.pdf")</f>
        <v>MCRO_27-CR-21-13144_Order for Conditional Release_2021-09-29_20251126183006.pdf</v>
      </c>
      <c r="H1226" s="7" t="str">
        <f aca="false">HYPERLINK("https://mncourtfraud.com/file/ac369f378e3fbed88e7c1c71d7e27d3af59d79c8d2f8338a6182f69d0e17a2ef.cid","ac369f378e3fbed88e7c1c71d7e27d3af59d79c8d2f8338a6182f69d0e17a2ef")</f>
        <v>ac369f378e3fbed88e7c1c71d7e27d3af59d79c8d2f8338a6182f69d0e17a2ef</v>
      </c>
      <c r="I1226" s="1" t="s">
        <v>3431</v>
      </c>
      <c r="L1226" s="2" t="s">
        <v>3415</v>
      </c>
      <c r="M1226" s="2" t="n">
        <v>14113</v>
      </c>
    </row>
    <row r="1227" customFormat="false" ht="18.7" hidden="false" customHeight="true" outlineLevel="0" collapsed="false">
      <c r="A1227" s="1" t="n">
        <v>1226</v>
      </c>
      <c r="B1227" s="7" t="str">
        <f aca="false">HYPERLINK("https://mncourtfraud.com/file/27-CR-21-13144.pdf","27-CR-21-13144")</f>
        <v>27-CR-21-13144</v>
      </c>
      <c r="C1227" s="1" t="n">
        <v>1</v>
      </c>
      <c r="D1227" s="2" t="s">
        <v>12</v>
      </c>
      <c r="E1227" s="8" t="n">
        <v>44468</v>
      </c>
      <c r="F1227" s="2" t="s">
        <v>24</v>
      </c>
      <c r="G1227" s="7" t="str">
        <f aca="false">HYPERLINK("https://mncourtfraud.com/file/MCRO_27-CR-21-13144_Order for Conditional Release_2021-09-29_20251126183006.pdf","MCRO_27-CR-21-13144_Order for Conditional Release_2021-09-29_20251126183006.pdf")</f>
        <v>MCRO_27-CR-21-13144_Order for Conditional Release_2021-09-29_20251126183006.pdf</v>
      </c>
      <c r="H1227" s="7" t="str">
        <f aca="false">HYPERLINK("https://mncourtfraud.com/file/b1c38e97038ce898a189d377f1fa9f4b673ae497ef07cd779e6d54764f350895.cid","b1c38e97038ce898a189d377f1fa9f4b673ae497ef07cd779e6d54764f350895")</f>
        <v>b1c38e97038ce898a189d377f1fa9f4b673ae497ef07cd779e6d54764f350895</v>
      </c>
      <c r="I1227" s="1" t="s">
        <v>3431</v>
      </c>
      <c r="L1227" s="2" t="s">
        <v>3415</v>
      </c>
      <c r="M1227" s="2" t="n">
        <v>3783</v>
      </c>
    </row>
    <row r="1228" customFormat="false" ht="18.7" hidden="false" customHeight="true" outlineLevel="0" collapsed="false">
      <c r="A1228" s="1" t="n">
        <v>1227</v>
      </c>
      <c r="B1228" s="7" t="str">
        <f aca="false">HYPERLINK("https://mncourtfraud.com/file/27-CR-21-13144.pdf","27-CR-21-13144")</f>
        <v>27-CR-21-13144</v>
      </c>
      <c r="C1228" s="1" t="n">
        <v>1</v>
      </c>
      <c r="D1228" s="2" t="s">
        <v>12</v>
      </c>
      <c r="E1228" s="8" t="n">
        <v>44468</v>
      </c>
      <c r="F1228" s="2" t="s">
        <v>24</v>
      </c>
      <c r="G1228" s="7" t="str">
        <f aca="false">HYPERLINK("https://mncourtfraud.com/file/MCRO_27-CR-21-13144_Order for Conditional Release_2021-09-29_20251126183006.pdf","MCRO_27-CR-21-13144_Order for Conditional Release_2021-09-29_20251126183006.pdf")</f>
        <v>MCRO_27-CR-21-13144_Order for Conditional Release_2021-09-29_20251126183006.pdf</v>
      </c>
      <c r="H1228" s="7" t="str">
        <f aca="false">HYPERLINK("https://mncourtfraud.com/file/ba989ca65f54d43887ebbc930462a840e60360223cb0c16c223e7e9ed46afecb.cid","ba989ca65f54d43887ebbc930462a840e60360223cb0c16c223e7e9ed46afecb")</f>
        <v>ba989ca65f54d43887ebbc930462a840e60360223cb0c16c223e7e9ed46afecb</v>
      </c>
      <c r="I1228" s="1" t="s">
        <v>3431</v>
      </c>
      <c r="L1228" s="2" t="s">
        <v>3415</v>
      </c>
      <c r="M1228" s="2" t="n">
        <v>444</v>
      </c>
    </row>
    <row r="1229" customFormat="false" ht="18.7" hidden="false" customHeight="true" outlineLevel="0" collapsed="false">
      <c r="A1229" s="1" t="n">
        <v>1228</v>
      </c>
      <c r="B1229" s="7" t="str">
        <f aca="false">HYPERLINK("https://mncourtfraud.com/file/27-CR-21-13144.pdf","27-CR-21-13144")</f>
        <v>27-CR-21-13144</v>
      </c>
      <c r="C1229" s="1" t="n">
        <v>1</v>
      </c>
      <c r="D1229" s="2" t="s">
        <v>12</v>
      </c>
      <c r="E1229" s="8" t="n">
        <v>44468</v>
      </c>
      <c r="F1229" s="2" t="s">
        <v>24</v>
      </c>
      <c r="G1229" s="7" t="str">
        <f aca="false">HYPERLINK("https://mncourtfraud.com/file/MCRO_27-CR-21-13144_Order for Conditional Release_2021-09-29_20251126183006.pdf","MCRO_27-CR-21-13144_Order for Conditional Release_2021-09-29_20251126183006.pdf")</f>
        <v>MCRO_27-CR-21-13144_Order for Conditional Release_2021-09-29_20251126183006.pdf</v>
      </c>
      <c r="H1229" s="7" t="str">
        <f aca="false">HYPERLINK("https://mncourtfraud.com/file/db9c8118091788c7a0a30157e363f5dd281f7a35fb525fad58599ee6371079a5.cid","db9c8118091788c7a0a30157e363f5dd281f7a35fb525fad58599ee6371079a5")</f>
        <v>db9c8118091788c7a0a30157e363f5dd281f7a35fb525fad58599ee6371079a5</v>
      </c>
      <c r="I1229" s="1" t="s">
        <v>3431</v>
      </c>
      <c r="L1229" s="2" t="s">
        <v>3415</v>
      </c>
      <c r="M1229" s="2" t="n">
        <v>848</v>
      </c>
    </row>
    <row r="1230" customFormat="false" ht="18.7" hidden="false" customHeight="true" outlineLevel="0" collapsed="false">
      <c r="A1230" s="1" t="n">
        <v>1229</v>
      </c>
      <c r="B1230" s="7" t="str">
        <f aca="false">HYPERLINK("https://mncourtfraud.com/file/27-CR-21-13144.pdf","27-CR-21-13144")</f>
        <v>27-CR-21-13144</v>
      </c>
      <c r="C1230" s="1" t="n">
        <v>1</v>
      </c>
      <c r="D1230" s="2" t="s">
        <v>12</v>
      </c>
      <c r="E1230" s="8" t="n">
        <v>44468</v>
      </c>
      <c r="F1230" s="2" t="s">
        <v>24</v>
      </c>
      <c r="G1230" s="7" t="str">
        <f aca="false">HYPERLINK("https://mncourtfraud.com/file/MCRO_27-CR-21-13144_Order for Conditional Release_2021-09-29_20251126183006.pdf","MCRO_27-CR-21-13144_Order for Conditional Release_2021-09-29_20251126183006.pdf")</f>
        <v>MCRO_27-CR-21-13144_Order for Conditional Release_2021-09-29_20251126183006.pdf</v>
      </c>
      <c r="H1230" s="7" t="str">
        <f aca="false">HYPERLINK("https://mncourtfraud.com/file/e04b4db843c4bf02679b586bdc06323c2777cf59091b22718210a1dd2a0badc7.png","e04b4db843c4bf02679b586bdc06323c2777cf59091b22718210a1dd2a0badc7")</f>
        <v>e04b4db843c4bf02679b586bdc06323c2777cf59091b22718210a1dd2a0badc7</v>
      </c>
      <c r="I1230" s="1" t="s">
        <v>3406</v>
      </c>
      <c r="L1230" s="2" t="s">
        <v>3412</v>
      </c>
      <c r="M1230" s="2" t="n">
        <v>199</v>
      </c>
      <c r="S1230" s="2" t="n">
        <v>7</v>
      </c>
      <c r="T1230" s="2" t="n">
        <v>347</v>
      </c>
    </row>
    <row r="1231" customFormat="false" ht="18.7" hidden="false" customHeight="true" outlineLevel="0" collapsed="false">
      <c r="A1231" s="1" t="n">
        <v>1230</v>
      </c>
      <c r="B1231" s="7" t="str">
        <f aca="false">HYPERLINK("https://mncourtfraud.com/file/27-CR-21-13144.pdf","27-CR-21-13144")</f>
        <v>27-CR-21-13144</v>
      </c>
      <c r="C1231" s="1" t="n">
        <v>1</v>
      </c>
      <c r="D1231" s="2" t="s">
        <v>12</v>
      </c>
      <c r="E1231" s="8" t="n">
        <v>44468</v>
      </c>
      <c r="F1231" s="2" t="s">
        <v>24</v>
      </c>
      <c r="G1231" s="7" t="str">
        <f aca="false">HYPERLINK("https://mncourtfraud.com/file/MCRO_27-CR-21-13144_Order for Conditional Release_2021-09-29_20251126183006.pdf","MCRO_27-CR-21-13144_Order for Conditional Release_2021-09-29_20251126183006.pdf")</f>
        <v>MCRO_27-CR-21-13144_Order for Conditional Release_2021-09-29_20251126183006.pdf</v>
      </c>
      <c r="H1231" s="7" t="str">
        <f aca="false">HYPERLINK("https://mncourtfraud.com/file/edbae421bba147262ba26ef60780ca6dfd5bedce23be39a1f883da7c23dae35f.cid","edbae421bba147262ba26ef60780ca6dfd5bedce23be39a1f883da7c23dae35f")</f>
        <v>edbae421bba147262ba26ef60780ca6dfd5bedce23be39a1f883da7c23dae35f</v>
      </c>
      <c r="I1231" s="1" t="s">
        <v>3431</v>
      </c>
      <c r="L1231" s="2" t="s">
        <v>3415</v>
      </c>
      <c r="M1231" s="2" t="n">
        <v>21348</v>
      </c>
    </row>
    <row r="1232" customFormat="false" ht="18.7" hidden="false" customHeight="true" outlineLevel="0" collapsed="false">
      <c r="A1232" s="1" t="n">
        <v>1231</v>
      </c>
      <c r="B1232" s="7" t="str">
        <f aca="false">HYPERLINK("https://mncourtfraud.com/file/27-CR-21-13144.pdf","27-CR-21-13144")</f>
        <v>27-CR-21-13144</v>
      </c>
      <c r="C1232" s="1" t="n">
        <v>1</v>
      </c>
      <c r="D1232" s="2" t="s">
        <v>12</v>
      </c>
      <c r="E1232" s="8" t="n">
        <v>44468</v>
      </c>
      <c r="F1232" s="2" t="s">
        <v>24</v>
      </c>
      <c r="G1232" s="7" t="str">
        <f aca="false">HYPERLINK("https://mncourtfraud.com/file/MCRO_27-CR-21-13144_Order for Conditional Release_2021-09-29_20251126183006.pdf","MCRO_27-CR-21-13144_Order for Conditional Release_2021-09-29_20251126183006.pdf")</f>
        <v>MCRO_27-CR-21-13144_Order for Conditional Release_2021-09-29_20251126183006.pdf</v>
      </c>
      <c r="H1232" s="7" t="str">
        <f aca="false">HYPERLINK("https://mncourtfraud.com/file/efd944d517e9b552a77a910c5203f04540cf1249b7304a04f4907f542ec53c17.cid","efd944d517e9b552a77a910c5203f04540cf1249b7304a04f4907f542ec53c17")</f>
        <v>efd944d517e9b552a77a910c5203f04540cf1249b7304a04f4907f542ec53c17</v>
      </c>
      <c r="I1232" s="1" t="s">
        <v>3431</v>
      </c>
      <c r="L1232" s="2" t="s">
        <v>3415</v>
      </c>
      <c r="M1232" s="2" t="n">
        <v>5521</v>
      </c>
    </row>
    <row r="1233" customFormat="false" ht="18.7" hidden="false" customHeight="true" outlineLevel="0" collapsed="false">
      <c r="A1233" s="1" t="n">
        <v>1232</v>
      </c>
      <c r="B1233" s="7" t="str">
        <f aca="false">HYPERLINK("https://mncourtfraud.com/file/27-CR-21-13144.pdf","27-CR-21-13144")</f>
        <v>27-CR-21-13144</v>
      </c>
      <c r="C1233" s="1" t="n">
        <v>1</v>
      </c>
      <c r="D1233" s="2" t="s">
        <v>12</v>
      </c>
      <c r="E1233" s="8" t="n">
        <v>44468</v>
      </c>
      <c r="F1233" s="2" t="s">
        <v>24</v>
      </c>
      <c r="G1233" s="7" t="str">
        <f aca="false">HYPERLINK("https://mncourtfraud.com/file/MCRO_27-CR-21-13144_Order for Conditional Release_2021-09-29_20251126183006.pdf","MCRO_27-CR-21-13144_Order for Conditional Release_2021-09-29_20251126183006.pdf")</f>
        <v>MCRO_27-CR-21-13144_Order for Conditional Release_2021-09-29_20251126183006.pdf</v>
      </c>
      <c r="H1233" s="7" t="str">
        <f aca="false">HYPERLINK("https://mncourtfraud.com/file/fe1965a60cba51fe144ad80b55474d56106539ec2835ed039f2e68d2691deed0.cid","fe1965a60cba51fe144ad80b55474d56106539ec2835ed039f2e68d2691deed0")</f>
        <v>fe1965a60cba51fe144ad80b55474d56106539ec2835ed039f2e68d2691deed0</v>
      </c>
      <c r="I1233" s="1" t="s">
        <v>3431</v>
      </c>
      <c r="L1233" s="2" t="s">
        <v>3415</v>
      </c>
      <c r="M1233" s="2" t="n">
        <v>4323</v>
      </c>
    </row>
    <row r="1234" customFormat="false" ht="18.7" hidden="false" customHeight="true" outlineLevel="0" collapsed="false">
      <c r="A1234" s="1" t="n">
        <v>1233</v>
      </c>
      <c r="B1234" s="7" t="str">
        <f aca="false">HYPERLINK("https://mncourtfraud.com/file/27-CR-21-13144.pdf","27-CR-21-13144")</f>
        <v>27-CR-21-13144</v>
      </c>
      <c r="C1234" s="1" t="n">
        <v>1</v>
      </c>
      <c r="D1234" s="2" t="s">
        <v>12</v>
      </c>
      <c r="E1234" s="8" t="n">
        <v>44468</v>
      </c>
      <c r="F1234" s="2" t="s">
        <v>24</v>
      </c>
      <c r="G1234" s="7" t="str">
        <f aca="false">HYPERLINK("https://mncourtfraud.com/file/MCRO_27-CR-21-13144_Order for Conditional Release_2021-09-29_20251126183006.pdf","MCRO_27-CR-21-13144_Order for Conditional Release_2021-09-29_20251126183006.pdf")</f>
        <v>MCRO_27-CR-21-13144_Order for Conditional Release_2021-09-29_20251126183006.pdf</v>
      </c>
      <c r="H1234" s="7" t="str">
        <f aca="false">HYPERLINK("https://mncourtfraud.com/file/ff78f82f1ff3b9436a8d65df586b0bef19dd8fcf1b27941145ca7e723b37620b.cid","ff78f82f1ff3b9436a8d65df586b0bef19dd8fcf1b27941145ca7e723b37620b")</f>
        <v>ff78f82f1ff3b9436a8d65df586b0bef19dd8fcf1b27941145ca7e723b37620b</v>
      </c>
      <c r="I1234" s="1" t="s">
        <v>3431</v>
      </c>
      <c r="L1234" s="2" t="s">
        <v>3415</v>
      </c>
      <c r="M1234" s="2" t="n">
        <v>339</v>
      </c>
    </row>
    <row r="1235" customFormat="false" ht="18.7" hidden="false" customHeight="true" outlineLevel="0" collapsed="false">
      <c r="A1235" s="1" t="n">
        <v>1234</v>
      </c>
      <c r="B1235" s="7" t="str">
        <f aca="false">HYPERLINK("https://mncourtfraud.com/file/27-CR-21-13144.pdf","27-CR-21-13144")</f>
        <v>27-CR-21-13144</v>
      </c>
      <c r="C1235" s="1" t="n">
        <v>1</v>
      </c>
      <c r="D1235" s="2" t="s">
        <v>12</v>
      </c>
      <c r="E1235" s="8" t="n">
        <v>44543</v>
      </c>
      <c r="F1235" s="2" t="s">
        <v>15</v>
      </c>
      <c r="G1235" s="7" t="str">
        <f aca="false">HYPERLINK("https://mncourtfraud.com/file/MCRO_27-CR-21-13144_Order-Evaluation for Competency to Proceed (Rule 20.01)_2021-12-13_20251126183025.pdf","MCRO_27-CR-21-13144_Order-Evaluation for Competency to Proceed (Rule 20.01)_2021-12-13_20251126183025.pdf")</f>
        <v>MCRO_27-CR-21-13144_Order-Evaluation for Competency to Proceed (Rule 20.01)_2021-12-13_20251126183025.pdf</v>
      </c>
      <c r="H1235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1235" s="1" t="s">
        <v>3413</v>
      </c>
      <c r="J1235" s="2" t="s">
        <v>3423</v>
      </c>
      <c r="K1235" s="2" t="s">
        <v>3423</v>
      </c>
      <c r="L1235" s="2" t="s">
        <v>3415</v>
      </c>
      <c r="M1235" s="2" t="n">
        <v>11088</v>
      </c>
    </row>
    <row r="1236" customFormat="false" ht="18.7" hidden="false" customHeight="true" outlineLevel="0" collapsed="false">
      <c r="A1236" s="1" t="n">
        <v>1235</v>
      </c>
      <c r="B1236" s="7" t="str">
        <f aca="false">HYPERLINK("https://mncourtfraud.com/file/27-CR-21-13144.pdf","27-CR-21-13144")</f>
        <v>27-CR-21-13144</v>
      </c>
      <c r="C1236" s="1" t="n">
        <v>1</v>
      </c>
      <c r="D1236" s="2" t="s">
        <v>12</v>
      </c>
      <c r="E1236" s="8" t="n">
        <v>44543</v>
      </c>
      <c r="F1236" s="2" t="s">
        <v>15</v>
      </c>
      <c r="G1236" s="7" t="str">
        <f aca="false">HYPERLINK("https://mncourtfraud.com/file/MCRO_27-CR-21-13144_Order-Evaluation for Competency to Proceed (Rule 20.01)_2021-12-13_20251126183025.pdf","MCRO_27-CR-21-13144_Order-Evaluation for Competency to Proceed (Rule 20.01)_2021-12-13_20251126183025.pdf")</f>
        <v>MCRO_27-CR-21-13144_Order-Evaluation for Competency to Proceed (Rule 20.01)_2021-12-13_20251126183025.pdf</v>
      </c>
      <c r="H1236" s="7" t="str">
        <f aca="false">HYPERLINK("https://mncourtfraud.com/file/22be6394304ce5b678311fefb19c39c8cb0a49d25f23150f1efe21ad14b99c7b.ttf","22be6394304ce5b678311fefb19c39c8cb0a49d25f23150f1efe21ad14b99c7b")</f>
        <v>22be6394304ce5b678311fefb19c39c8cb0a49d25f23150f1efe21ad14b99c7b</v>
      </c>
      <c r="I1236" s="1" t="s">
        <v>3413</v>
      </c>
      <c r="J1236" s="2" t="s">
        <v>3421</v>
      </c>
      <c r="K1236" s="2" t="s">
        <v>3421</v>
      </c>
      <c r="L1236" s="2" t="s">
        <v>3415</v>
      </c>
      <c r="M1236" s="2" t="n">
        <v>117192</v>
      </c>
    </row>
    <row r="1237" customFormat="false" ht="18.7" hidden="false" customHeight="true" outlineLevel="0" collapsed="false">
      <c r="A1237" s="1" t="n">
        <v>1236</v>
      </c>
      <c r="B1237" s="7" t="str">
        <f aca="false">HYPERLINK("https://mncourtfraud.com/file/27-CR-21-13144.pdf","27-CR-21-13144")</f>
        <v>27-CR-21-13144</v>
      </c>
      <c r="C1237" s="1" t="n">
        <v>1</v>
      </c>
      <c r="D1237" s="2" t="s">
        <v>12</v>
      </c>
      <c r="E1237" s="8" t="n">
        <v>44543</v>
      </c>
      <c r="F1237" s="2" t="s">
        <v>15</v>
      </c>
      <c r="G1237" s="7" t="str">
        <f aca="false">HYPERLINK("https://mncourtfraud.com/file/MCRO_27-CR-21-13144_Order-Evaluation for Competency to Proceed (Rule 20.01)_2021-12-13_20251126183025.pdf","MCRO_27-CR-21-13144_Order-Evaluation for Competency to Proceed (Rule 20.01)_2021-12-13_20251126183025.pdf")</f>
        <v>MCRO_27-CR-21-13144_Order-Evaluation for Competency to Proceed (Rule 20.01)_2021-12-13_20251126183025.pdf</v>
      </c>
      <c r="H1237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1237" s="1" t="s">
        <v>3413</v>
      </c>
      <c r="J1237" s="2" t="s">
        <v>3424</v>
      </c>
      <c r="K1237" s="2" t="s">
        <v>3424</v>
      </c>
      <c r="L1237" s="2" t="s">
        <v>3415</v>
      </c>
      <c r="M1237" s="2" t="n">
        <v>14252</v>
      </c>
    </row>
    <row r="1238" customFormat="false" ht="18.7" hidden="false" customHeight="true" outlineLevel="0" collapsed="false">
      <c r="A1238" s="1" t="n">
        <v>1237</v>
      </c>
      <c r="B1238" s="7" t="str">
        <f aca="false">HYPERLINK("https://mncourtfraud.com/file/27-CR-21-13144.pdf","27-CR-21-13144")</f>
        <v>27-CR-21-13144</v>
      </c>
      <c r="C1238" s="1" t="n">
        <v>1</v>
      </c>
      <c r="D1238" s="2" t="s">
        <v>12</v>
      </c>
      <c r="E1238" s="8" t="n">
        <v>44543</v>
      </c>
      <c r="F1238" s="2" t="s">
        <v>15</v>
      </c>
      <c r="G1238" s="7" t="str">
        <f aca="false">HYPERLINK("https://mncourtfraud.com/file/MCRO_27-CR-21-13144_Order-Evaluation for Competency to Proceed (Rule 20.01)_2021-12-13_20251126183025.pdf","MCRO_27-CR-21-13144_Order-Evaluation for Competency to Proceed (Rule 20.01)_2021-12-13_20251126183025.pdf")</f>
        <v>MCRO_27-CR-21-13144_Order-Evaluation for Competency to Proceed (Rule 20.01)_2021-12-13_20251126183025.pdf</v>
      </c>
      <c r="H1238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238" s="1" t="s">
        <v>3406</v>
      </c>
      <c r="K1238" s="2" t="s">
        <v>3420</v>
      </c>
      <c r="L1238" s="2" t="s">
        <v>3408</v>
      </c>
      <c r="M1238" s="2" t="n">
        <v>7306</v>
      </c>
      <c r="O1238" s="2" t="s">
        <v>3409</v>
      </c>
      <c r="P1238" s="2" t="s">
        <v>3410</v>
      </c>
      <c r="S1238" s="2" t="n">
        <v>319</v>
      </c>
      <c r="T1238" s="2" t="n">
        <v>105</v>
      </c>
    </row>
    <row r="1239" customFormat="false" ht="18.7" hidden="false" customHeight="true" outlineLevel="0" collapsed="false">
      <c r="A1239" s="1" t="n">
        <v>1238</v>
      </c>
      <c r="B1239" s="7" t="str">
        <f aca="false">HYPERLINK("https://mncourtfraud.com/file/27-CR-21-13144.pdf","27-CR-21-13144")</f>
        <v>27-CR-21-13144</v>
      </c>
      <c r="C1239" s="1" t="n">
        <v>1</v>
      </c>
      <c r="D1239" s="2" t="s">
        <v>12</v>
      </c>
      <c r="E1239" s="8" t="n">
        <v>44543</v>
      </c>
      <c r="F1239" s="2" t="s">
        <v>15</v>
      </c>
      <c r="G1239" s="7" t="str">
        <f aca="false">HYPERLINK("https://mncourtfraud.com/file/MCRO_27-CR-21-13144_Order-Evaluation for Competency to Proceed (Rule 20.01)_2021-12-13_20251126183025.pdf","MCRO_27-CR-21-13144_Order-Evaluation for Competency to Proceed (Rule 20.01)_2021-12-13_20251126183025.pdf")</f>
        <v>MCRO_27-CR-21-13144_Order-Evaluation for Competency to Proceed (Rule 20.01)_2021-12-13_20251126183025.pdf</v>
      </c>
      <c r="H1239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239" s="1" t="s">
        <v>3406</v>
      </c>
      <c r="K1239" s="2" t="s">
        <v>3425</v>
      </c>
      <c r="L1239" s="2" t="s">
        <v>3408</v>
      </c>
      <c r="M1239" s="2" t="n">
        <v>21225</v>
      </c>
      <c r="O1239" s="2" t="s">
        <v>3409</v>
      </c>
      <c r="P1239" s="2" t="s">
        <v>3410</v>
      </c>
      <c r="S1239" s="2" t="n">
        <v>319</v>
      </c>
      <c r="T1239" s="2" t="n">
        <v>105</v>
      </c>
    </row>
    <row r="1240" customFormat="false" ht="18.7" hidden="false" customHeight="true" outlineLevel="0" collapsed="false">
      <c r="A1240" s="1" t="n">
        <v>1239</v>
      </c>
      <c r="B1240" s="7" t="str">
        <f aca="false">HYPERLINK("https://mncourtfraud.com/file/27-CR-21-13144.pdf","27-CR-21-13144")</f>
        <v>27-CR-21-13144</v>
      </c>
      <c r="C1240" s="1" t="n">
        <v>1</v>
      </c>
      <c r="D1240" s="2" t="s">
        <v>12</v>
      </c>
      <c r="E1240" s="8" t="n">
        <v>44543</v>
      </c>
      <c r="F1240" s="2" t="s">
        <v>15</v>
      </c>
      <c r="G1240" s="7" t="str">
        <f aca="false">HYPERLINK("https://mncourtfraud.com/file/MCRO_27-CR-21-13144_Order-Evaluation for Competency to Proceed (Rule 20.01)_2021-12-13_20251126183025.pdf","MCRO_27-CR-21-13144_Order-Evaluation for Competency to Proceed (Rule 20.01)_2021-12-13_20251126183025.pdf")</f>
        <v>MCRO_27-CR-21-13144_Order-Evaluation for Competency to Proceed (Rule 20.01)_2021-12-13_20251126183025.pdf</v>
      </c>
      <c r="H1240" s="7" t="str">
        <f aca="false">HYPERLINK("https://mncourtfraud.com/file/f942eca43ffd6bdbf3ee942fee873a73c8baea7707298295b91918b6d8b6d6ee.ttf","f942eca43ffd6bdbf3ee942fee873a73c8baea7707298295b91918b6d8b6d6ee")</f>
        <v>f942eca43ffd6bdbf3ee942fee873a73c8baea7707298295b91918b6d8b6d6ee</v>
      </c>
      <c r="I1240" s="1" t="s">
        <v>3413</v>
      </c>
      <c r="J1240" s="2" t="s">
        <v>3422</v>
      </c>
      <c r="K1240" s="2" t="s">
        <v>3422</v>
      </c>
      <c r="L1240" s="2" t="s">
        <v>3415</v>
      </c>
      <c r="M1240" s="2" t="n">
        <v>125444</v>
      </c>
    </row>
    <row r="1241" customFormat="false" ht="18.7" hidden="false" customHeight="true" outlineLevel="0" collapsed="false">
      <c r="A1241" s="1" t="n">
        <v>1240</v>
      </c>
      <c r="B1241" s="7" t="str">
        <f aca="false">HYPERLINK("https://mncourtfraud.com/file/27-CR-21-13144.pdf","27-CR-21-13144")</f>
        <v>27-CR-21-13144</v>
      </c>
      <c r="C1241" s="1" t="n">
        <v>1</v>
      </c>
      <c r="D1241" s="2" t="s">
        <v>12</v>
      </c>
      <c r="E1241" s="8" t="n">
        <v>44558</v>
      </c>
      <c r="F1241" s="2" t="s">
        <v>15</v>
      </c>
      <c r="G1241" s="7" t="str">
        <f aca="false">HYPERLINK("https://mncourtfraud.com/file/MCRO_27-CR-21-13144_Order-Evaluation for Competency to Proceed (Rule 20.01)_2021-12-28_20251126183033.pdf","MCRO_27-CR-21-13144_Order-Evaluation for Competency to Proceed (Rule 20.01)_2021-12-28_20251126183033.pdf")</f>
        <v>MCRO_27-CR-21-13144_Order-Evaluation for Competency to Proceed (Rule 20.01)_2021-12-28_20251126183033.pdf</v>
      </c>
      <c r="H1241" s="7" t="str">
        <f aca="false">HYPERLINK("https://mncourtfraud.com/file/4290796abee3c52187f1ded9d1f7c335c84d40d5df56d67f533a241f0e370490.png","4290796abee3c52187f1ded9d1f7c335c84d40d5df56d67f533a241f0e370490")</f>
        <v>4290796abee3c52187f1ded9d1f7c335c84d40d5df56d67f533a241f0e370490</v>
      </c>
      <c r="I1241" s="1" t="s">
        <v>3406</v>
      </c>
      <c r="L1241" s="2" t="s">
        <v>3412</v>
      </c>
      <c r="M1241" s="2" t="n">
        <v>98770</v>
      </c>
      <c r="S1241" s="2" t="n">
        <v>2550</v>
      </c>
      <c r="T1241" s="2" t="n">
        <v>3300</v>
      </c>
    </row>
    <row r="1242" customFormat="false" ht="18.7" hidden="false" customHeight="true" outlineLevel="0" collapsed="false">
      <c r="A1242" s="1" t="n">
        <v>1241</v>
      </c>
      <c r="B1242" s="7" t="str">
        <f aca="false">HYPERLINK("https://mncourtfraud.com/file/27-CR-21-13144.pdf","27-CR-21-13144")</f>
        <v>27-CR-21-13144</v>
      </c>
      <c r="C1242" s="1" t="n">
        <v>1</v>
      </c>
      <c r="D1242" s="2" t="s">
        <v>12</v>
      </c>
      <c r="E1242" s="8" t="n">
        <v>44558</v>
      </c>
      <c r="F1242" s="2" t="s">
        <v>15</v>
      </c>
      <c r="G1242" s="7" t="str">
        <f aca="false">HYPERLINK("https://mncourtfraud.com/file/MCRO_27-CR-21-13144_Order-Evaluation for Competency to Proceed (Rule 20.01)_2021-12-28_20251126183033.pdf","MCRO_27-CR-21-13144_Order-Evaluation for Competency to Proceed (Rule 20.01)_2021-12-28_20251126183033.pdf")</f>
        <v>MCRO_27-CR-21-13144_Order-Evaluation for Competency to Proceed (Rule 20.01)_2021-12-28_20251126183033.pdf</v>
      </c>
      <c r="H1242" s="7" t="str">
        <f aca="false">HYPERLINK("https://mncourtfraud.com/file/8bbd23dc6398d84f2fa81d3e6e7e72df87c79b5350ab82475d2ba09d14904b9d.png","8bbd23dc6398d84f2fa81d3e6e7e72df87c79b5350ab82475d2ba09d14904b9d")</f>
        <v>8bbd23dc6398d84f2fa81d3e6e7e72df87c79b5350ab82475d2ba09d14904b9d</v>
      </c>
      <c r="I1242" s="1" t="s">
        <v>3406</v>
      </c>
      <c r="L1242" s="2" t="s">
        <v>3412</v>
      </c>
      <c r="M1242" s="2" t="n">
        <v>130991</v>
      </c>
      <c r="S1242" s="2" t="n">
        <v>2550</v>
      </c>
      <c r="T1242" s="2" t="n">
        <v>3300</v>
      </c>
    </row>
    <row r="1243" customFormat="false" ht="18.7" hidden="false" customHeight="true" outlineLevel="0" collapsed="false">
      <c r="A1243" s="1" t="n">
        <v>1242</v>
      </c>
      <c r="B1243" s="7" t="str">
        <f aca="false">HYPERLINK("https://mncourtfraud.com/file/27-CR-21-13144.pdf","27-CR-21-13144")</f>
        <v>27-CR-21-13144</v>
      </c>
      <c r="C1243" s="1" t="n">
        <v>1</v>
      </c>
      <c r="D1243" s="2" t="s">
        <v>12</v>
      </c>
      <c r="E1243" s="8" t="n">
        <v>44558</v>
      </c>
      <c r="F1243" s="2" t="s">
        <v>15</v>
      </c>
      <c r="G1243" s="7" t="str">
        <f aca="false">HYPERLINK("https://mncourtfraud.com/file/MCRO_27-CR-21-13144_Order-Evaluation for Competency to Proceed (Rule 20.01)_2021-12-28_20251126183033.pdf","MCRO_27-CR-21-13144_Order-Evaluation for Competency to Proceed (Rule 20.01)_2021-12-28_20251126183033.pdf")</f>
        <v>MCRO_27-CR-21-13144_Order-Evaluation for Competency to Proceed (Rule 20.01)_2021-12-28_20251126183033.pdf</v>
      </c>
      <c r="H1243" s="7" t="str">
        <f aca="false">HYPERLINK("https://mncourtfraud.com/file/8c2e9e7d54f092e28eef5d2de6669b1b43b0ee53265a6d44f12edc4912c47b4e.ttf","8c2e9e7d54f092e28eef5d2de6669b1b43b0ee53265a6d44f12edc4912c47b4e")</f>
        <v>8c2e9e7d54f092e28eef5d2de6669b1b43b0ee53265a6d44f12edc4912c47b4e</v>
      </c>
      <c r="I1243" s="1" t="s">
        <v>3413</v>
      </c>
      <c r="L1243" s="2" t="s">
        <v>3415</v>
      </c>
      <c r="M1243" s="2" t="n">
        <v>333576</v>
      </c>
    </row>
    <row r="1244" customFormat="false" ht="18.7" hidden="false" customHeight="true" outlineLevel="0" collapsed="false">
      <c r="A1244" s="1" t="n">
        <v>1243</v>
      </c>
      <c r="B1244" s="7" t="str">
        <f aca="false">HYPERLINK("https://mncourtfraud.com/file/27-CR-21-13144.pdf","27-CR-21-13144")</f>
        <v>27-CR-21-13144</v>
      </c>
      <c r="C1244" s="1" t="n">
        <v>1</v>
      </c>
      <c r="D1244" s="2" t="s">
        <v>12</v>
      </c>
      <c r="E1244" s="8" t="n">
        <v>44558</v>
      </c>
      <c r="F1244" s="2" t="s">
        <v>15</v>
      </c>
      <c r="G1244" s="7" t="str">
        <f aca="false">HYPERLINK("https://mncourtfraud.com/file/MCRO_27-CR-21-13144_Order-Evaluation for Competency to Proceed (Rule 20.01)_2021-12-28_20251126183033.pdf","MCRO_27-CR-21-13144_Order-Evaluation for Competency to Proceed (Rule 20.01)_2021-12-28_20251126183033.pdf")</f>
        <v>MCRO_27-CR-21-13144_Order-Evaluation for Competency to Proceed (Rule 20.01)_2021-12-28_20251126183033.pdf</v>
      </c>
      <c r="H1244" s="7" t="str">
        <f aca="false">HYPERLINK("https://mncourtfraud.com/file/8e87596653375c244d45ec419ceda2d88e493d6edbfc5534bdb8c3f616a550ce.png","8e87596653375c244d45ec419ceda2d88e493d6edbfc5534bdb8c3f616a550ce")</f>
        <v>8e87596653375c244d45ec419ceda2d88e493d6edbfc5534bdb8c3f616a550ce</v>
      </c>
      <c r="I1244" s="1" t="s">
        <v>3406</v>
      </c>
      <c r="L1244" s="2" t="s">
        <v>3412</v>
      </c>
      <c r="M1244" s="2" t="n">
        <v>154068</v>
      </c>
      <c r="S1244" s="2" t="n">
        <v>2550</v>
      </c>
      <c r="T1244" s="2" t="n">
        <v>3300</v>
      </c>
    </row>
    <row r="1245" customFormat="false" ht="18.7" hidden="false" customHeight="true" outlineLevel="0" collapsed="false">
      <c r="A1245" s="1" t="n">
        <v>1244</v>
      </c>
      <c r="B1245" s="7" t="str">
        <f aca="false">HYPERLINK("https://mncourtfraud.com/file/27-CR-21-13144.pdf","27-CR-21-13144")</f>
        <v>27-CR-21-13144</v>
      </c>
      <c r="C1245" s="1" t="n">
        <v>1</v>
      </c>
      <c r="D1245" s="2" t="s">
        <v>12</v>
      </c>
      <c r="E1245" s="8" t="n">
        <v>44593</v>
      </c>
      <c r="F1245" s="2" t="s">
        <v>19</v>
      </c>
      <c r="G1245" s="7" t="str">
        <f aca="false">HYPERLINK("https://mncourtfraud.com/file/MCRO_27-CR-21-13144_Findings and Order_2022-02-01_20251126182907.pdf","MCRO_27-CR-21-13144_Findings and Order_2022-02-01_20251126182907.pdf")</f>
        <v>MCRO_27-CR-21-13144_Findings and Order_2022-02-01_20251126182907.pdf</v>
      </c>
      <c r="H1245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1245" s="1" t="s">
        <v>3413</v>
      </c>
      <c r="J1245" s="2" t="s">
        <v>3426</v>
      </c>
      <c r="K1245" s="2" t="s">
        <v>3426</v>
      </c>
      <c r="L1245" s="2" t="s">
        <v>3415</v>
      </c>
      <c r="M1245" s="2" t="n">
        <v>74997</v>
      </c>
      <c r="N1245" s="2" t="s">
        <v>3427</v>
      </c>
    </row>
    <row r="1246" customFormat="false" ht="18.7" hidden="false" customHeight="true" outlineLevel="0" collapsed="false">
      <c r="A1246" s="1" t="n">
        <v>1245</v>
      </c>
      <c r="B1246" s="7" t="str">
        <f aca="false">HYPERLINK("https://mncourtfraud.com/file/27-CR-21-13144.pdf","27-CR-21-13144")</f>
        <v>27-CR-21-13144</v>
      </c>
      <c r="C1246" s="1" t="n">
        <v>1</v>
      </c>
      <c r="D1246" s="2" t="s">
        <v>12</v>
      </c>
      <c r="E1246" s="8" t="n">
        <v>44593</v>
      </c>
      <c r="F1246" s="2" t="s">
        <v>19</v>
      </c>
      <c r="G1246" s="7" t="str">
        <f aca="false">HYPERLINK("https://mncourtfraud.com/file/MCRO_27-CR-21-13144_Findings and Order_2022-02-01_20251126182907.pdf","MCRO_27-CR-21-13144_Findings and Order_2022-02-01_20251126182907.pdf")</f>
        <v>MCRO_27-CR-21-13144_Findings and Order_2022-02-01_20251126182907.pdf</v>
      </c>
      <c r="H1246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1246" s="1" t="s">
        <v>3428</v>
      </c>
      <c r="J1246" s="2" t="s">
        <v>3429</v>
      </c>
      <c r="K1246" s="2" t="s">
        <v>3429</v>
      </c>
      <c r="L1246" s="2" t="s">
        <v>3415</v>
      </c>
      <c r="M1246" s="2" t="n">
        <v>86093</v>
      </c>
    </row>
    <row r="1247" customFormat="false" ht="18.7" hidden="false" customHeight="true" outlineLevel="0" collapsed="false">
      <c r="A1247" s="1" t="n">
        <v>1246</v>
      </c>
      <c r="B1247" s="7" t="str">
        <f aca="false">HYPERLINK("https://mncourtfraud.com/file/27-CR-21-13144.pdf","27-CR-21-13144")</f>
        <v>27-CR-21-13144</v>
      </c>
      <c r="C1247" s="1" t="n">
        <v>1</v>
      </c>
      <c r="D1247" s="2" t="s">
        <v>12</v>
      </c>
      <c r="E1247" s="8" t="n">
        <v>44593</v>
      </c>
      <c r="F1247" s="2" t="s">
        <v>19</v>
      </c>
      <c r="G1247" s="7" t="str">
        <f aca="false">HYPERLINK("https://mncourtfraud.com/file/MCRO_27-CR-21-13144_Findings and Order_2022-02-01_20251126182907.pdf","MCRO_27-CR-21-13144_Findings and Order_2022-02-01_20251126182907.pdf")</f>
        <v>MCRO_27-CR-21-13144_Findings and Order_2022-02-01_20251126182907.pdf</v>
      </c>
      <c r="H1247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1247" s="1" t="s">
        <v>3413</v>
      </c>
      <c r="J1247" s="2" t="s">
        <v>3414</v>
      </c>
      <c r="K1247" s="2" t="s">
        <v>3414</v>
      </c>
      <c r="L1247" s="2" t="s">
        <v>3415</v>
      </c>
      <c r="M1247" s="2" t="n">
        <v>42332</v>
      </c>
    </row>
    <row r="1248" customFormat="false" ht="18.7" hidden="false" customHeight="true" outlineLevel="0" collapsed="false">
      <c r="A1248" s="1" t="n">
        <v>1247</v>
      </c>
      <c r="B1248" s="7" t="str">
        <f aca="false">HYPERLINK("https://mncourtfraud.com/file/27-CR-21-13144.pdf","27-CR-21-13144")</f>
        <v>27-CR-21-13144</v>
      </c>
      <c r="C1248" s="1" t="n">
        <v>1</v>
      </c>
      <c r="D1248" s="2" t="s">
        <v>12</v>
      </c>
      <c r="E1248" s="8" t="n">
        <v>44593</v>
      </c>
      <c r="F1248" s="2" t="s">
        <v>19</v>
      </c>
      <c r="G1248" s="7" t="str">
        <f aca="false">HYPERLINK("https://mncourtfraud.com/file/MCRO_27-CR-21-13144_Findings and Order_2022-02-01_20251126182907.pdf","MCRO_27-CR-21-13144_Findings and Order_2022-02-01_20251126182907.pdf")</f>
        <v>MCRO_27-CR-21-13144_Findings and Order_2022-02-01_20251126182907.pdf</v>
      </c>
      <c r="H1248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1248" s="1" t="s">
        <v>3413</v>
      </c>
      <c r="J1248" s="2" t="s">
        <v>3414</v>
      </c>
      <c r="K1248" s="2" t="s">
        <v>3414</v>
      </c>
      <c r="L1248" s="2" t="s">
        <v>3415</v>
      </c>
      <c r="M1248" s="2" t="n">
        <v>42332</v>
      </c>
    </row>
    <row r="1249" customFormat="false" ht="18.7" hidden="false" customHeight="true" outlineLevel="0" collapsed="false">
      <c r="A1249" s="1" t="n">
        <v>1248</v>
      </c>
      <c r="B1249" s="7" t="str">
        <f aca="false">HYPERLINK("https://mncourtfraud.com/file/27-CR-21-13144.pdf","27-CR-21-13144")</f>
        <v>27-CR-21-13144</v>
      </c>
      <c r="C1249" s="1" t="n">
        <v>1</v>
      </c>
      <c r="D1249" s="2" t="s">
        <v>12</v>
      </c>
      <c r="E1249" s="8" t="n">
        <v>44593</v>
      </c>
      <c r="F1249" s="2" t="s">
        <v>19</v>
      </c>
      <c r="G1249" s="7" t="str">
        <f aca="false">HYPERLINK("https://mncourtfraud.com/file/MCRO_27-CR-21-13144_Findings and Order_2022-02-01_20251126182907.pdf","MCRO_27-CR-21-13144_Findings and Order_2022-02-01_20251126182907.pdf")</f>
        <v>MCRO_27-CR-21-13144_Findings and Order_2022-02-01_20251126182907.pdf</v>
      </c>
      <c r="H1249" s="7" t="str">
        <f aca="false">HYPERLINK("https://mncourtfraud.com/file/d1e06f7a12c8d4ae1de62861dbfeadf4f6b52b1cfd6801e548bc1d08782c1451.ttf","d1e06f7a12c8d4ae1de62861dbfeadf4f6b52b1cfd6801e548bc1d08782c1451")</f>
        <v>d1e06f7a12c8d4ae1de62861dbfeadf4f6b52b1cfd6801e548bc1d08782c1451</v>
      </c>
      <c r="I1249" s="1" t="s">
        <v>3413</v>
      </c>
      <c r="J1249" s="2" t="s">
        <v>3414</v>
      </c>
      <c r="K1249" s="2" t="s">
        <v>3416</v>
      </c>
      <c r="L1249" s="2" t="s">
        <v>3415</v>
      </c>
      <c r="M1249" s="2" t="n">
        <v>28584</v>
      </c>
    </row>
    <row r="1250" customFormat="false" ht="18.7" hidden="false" customHeight="true" outlineLevel="0" collapsed="false">
      <c r="A1250" s="1" t="n">
        <v>1249</v>
      </c>
      <c r="B1250" s="7" t="str">
        <f aca="false">HYPERLINK("https://mncourtfraud.com/file/27-CR-21-13144.pdf","27-CR-21-13144")</f>
        <v>27-CR-21-13144</v>
      </c>
      <c r="C1250" s="1" t="n">
        <v>1</v>
      </c>
      <c r="D1250" s="2" t="s">
        <v>12</v>
      </c>
      <c r="E1250" s="8" t="n">
        <v>44593</v>
      </c>
      <c r="F1250" s="2" t="s">
        <v>19</v>
      </c>
      <c r="G1250" s="7" t="str">
        <f aca="false">HYPERLINK("https://mncourtfraud.com/file/MCRO_27-CR-21-13144_Findings and Order_2022-02-01_20251126182907.pdf","MCRO_27-CR-21-13144_Findings and Order_2022-02-01_20251126182907.pdf")</f>
        <v>MCRO_27-CR-21-13144_Findings and Order_2022-02-01_20251126182907.pdf</v>
      </c>
      <c r="H1250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1250" s="1" t="s">
        <v>3406</v>
      </c>
      <c r="K1250" s="2" t="s">
        <v>3430</v>
      </c>
      <c r="L1250" s="2" t="s">
        <v>3408</v>
      </c>
      <c r="M1250" s="2" t="n">
        <v>28069</v>
      </c>
      <c r="O1250" s="2" t="s">
        <v>3409</v>
      </c>
      <c r="P1250" s="2" t="s">
        <v>3410</v>
      </c>
      <c r="S1250" s="2" t="n">
        <v>448</v>
      </c>
      <c r="T1250" s="2" t="n">
        <v>128</v>
      </c>
    </row>
    <row r="1251" customFormat="false" ht="18.7" hidden="false" customHeight="true" outlineLevel="0" collapsed="false">
      <c r="A1251" s="1" t="n">
        <v>1250</v>
      </c>
      <c r="B1251" s="7" t="str">
        <f aca="false">HYPERLINK("https://mncourtfraud.com/file/27-CR-21-13144.pdf","27-CR-21-13144")</f>
        <v>27-CR-21-13144</v>
      </c>
      <c r="C1251" s="1" t="n">
        <v>1</v>
      </c>
      <c r="D1251" s="2" t="s">
        <v>12</v>
      </c>
      <c r="E1251" s="8" t="n">
        <v>44692</v>
      </c>
      <c r="F1251" s="2" t="s">
        <v>15</v>
      </c>
      <c r="G1251" s="7" t="str">
        <f aca="false">HYPERLINK("https://mncourtfraud.com/file/MCRO_27-CR-21-13144_Order-Evaluation for Competency to Proceed (Rule 20.01)_2022-05-11_20251126183041.pdf","MCRO_27-CR-21-13144_Order-Evaluation for Competency to Proceed (Rule 20.01)_2022-05-11_20251126183041.pdf")</f>
        <v>MCRO_27-CR-21-13144_Order-Evaluation for Competency to Proceed (Rule 20.01)_2022-05-11_20251126183041.pdf</v>
      </c>
      <c r="H1251" s="7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1251" s="1" t="s">
        <v>3406</v>
      </c>
      <c r="K1251" s="2" t="s">
        <v>3432</v>
      </c>
      <c r="L1251" s="2" t="s">
        <v>3408</v>
      </c>
      <c r="M1251" s="2" t="n">
        <v>21121</v>
      </c>
      <c r="O1251" s="2" t="s">
        <v>3409</v>
      </c>
      <c r="P1251" s="2" t="s">
        <v>3410</v>
      </c>
      <c r="S1251" s="2" t="n">
        <v>695</v>
      </c>
      <c r="T1251" s="2" t="n">
        <v>233</v>
      </c>
    </row>
    <row r="1252" customFormat="false" ht="18.7" hidden="false" customHeight="true" outlineLevel="0" collapsed="false">
      <c r="A1252" s="1" t="n">
        <v>1251</v>
      </c>
      <c r="B1252" s="7" t="str">
        <f aca="false">HYPERLINK("https://mncourtfraud.com/file/27-CR-21-13144.pdf","27-CR-21-13144")</f>
        <v>27-CR-21-13144</v>
      </c>
      <c r="C1252" s="1" t="n">
        <v>1</v>
      </c>
      <c r="D1252" s="2" t="s">
        <v>12</v>
      </c>
      <c r="E1252" s="8" t="n">
        <v>44692</v>
      </c>
      <c r="F1252" s="2" t="s">
        <v>15</v>
      </c>
      <c r="G1252" s="7" t="str">
        <f aca="false">HYPERLINK("https://mncourtfraud.com/file/MCRO_27-CR-21-13144_Order-Evaluation for Competency to Proceed (Rule 20.01)_2022-05-11_20251126183041.pdf","MCRO_27-CR-21-13144_Order-Evaluation for Competency to Proceed (Rule 20.01)_2022-05-11_20251126183041.pdf")</f>
        <v>MCRO_27-CR-21-13144_Order-Evaluation for Competency to Proceed (Rule 20.01)_2022-05-11_20251126183041.pdf</v>
      </c>
      <c r="H1252" s="7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1252" s="1" t="s">
        <v>3406</v>
      </c>
      <c r="K1252" s="2" t="s">
        <v>3433</v>
      </c>
      <c r="L1252" s="2" t="s">
        <v>3408</v>
      </c>
      <c r="M1252" s="2" t="n">
        <v>53838</v>
      </c>
      <c r="O1252" s="2" t="s">
        <v>3409</v>
      </c>
      <c r="P1252" s="2" t="s">
        <v>3410</v>
      </c>
      <c r="S1252" s="2" t="n">
        <v>695</v>
      </c>
      <c r="T1252" s="2" t="n">
        <v>233</v>
      </c>
    </row>
    <row r="1253" customFormat="false" ht="18.7" hidden="false" customHeight="true" outlineLevel="0" collapsed="false">
      <c r="A1253" s="1" t="n">
        <v>1252</v>
      </c>
      <c r="B1253" s="7" t="str">
        <f aca="false">HYPERLINK("https://mncourtfraud.com/file/27-CR-21-13144.pdf","27-CR-21-13144")</f>
        <v>27-CR-21-13144</v>
      </c>
      <c r="C1253" s="1" t="n">
        <v>1</v>
      </c>
      <c r="D1253" s="2" t="s">
        <v>12</v>
      </c>
      <c r="E1253" s="8" t="n">
        <v>44692</v>
      </c>
      <c r="F1253" s="2" t="s">
        <v>15</v>
      </c>
      <c r="G1253" s="7" t="str">
        <f aca="false">HYPERLINK("https://mncourtfraud.com/file/MCRO_27-CR-21-13144_Order-Evaluation for Competency to Proceed (Rule 20.01)_2022-05-11_20251126183041.pdf","MCRO_27-CR-21-13144_Order-Evaluation for Competency to Proceed (Rule 20.01)_2022-05-11_20251126183041.pdf")</f>
        <v>MCRO_27-CR-21-13144_Order-Evaluation for Competency to Proceed (Rule 20.01)_2022-05-11_20251126183041.pdf</v>
      </c>
      <c r="H1253" s="7" t="str">
        <f aca="false">HYPERLINK("https://mncourtfraud.com/file/322fe0e9595a4df4693edf307e5f8a42a470721d59f006a7b0e86def92125a58.ttf","322fe0e9595a4df4693edf307e5f8a42a470721d59f006a7b0e86def92125a58")</f>
        <v>322fe0e9595a4df4693edf307e5f8a42a470721d59f006a7b0e86def92125a58</v>
      </c>
      <c r="I1253" s="1" t="s">
        <v>3413</v>
      </c>
      <c r="J1253" s="2" t="s">
        <v>3434</v>
      </c>
      <c r="K1253" s="2" t="s">
        <v>3434</v>
      </c>
      <c r="L1253" s="2" t="s">
        <v>3415</v>
      </c>
      <c r="M1253" s="2" t="n">
        <v>46736</v>
      </c>
      <c r="N1253" s="2" t="s">
        <v>3435</v>
      </c>
    </row>
    <row r="1254" customFormat="false" ht="18.7" hidden="false" customHeight="true" outlineLevel="0" collapsed="false">
      <c r="A1254" s="1" t="n">
        <v>1253</v>
      </c>
      <c r="B1254" s="7" t="str">
        <f aca="false">HYPERLINK("https://mncourtfraud.com/file/27-CR-21-13144.pdf","27-CR-21-13144")</f>
        <v>27-CR-21-13144</v>
      </c>
      <c r="C1254" s="1" t="n">
        <v>1</v>
      </c>
      <c r="D1254" s="2" t="s">
        <v>12</v>
      </c>
      <c r="E1254" s="8" t="n">
        <v>44692</v>
      </c>
      <c r="F1254" s="2" t="s">
        <v>15</v>
      </c>
      <c r="G1254" s="7" t="str">
        <f aca="false">HYPERLINK("https://mncourtfraud.com/file/MCRO_27-CR-21-13144_Order-Evaluation for Competency to Proceed (Rule 20.01)_2022-05-11_20251126183041.pdf","MCRO_27-CR-21-13144_Order-Evaluation for Competency to Proceed (Rule 20.01)_2022-05-11_20251126183041.pdf")</f>
        <v>MCRO_27-CR-21-13144_Order-Evaluation for Competency to Proceed (Rule 20.01)_2022-05-11_20251126183041.pdf</v>
      </c>
      <c r="H1254" s="7" t="str">
        <f aca="false">HYPERLINK("https://mncourtfraud.com/file/32ebada21768d6238e03c647b5e5acdf6ce656f0735d59c3fb698ce40418a709.ttf","32ebada21768d6238e03c647b5e5acdf6ce656f0735d59c3fb698ce40418a709")</f>
        <v>32ebada21768d6238e03c647b5e5acdf6ce656f0735d59c3fb698ce40418a709</v>
      </c>
      <c r="I1254" s="1" t="s">
        <v>3413</v>
      </c>
      <c r="J1254" s="2" t="s">
        <v>3436</v>
      </c>
      <c r="K1254" s="2" t="s">
        <v>3436</v>
      </c>
      <c r="L1254" s="2" t="s">
        <v>3415</v>
      </c>
      <c r="M1254" s="2" t="n">
        <v>65744</v>
      </c>
      <c r="N1254" s="2" t="s">
        <v>3437</v>
      </c>
    </row>
    <row r="1255" customFormat="false" ht="18.7" hidden="false" customHeight="true" outlineLevel="0" collapsed="false">
      <c r="A1255" s="1" t="n">
        <v>1254</v>
      </c>
      <c r="B1255" s="7" t="str">
        <f aca="false">HYPERLINK("https://mncourtfraud.com/file/27-CR-21-13144.pdf","27-CR-21-13144")</f>
        <v>27-CR-21-13144</v>
      </c>
      <c r="C1255" s="1" t="n">
        <v>1</v>
      </c>
      <c r="D1255" s="2" t="s">
        <v>12</v>
      </c>
      <c r="E1255" s="8" t="n">
        <v>44692</v>
      </c>
      <c r="F1255" s="2" t="s">
        <v>15</v>
      </c>
      <c r="G1255" s="7" t="str">
        <f aca="false">HYPERLINK("https://mncourtfraud.com/file/MCRO_27-CR-21-13144_Order-Evaluation for Competency to Proceed (Rule 20.01)_2022-05-11_20251126183041.pdf","MCRO_27-CR-21-13144_Order-Evaluation for Competency to Proceed (Rule 20.01)_2022-05-11_20251126183041.pdf")</f>
        <v>MCRO_27-CR-21-13144_Order-Evaluation for Competency to Proceed (Rule 20.01)_2022-05-11_20251126183041.pdf</v>
      </c>
      <c r="H1255" s="7" t="str">
        <f aca="false">HYPERLINK("https://mncourtfraud.com/file/694dcb82a5515430b7fddfbf16881b942820c8c41fee3eea3505a20c7d4e41e6.ttf","694dcb82a5515430b7fddfbf16881b942820c8c41fee3eea3505a20c7d4e41e6")</f>
        <v>694dcb82a5515430b7fddfbf16881b942820c8c41fee3eea3505a20c7d4e41e6</v>
      </c>
      <c r="I1255" s="1" t="s">
        <v>3413</v>
      </c>
      <c r="J1255" s="2" t="s">
        <v>3438</v>
      </c>
      <c r="K1255" s="2" t="s">
        <v>3438</v>
      </c>
      <c r="L1255" s="2" t="s">
        <v>3415</v>
      </c>
      <c r="M1255" s="2" t="n">
        <v>72828</v>
      </c>
      <c r="N1255" s="2" t="s">
        <v>3439</v>
      </c>
    </row>
    <row r="1256" customFormat="false" ht="18.7" hidden="false" customHeight="true" outlineLevel="0" collapsed="false">
      <c r="A1256" s="1" t="n">
        <v>1255</v>
      </c>
      <c r="B1256" s="7" t="str">
        <f aca="false">HYPERLINK("https://mncourtfraud.com/file/27-CR-21-13144.pdf","27-CR-21-13144")</f>
        <v>27-CR-21-13144</v>
      </c>
      <c r="C1256" s="1" t="n">
        <v>1</v>
      </c>
      <c r="D1256" s="2" t="s">
        <v>12</v>
      </c>
      <c r="E1256" s="8" t="n">
        <v>44692</v>
      </c>
      <c r="F1256" s="2" t="s">
        <v>15</v>
      </c>
      <c r="G1256" s="7" t="str">
        <f aca="false">HYPERLINK("https://mncourtfraud.com/file/MCRO_27-CR-21-13144_Order-Evaluation for Competency to Proceed (Rule 20.01)_2022-05-11_20251126183041.pdf","MCRO_27-CR-21-13144_Order-Evaluation for Competency to Proceed (Rule 20.01)_2022-05-11_20251126183041.pdf")</f>
        <v>MCRO_27-CR-21-13144_Order-Evaluation for Competency to Proceed (Rule 20.01)_2022-05-11_20251126183041.pdf</v>
      </c>
      <c r="H1256" s="7" t="str">
        <f aca="false">HYPERLINK("https://mncourtfraud.com/file/87764021d6d62f7c396208d3f1fa8113e5ad5f90bd03c35e7200536389af4e6a.ttf","87764021d6d62f7c396208d3f1fa8113e5ad5f90bd03c35e7200536389af4e6a")</f>
        <v>87764021d6d62f7c396208d3f1fa8113e5ad5f90bd03c35e7200536389af4e6a</v>
      </c>
      <c r="I1256" s="1" t="s">
        <v>3413</v>
      </c>
      <c r="J1256" s="2" t="s">
        <v>3440</v>
      </c>
      <c r="K1256" s="2" t="s">
        <v>3440</v>
      </c>
      <c r="L1256" s="2" t="s">
        <v>3415</v>
      </c>
      <c r="M1256" s="2" t="n">
        <v>6280</v>
      </c>
      <c r="N1256" s="2" t="s">
        <v>3441</v>
      </c>
    </row>
    <row r="1257" customFormat="false" ht="18.7" hidden="false" customHeight="true" outlineLevel="0" collapsed="false">
      <c r="A1257" s="1" t="n">
        <v>1256</v>
      </c>
      <c r="B1257" s="7" t="str">
        <f aca="false">HYPERLINK("https://mncourtfraud.com/file/27-CR-21-13144.pdf","27-CR-21-13144")</f>
        <v>27-CR-21-13144</v>
      </c>
      <c r="C1257" s="1" t="n">
        <v>1</v>
      </c>
      <c r="D1257" s="2" t="s">
        <v>12</v>
      </c>
      <c r="E1257" s="8" t="n">
        <v>44692</v>
      </c>
      <c r="F1257" s="2" t="s">
        <v>15</v>
      </c>
      <c r="G1257" s="7" t="str">
        <f aca="false">HYPERLINK("https://mncourtfraud.com/file/MCRO_27-CR-21-13144_Order-Evaluation for Competency to Proceed (Rule 20.01)_2022-05-11_20251126183041.pdf","MCRO_27-CR-21-13144_Order-Evaluation for Competency to Proceed (Rule 20.01)_2022-05-11_20251126183041.pdf")</f>
        <v>MCRO_27-CR-21-13144_Order-Evaluation for Competency to Proceed (Rule 20.01)_2022-05-11_20251126183041.pdf</v>
      </c>
      <c r="H1257" s="7" t="str">
        <f aca="false">HYPERLINK("https://mncourtfraud.com/file/a1ad71f465be26cf6bb430c59ae6133d3c381ada339ba3c6b2eadf32a9b4096b.ttf","a1ad71f465be26cf6bb430c59ae6133d3c381ada339ba3c6b2eadf32a9b4096b")</f>
        <v>a1ad71f465be26cf6bb430c59ae6133d3c381ada339ba3c6b2eadf32a9b4096b</v>
      </c>
      <c r="I1257" s="1" t="s">
        <v>3413</v>
      </c>
      <c r="J1257" s="2" t="s">
        <v>3442</v>
      </c>
      <c r="K1257" s="2" t="s">
        <v>3442</v>
      </c>
      <c r="L1257" s="2" t="s">
        <v>3415</v>
      </c>
      <c r="M1257" s="2" t="n">
        <v>5988</v>
      </c>
      <c r="N1257" s="2" t="s">
        <v>3443</v>
      </c>
    </row>
    <row r="1258" customFormat="false" ht="18.7" hidden="false" customHeight="true" outlineLevel="0" collapsed="false">
      <c r="A1258" s="1" t="n">
        <v>1257</v>
      </c>
      <c r="B1258" s="7" t="str">
        <f aca="false">HYPERLINK("https://mncourtfraud.com/file/27-CR-21-13144.pdf","27-CR-21-13144")</f>
        <v>27-CR-21-13144</v>
      </c>
      <c r="C1258" s="1" t="n">
        <v>1</v>
      </c>
      <c r="D1258" s="2" t="s">
        <v>12</v>
      </c>
      <c r="E1258" s="8" t="n">
        <v>44692</v>
      </c>
      <c r="F1258" s="2" t="s">
        <v>15</v>
      </c>
      <c r="G1258" s="7" t="str">
        <f aca="false">HYPERLINK("https://mncourtfraud.com/file/MCRO_27-CR-21-13144_Order-Evaluation for Competency to Proceed (Rule 20.01)_2022-05-11_20251126183041.pdf","MCRO_27-CR-21-13144_Order-Evaluation for Competency to Proceed (Rule 20.01)_2022-05-11_20251126183041.pdf")</f>
        <v>MCRO_27-CR-21-13144_Order-Evaluation for Competency to Proceed (Rule 20.01)_2022-05-11_20251126183041.pdf</v>
      </c>
      <c r="H1258" s="7" t="str">
        <f aca="false">HYPERLINK("https://mncourtfraud.com/file/e1befe23dc5d05be4c8e965e6fc9e74e95400600e0da0c86dd389645355f3ad1.ttf","e1befe23dc5d05be4c8e965e6fc9e74e95400600e0da0c86dd389645355f3ad1")</f>
        <v>e1befe23dc5d05be4c8e965e6fc9e74e95400600e0da0c86dd389645355f3ad1</v>
      </c>
      <c r="I1258" s="1" t="s">
        <v>3413</v>
      </c>
      <c r="J1258" s="2" t="s">
        <v>3444</v>
      </c>
      <c r="K1258" s="2" t="s">
        <v>3444</v>
      </c>
      <c r="L1258" s="2" t="s">
        <v>3415</v>
      </c>
      <c r="M1258" s="2" t="n">
        <v>94308</v>
      </c>
      <c r="N1258" s="2" t="s">
        <v>3445</v>
      </c>
    </row>
    <row r="1259" customFormat="false" ht="18.7" hidden="false" customHeight="true" outlineLevel="0" collapsed="false">
      <c r="A1259" s="1" t="n">
        <v>1258</v>
      </c>
      <c r="B1259" s="7" t="str">
        <f aca="false">HYPERLINK("https://mncourtfraud.com/file/27-CR-21-13144.pdf","27-CR-21-13144")</f>
        <v>27-CR-21-13144</v>
      </c>
      <c r="C1259" s="1" t="n">
        <v>1</v>
      </c>
      <c r="D1259" s="2" t="s">
        <v>12</v>
      </c>
      <c r="E1259" s="8" t="n">
        <v>44895</v>
      </c>
      <c r="F1259" s="2" t="s">
        <v>15</v>
      </c>
      <c r="G1259" s="7" t="str">
        <f aca="false">HYPERLINK("https://mncourtfraud.com/file/MCRO_27-CR-21-13144_Order-Evaluation for Competency to Proceed (Rule 20.01)_2022-11-30_20251126183049.pdf","MCRO_27-CR-21-13144_Order-Evaluation for Competency to Proceed (Rule 20.01)_2022-11-30_20251126183049.pdf")</f>
        <v>MCRO_27-CR-21-13144_Order-Evaluation for Competency to Proceed (Rule 20.01)_2022-11-30_20251126183049.pdf</v>
      </c>
      <c r="H1259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1259" s="1" t="s">
        <v>3413</v>
      </c>
      <c r="J1259" s="2" t="s">
        <v>3423</v>
      </c>
      <c r="K1259" s="2" t="s">
        <v>3423</v>
      </c>
      <c r="L1259" s="2" t="s">
        <v>3415</v>
      </c>
      <c r="M1259" s="2" t="n">
        <v>11088</v>
      </c>
    </row>
    <row r="1260" customFormat="false" ht="18.7" hidden="false" customHeight="true" outlineLevel="0" collapsed="false">
      <c r="A1260" s="1" t="n">
        <v>1259</v>
      </c>
      <c r="B1260" s="7" t="str">
        <f aca="false">HYPERLINK("https://mncourtfraud.com/file/27-CR-21-13144.pdf","27-CR-21-13144")</f>
        <v>27-CR-21-13144</v>
      </c>
      <c r="C1260" s="1" t="n">
        <v>1</v>
      </c>
      <c r="D1260" s="2" t="s">
        <v>12</v>
      </c>
      <c r="E1260" s="8" t="n">
        <v>44895</v>
      </c>
      <c r="F1260" s="2" t="s">
        <v>15</v>
      </c>
      <c r="G1260" s="7" t="str">
        <f aca="false">HYPERLINK("https://mncourtfraud.com/file/MCRO_27-CR-21-13144_Order-Evaluation for Competency to Proceed (Rule 20.01)_2022-11-30_20251126183049.pdf","MCRO_27-CR-21-13144_Order-Evaluation for Competency to Proceed (Rule 20.01)_2022-11-30_20251126183049.pdf")</f>
        <v>MCRO_27-CR-21-13144_Order-Evaluation for Competency to Proceed (Rule 20.01)_2022-11-30_20251126183049.pdf</v>
      </c>
      <c r="H1260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1260" s="1" t="s">
        <v>3413</v>
      </c>
      <c r="J1260" s="2" t="s">
        <v>3446</v>
      </c>
      <c r="K1260" s="2" t="s">
        <v>3446</v>
      </c>
      <c r="L1260" s="2" t="s">
        <v>3415</v>
      </c>
      <c r="M1260" s="2" t="n">
        <v>55072</v>
      </c>
      <c r="N1260" s="2" t="s">
        <v>3447</v>
      </c>
    </row>
    <row r="1261" customFormat="false" ht="18.7" hidden="false" customHeight="true" outlineLevel="0" collapsed="false">
      <c r="A1261" s="1" t="n">
        <v>1260</v>
      </c>
      <c r="B1261" s="7" t="str">
        <f aca="false">HYPERLINK("https://mncourtfraud.com/file/27-CR-21-13144.pdf","27-CR-21-13144")</f>
        <v>27-CR-21-13144</v>
      </c>
      <c r="C1261" s="1" t="n">
        <v>1</v>
      </c>
      <c r="D1261" s="2" t="s">
        <v>12</v>
      </c>
      <c r="E1261" s="8" t="n">
        <v>44895</v>
      </c>
      <c r="F1261" s="2" t="s">
        <v>15</v>
      </c>
      <c r="G1261" s="7" t="str">
        <f aca="false">HYPERLINK("https://mncourtfraud.com/file/MCRO_27-CR-21-13144_Order-Evaluation for Competency to Proceed (Rule 20.01)_2022-11-30_20251126183049.pdf","MCRO_27-CR-21-13144_Order-Evaluation for Competency to Proceed (Rule 20.01)_2022-11-30_20251126183049.pdf")</f>
        <v>MCRO_27-CR-21-13144_Order-Evaluation for Competency to Proceed (Rule 20.01)_2022-11-30_20251126183049.pdf</v>
      </c>
      <c r="H1261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1261" s="1" t="s">
        <v>3413</v>
      </c>
      <c r="J1261" s="2" t="s">
        <v>3424</v>
      </c>
      <c r="K1261" s="2" t="s">
        <v>3424</v>
      </c>
      <c r="L1261" s="2" t="s">
        <v>3415</v>
      </c>
      <c r="M1261" s="2" t="n">
        <v>14252</v>
      </c>
    </row>
    <row r="1262" customFormat="false" ht="18.7" hidden="false" customHeight="true" outlineLevel="0" collapsed="false">
      <c r="A1262" s="1" t="n">
        <v>1261</v>
      </c>
      <c r="B1262" s="7" t="str">
        <f aca="false">HYPERLINK("https://mncourtfraud.com/file/27-CR-21-13144.pdf","27-CR-21-13144")</f>
        <v>27-CR-21-13144</v>
      </c>
      <c r="C1262" s="1" t="n">
        <v>1</v>
      </c>
      <c r="D1262" s="2" t="s">
        <v>12</v>
      </c>
      <c r="E1262" s="8" t="n">
        <v>44895</v>
      </c>
      <c r="F1262" s="2" t="s">
        <v>15</v>
      </c>
      <c r="G1262" s="7" t="str">
        <f aca="false">HYPERLINK("https://mncourtfraud.com/file/MCRO_27-CR-21-13144_Order-Evaluation for Competency to Proceed (Rule 20.01)_2022-11-30_20251126183049.pdf","MCRO_27-CR-21-13144_Order-Evaluation for Competency to Proceed (Rule 20.01)_2022-11-30_20251126183049.pdf")</f>
        <v>MCRO_27-CR-21-13144_Order-Evaluation for Competency to Proceed (Rule 20.01)_2022-11-30_20251126183049.pdf</v>
      </c>
      <c r="H1262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262" s="1" t="s">
        <v>3406</v>
      </c>
      <c r="K1262" s="2" t="s">
        <v>3420</v>
      </c>
      <c r="L1262" s="2" t="s">
        <v>3408</v>
      </c>
      <c r="M1262" s="2" t="n">
        <v>7306</v>
      </c>
      <c r="O1262" s="2" t="s">
        <v>3409</v>
      </c>
      <c r="P1262" s="2" t="s">
        <v>3410</v>
      </c>
      <c r="S1262" s="2" t="n">
        <v>319</v>
      </c>
      <c r="T1262" s="2" t="n">
        <v>105</v>
      </c>
    </row>
    <row r="1263" customFormat="false" ht="18.7" hidden="false" customHeight="true" outlineLevel="0" collapsed="false">
      <c r="A1263" s="1" t="n">
        <v>1262</v>
      </c>
      <c r="B1263" s="7" t="str">
        <f aca="false">HYPERLINK("https://mncourtfraud.com/file/27-CR-21-13144.pdf","27-CR-21-13144")</f>
        <v>27-CR-21-13144</v>
      </c>
      <c r="C1263" s="1" t="n">
        <v>1</v>
      </c>
      <c r="D1263" s="2" t="s">
        <v>12</v>
      </c>
      <c r="E1263" s="8" t="n">
        <v>44895</v>
      </c>
      <c r="F1263" s="2" t="s">
        <v>15</v>
      </c>
      <c r="G1263" s="7" t="str">
        <f aca="false">HYPERLINK("https://mncourtfraud.com/file/MCRO_27-CR-21-13144_Order-Evaluation for Competency to Proceed (Rule 20.01)_2022-11-30_20251126183049.pdf","MCRO_27-CR-21-13144_Order-Evaluation for Competency to Proceed (Rule 20.01)_2022-11-30_20251126183049.pdf")</f>
        <v>MCRO_27-CR-21-13144_Order-Evaluation for Competency to Proceed (Rule 20.01)_2022-11-30_20251126183049.pdf</v>
      </c>
      <c r="H1263" s="7" t="str">
        <f aca="false">HYPERLINK("https://mncourtfraud.com/file/677e52a3b8403ce87e338b0a2e31e6f8e5ddf03fb0ca7043a341135cf0255eaa.ttf","677e52a3b8403ce87e338b0a2e31e6f8e5ddf03fb0ca7043a341135cf0255eaa")</f>
        <v>677e52a3b8403ce87e338b0a2e31e6f8e5ddf03fb0ca7043a341135cf0255eaa</v>
      </c>
      <c r="I1263" s="1" t="s">
        <v>3413</v>
      </c>
      <c r="J1263" s="2" t="s">
        <v>3422</v>
      </c>
      <c r="K1263" s="2" t="s">
        <v>3422</v>
      </c>
      <c r="L1263" s="2" t="s">
        <v>3415</v>
      </c>
      <c r="M1263" s="2" t="n">
        <v>149960</v>
      </c>
    </row>
    <row r="1264" customFormat="false" ht="18.7" hidden="false" customHeight="true" outlineLevel="0" collapsed="false">
      <c r="A1264" s="1" t="n">
        <v>1263</v>
      </c>
      <c r="B1264" s="7" t="str">
        <f aca="false">HYPERLINK("https://mncourtfraud.com/file/27-CR-21-13144.pdf","27-CR-21-13144")</f>
        <v>27-CR-21-13144</v>
      </c>
      <c r="C1264" s="1" t="n">
        <v>1</v>
      </c>
      <c r="D1264" s="2" t="s">
        <v>12</v>
      </c>
      <c r="E1264" s="8" t="n">
        <v>44895</v>
      </c>
      <c r="F1264" s="2" t="s">
        <v>15</v>
      </c>
      <c r="G1264" s="7" t="str">
        <f aca="false">HYPERLINK("https://mncourtfraud.com/file/MCRO_27-CR-21-13144_Order-Evaluation for Competency to Proceed (Rule 20.01)_2022-11-30_20251126183049.pdf","MCRO_27-CR-21-13144_Order-Evaluation for Competency to Proceed (Rule 20.01)_2022-11-30_20251126183049.pdf")</f>
        <v>MCRO_27-CR-21-13144_Order-Evaluation for Competency to Proceed (Rule 20.01)_2022-11-30_20251126183049.pdf</v>
      </c>
      <c r="H1264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1264" s="1" t="s">
        <v>3413</v>
      </c>
      <c r="J1264" s="2" t="s">
        <v>3448</v>
      </c>
      <c r="K1264" s="2" t="s">
        <v>3448</v>
      </c>
      <c r="L1264" s="2" t="s">
        <v>3415</v>
      </c>
      <c r="M1264" s="2" t="n">
        <v>916684</v>
      </c>
    </row>
    <row r="1265" customFormat="false" ht="18.7" hidden="false" customHeight="true" outlineLevel="0" collapsed="false">
      <c r="A1265" s="1" t="n">
        <v>1264</v>
      </c>
      <c r="B1265" s="7" t="str">
        <f aca="false">HYPERLINK("https://mncourtfraud.com/file/27-CR-21-13144.pdf","27-CR-21-13144")</f>
        <v>27-CR-21-13144</v>
      </c>
      <c r="C1265" s="1" t="n">
        <v>1</v>
      </c>
      <c r="D1265" s="2" t="s">
        <v>12</v>
      </c>
      <c r="E1265" s="8" t="n">
        <v>44895</v>
      </c>
      <c r="F1265" s="2" t="s">
        <v>15</v>
      </c>
      <c r="G1265" s="7" t="str">
        <f aca="false">HYPERLINK("https://mncourtfraud.com/file/MCRO_27-CR-21-13144_Order-Evaluation for Competency to Proceed (Rule 20.01)_2022-11-30_20251126183049.pdf","MCRO_27-CR-21-13144_Order-Evaluation for Competency to Proceed (Rule 20.01)_2022-11-30_20251126183049.pdf")</f>
        <v>MCRO_27-CR-21-13144_Order-Evaluation for Competency to Proceed (Rule 20.01)_2022-11-30_20251126183049.pdf</v>
      </c>
      <c r="H1265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265" s="1" t="s">
        <v>3406</v>
      </c>
      <c r="K1265" s="2" t="s">
        <v>3425</v>
      </c>
      <c r="L1265" s="2" t="s">
        <v>3408</v>
      </c>
      <c r="M1265" s="2" t="n">
        <v>21225</v>
      </c>
      <c r="O1265" s="2" t="s">
        <v>3409</v>
      </c>
      <c r="P1265" s="2" t="s">
        <v>3410</v>
      </c>
      <c r="S1265" s="2" t="n">
        <v>319</v>
      </c>
      <c r="T1265" s="2" t="n">
        <v>105</v>
      </c>
    </row>
    <row r="1266" customFormat="false" ht="18.7" hidden="false" customHeight="true" outlineLevel="0" collapsed="false">
      <c r="A1266" s="1" t="n">
        <v>1265</v>
      </c>
      <c r="B1266" s="7" t="str">
        <f aca="false">HYPERLINK("https://mncourtfraud.com/file/27-CR-21-13144.pdf","27-CR-21-13144")</f>
        <v>27-CR-21-13144</v>
      </c>
      <c r="C1266" s="1" t="n">
        <v>1</v>
      </c>
      <c r="D1266" s="2" t="s">
        <v>12</v>
      </c>
      <c r="E1266" s="8" t="n">
        <v>44895</v>
      </c>
      <c r="F1266" s="2" t="s">
        <v>15</v>
      </c>
      <c r="G1266" s="7" t="str">
        <f aca="false">HYPERLINK("https://mncourtfraud.com/file/MCRO_27-CR-21-13144_Order-Evaluation for Competency to Proceed (Rule 20.01)_2022-11-30_20251126183049.pdf","MCRO_27-CR-21-13144_Order-Evaluation for Competency to Proceed (Rule 20.01)_2022-11-30_20251126183049.pdf")</f>
        <v>MCRO_27-CR-21-13144_Order-Evaluation for Competency to Proceed (Rule 20.01)_2022-11-30_20251126183049.pdf</v>
      </c>
      <c r="H1266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1266" s="1" t="s">
        <v>3413</v>
      </c>
      <c r="J1266" s="2" t="s">
        <v>3449</v>
      </c>
      <c r="K1266" s="2" t="s">
        <v>3449</v>
      </c>
      <c r="L1266" s="2" t="s">
        <v>3415</v>
      </c>
      <c r="M1266" s="2" t="n">
        <v>124664</v>
      </c>
    </row>
    <row r="1267" customFormat="false" ht="18.7" hidden="false" customHeight="true" outlineLevel="0" collapsed="false">
      <c r="A1267" s="1" t="n">
        <v>1266</v>
      </c>
      <c r="B1267" s="7" t="str">
        <f aca="false">HYPERLINK("https://mncourtfraud.com/file/27-CR-21-13144.pdf","27-CR-21-13144")</f>
        <v>27-CR-21-13144</v>
      </c>
      <c r="C1267" s="1" t="n">
        <v>1</v>
      </c>
      <c r="D1267" s="2" t="s">
        <v>12</v>
      </c>
      <c r="E1267" s="8" t="n">
        <v>44895</v>
      </c>
      <c r="F1267" s="2" t="s">
        <v>15</v>
      </c>
      <c r="G1267" s="7" t="str">
        <f aca="false">HYPERLINK("https://mncourtfraud.com/file/MCRO_27-CR-21-13144_Order-Evaluation for Competency to Proceed (Rule 20.01)_2022-11-30_20251126183049.pdf","MCRO_27-CR-21-13144_Order-Evaluation for Competency to Proceed (Rule 20.01)_2022-11-30_20251126183049.pdf")</f>
        <v>MCRO_27-CR-21-13144_Order-Evaluation for Competency to Proceed (Rule 20.01)_2022-11-30_20251126183049.pdf</v>
      </c>
      <c r="H1267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1267" s="1" t="s">
        <v>3413</v>
      </c>
      <c r="J1267" s="2" t="s">
        <v>3449</v>
      </c>
      <c r="K1267" s="2" t="s">
        <v>3449</v>
      </c>
      <c r="L1267" s="2" t="s">
        <v>3415</v>
      </c>
      <c r="M1267" s="2" t="n">
        <v>124664</v>
      </c>
    </row>
    <row r="1268" customFormat="false" ht="18.7" hidden="false" customHeight="true" outlineLevel="0" collapsed="false">
      <c r="A1268" s="1" t="n">
        <v>1267</v>
      </c>
      <c r="B1268" s="7" t="str">
        <f aca="false">HYPERLINK("https://mncourtfraud.com/file/27-CR-21-13144.pdf","27-CR-21-13144")</f>
        <v>27-CR-21-13144</v>
      </c>
      <c r="C1268" s="1" t="n">
        <v>1</v>
      </c>
      <c r="D1268" s="2" t="s">
        <v>12</v>
      </c>
      <c r="E1268" s="8" t="n">
        <v>44999</v>
      </c>
      <c r="F1268" s="2" t="s">
        <v>17</v>
      </c>
      <c r="G1268" s="7" t="str">
        <f aca="false">HYPERLINK("https://mncourtfraud.com/file/MCRO_27-CR-21-13144_Returned Mail_2023-03-14_20251126183118.pdf","MCRO_27-CR-21-13144_Returned Mail_2023-03-14_20251126183118.pdf")</f>
        <v>MCRO_27-CR-21-13144_Returned Mail_2023-03-14_20251126183118.pdf</v>
      </c>
      <c r="H1268" s="7" t="str">
        <f aca="false">HYPERLINK("https://mncourtfraud.com/file/5b90c17f2ad185fb4d59bf203ab827f3f2125a86d3674877de699ab9caa7e335.ttf","5b90c17f2ad185fb4d59bf203ab827f3f2125a86d3674877de699ab9caa7e335")</f>
        <v>5b90c17f2ad185fb4d59bf203ab827f3f2125a86d3674877de699ab9caa7e335</v>
      </c>
      <c r="I1268" s="1" t="s">
        <v>3413</v>
      </c>
      <c r="L1268" s="2" t="s">
        <v>3415</v>
      </c>
      <c r="M1268" s="2" t="n">
        <v>333576</v>
      </c>
    </row>
    <row r="1269" customFormat="false" ht="18.7" hidden="false" customHeight="true" outlineLevel="0" collapsed="false">
      <c r="A1269" s="1" t="n">
        <v>1268</v>
      </c>
      <c r="B1269" s="7" t="str">
        <f aca="false">HYPERLINK("https://mncourtfraud.com/file/27-CR-21-13144.pdf","27-CR-21-13144")</f>
        <v>27-CR-21-13144</v>
      </c>
      <c r="C1269" s="1" t="n">
        <v>1</v>
      </c>
      <c r="D1269" s="2" t="s">
        <v>12</v>
      </c>
      <c r="E1269" s="8" t="n">
        <v>44999</v>
      </c>
      <c r="F1269" s="2" t="s">
        <v>17</v>
      </c>
      <c r="G1269" s="7" t="str">
        <f aca="false">HYPERLINK("https://mncourtfraud.com/file/MCRO_27-CR-21-13144_Returned Mail_2023-03-14_20251126183118.pdf","MCRO_27-CR-21-13144_Returned Mail_2023-03-14_20251126183118.pdf")</f>
        <v>MCRO_27-CR-21-13144_Returned Mail_2023-03-14_20251126183118.pdf</v>
      </c>
      <c r="H1269" s="7" t="str">
        <f aca="false">HYPERLINK("https://mncourtfraud.com/file/67f805871a56a303b1180ac091072fde3b812bcceb20e89d7b974754eff51d43.jpg","67f805871a56a303b1180ac091072fde3b812bcceb20e89d7b974754eff51d43")</f>
        <v>67f805871a56a303b1180ac091072fde3b812bcceb20e89d7b974754eff51d43</v>
      </c>
      <c r="I1269" s="1" t="s">
        <v>3417</v>
      </c>
      <c r="L1269" s="2" t="s">
        <v>3419</v>
      </c>
      <c r="M1269" s="2" t="n">
        <v>258474</v>
      </c>
      <c r="S1269" s="2" t="n">
        <v>3300</v>
      </c>
      <c r="T1269" s="2" t="n">
        <v>2550</v>
      </c>
    </row>
    <row r="1270" customFormat="false" ht="18.7" hidden="false" customHeight="true" outlineLevel="0" collapsed="false">
      <c r="A1270" s="1" t="n">
        <v>1269</v>
      </c>
      <c r="B1270" s="7" t="str">
        <f aca="false">HYPERLINK("https://mncourtfraud.com/file/27-CR-21-13144.pdf","27-CR-21-13144")</f>
        <v>27-CR-21-13144</v>
      </c>
      <c r="C1270" s="1" t="n">
        <v>1</v>
      </c>
      <c r="D1270" s="2" t="s">
        <v>12</v>
      </c>
      <c r="E1270" s="8" t="n">
        <v>45048</v>
      </c>
      <c r="F1270" s="2" t="s">
        <v>80</v>
      </c>
      <c r="G1270" s="7" t="str">
        <f aca="false">HYPERLINK("https://mncourtfraud.com/file/MCRO_27-CR-21-13144_Finding of Incompetency and Order_2023-05-02_20251126182855.pdf","MCRO_27-CR-21-13144_Finding of Incompetency and Order_2023-05-02_20251126182855.pdf")</f>
        <v>MCRO_27-CR-21-13144_Finding of Incompetency and Order_2023-05-02_20251126182855.pdf</v>
      </c>
      <c r="H1270" s="7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1270" s="1" t="s">
        <v>3406</v>
      </c>
      <c r="L1270" s="2" t="s">
        <v>3412</v>
      </c>
      <c r="M1270" s="2" t="n">
        <v>3506</v>
      </c>
      <c r="S1270" s="2" t="n">
        <v>1410</v>
      </c>
      <c r="T1270" s="2" t="n">
        <v>150</v>
      </c>
    </row>
    <row r="1271" customFormat="false" ht="18.7" hidden="false" customHeight="true" outlineLevel="0" collapsed="false">
      <c r="A1271" s="1" t="n">
        <v>1270</v>
      </c>
      <c r="B1271" s="7" t="str">
        <f aca="false">HYPERLINK("https://mncourtfraud.com/file/27-CR-21-13144.pdf","27-CR-21-13144")</f>
        <v>27-CR-21-13144</v>
      </c>
      <c r="C1271" s="1" t="n">
        <v>1</v>
      </c>
      <c r="D1271" s="2" t="s">
        <v>12</v>
      </c>
      <c r="E1271" s="8" t="n">
        <v>45048</v>
      </c>
      <c r="F1271" s="2" t="s">
        <v>80</v>
      </c>
      <c r="G1271" s="7" t="str">
        <f aca="false">HYPERLINK("https://mncourtfraud.com/file/MCRO_27-CR-21-13144_Finding of Incompetency and Order_2023-05-02_20251126182855.pdf","MCRO_27-CR-21-13144_Finding of Incompetency and Order_2023-05-02_20251126182855.pdf")</f>
        <v>MCRO_27-CR-21-13144_Finding of Incompetency and Order_2023-05-02_20251126182855.pdf</v>
      </c>
      <c r="H1271" s="7" t="str">
        <f aca="false">HYPERLINK("https://mncourtfraud.com/file/18befca089509ee2fbaddf9c5b79bf5988523b22d2369743ed9a591b9fc3bdb6.ttf","18befca089509ee2fbaddf9c5b79bf5988523b22d2369743ed9a591b9fc3bdb6")</f>
        <v>18befca089509ee2fbaddf9c5b79bf5988523b22d2369743ed9a591b9fc3bdb6</v>
      </c>
      <c r="I1271" s="1" t="s">
        <v>3413</v>
      </c>
      <c r="J1271" s="2" t="s">
        <v>3421</v>
      </c>
      <c r="K1271" s="2" t="s">
        <v>3450</v>
      </c>
      <c r="L1271" s="2" t="s">
        <v>3415</v>
      </c>
      <c r="M1271" s="2" t="n">
        <v>115928</v>
      </c>
    </row>
    <row r="1272" customFormat="false" ht="18.7" hidden="false" customHeight="true" outlineLevel="0" collapsed="false">
      <c r="A1272" s="1" t="n">
        <v>1271</v>
      </c>
      <c r="B1272" s="7" t="str">
        <f aca="false">HYPERLINK("https://mncourtfraud.com/file/27-CR-21-13144.pdf","27-CR-21-13144")</f>
        <v>27-CR-21-13144</v>
      </c>
      <c r="C1272" s="1" t="n">
        <v>1</v>
      </c>
      <c r="D1272" s="2" t="s">
        <v>12</v>
      </c>
      <c r="E1272" s="8" t="n">
        <v>45048</v>
      </c>
      <c r="F1272" s="2" t="s">
        <v>80</v>
      </c>
      <c r="G1272" s="7" t="str">
        <f aca="false">HYPERLINK("https://mncourtfraud.com/file/MCRO_27-CR-21-13144_Finding of Incompetency and Order_2023-05-02_20251126182855.pdf","MCRO_27-CR-21-13144_Finding of Incompetency and Order_2023-05-02_20251126182855.pdf")</f>
        <v>MCRO_27-CR-21-13144_Finding of Incompetency and Order_2023-05-02_20251126182855.pdf</v>
      </c>
      <c r="H1272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1272" s="1" t="s">
        <v>3413</v>
      </c>
      <c r="J1272" s="2" t="s">
        <v>3446</v>
      </c>
      <c r="K1272" s="2" t="s">
        <v>3446</v>
      </c>
      <c r="L1272" s="2" t="s">
        <v>3415</v>
      </c>
      <c r="M1272" s="2" t="n">
        <v>55072</v>
      </c>
      <c r="N1272" s="2" t="s">
        <v>3447</v>
      </c>
    </row>
    <row r="1273" customFormat="false" ht="18.7" hidden="false" customHeight="true" outlineLevel="0" collapsed="false">
      <c r="A1273" s="1" t="n">
        <v>1272</v>
      </c>
      <c r="B1273" s="7" t="str">
        <f aca="false">HYPERLINK("https://mncourtfraud.com/file/27-CR-21-13144.pdf","27-CR-21-13144")</f>
        <v>27-CR-21-13144</v>
      </c>
      <c r="C1273" s="1" t="n">
        <v>1</v>
      </c>
      <c r="D1273" s="2" t="s">
        <v>12</v>
      </c>
      <c r="E1273" s="8" t="n">
        <v>45048</v>
      </c>
      <c r="F1273" s="2" t="s">
        <v>80</v>
      </c>
      <c r="G1273" s="7" t="str">
        <f aca="false">HYPERLINK("https://mncourtfraud.com/file/MCRO_27-CR-21-13144_Finding of Incompetency and Order_2023-05-02_20251126182855.pdf","MCRO_27-CR-21-13144_Finding of Incompetency and Order_2023-05-02_20251126182855.pdf")</f>
        <v>MCRO_27-CR-21-13144_Finding of Incompetency and Order_2023-05-02_20251126182855.pdf</v>
      </c>
      <c r="H1273" s="7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1273" s="1" t="s">
        <v>3406</v>
      </c>
      <c r="K1273" s="2" t="s">
        <v>3451</v>
      </c>
      <c r="L1273" s="2" t="s">
        <v>3408</v>
      </c>
      <c r="M1273" s="2" t="n">
        <v>5295</v>
      </c>
      <c r="O1273" s="2" t="s">
        <v>3452</v>
      </c>
      <c r="P1273" s="2" t="s">
        <v>3410</v>
      </c>
      <c r="S1273" s="2" t="n">
        <v>833</v>
      </c>
      <c r="T1273" s="2" t="n">
        <v>186</v>
      </c>
    </row>
    <row r="1274" customFormat="false" ht="18.7" hidden="false" customHeight="true" outlineLevel="0" collapsed="false">
      <c r="A1274" s="1" t="n">
        <v>1273</v>
      </c>
      <c r="B1274" s="7" t="str">
        <f aca="false">HYPERLINK("https://mncourtfraud.com/file/27-CR-21-13144.pdf","27-CR-21-13144")</f>
        <v>27-CR-21-13144</v>
      </c>
      <c r="C1274" s="1" t="n">
        <v>1</v>
      </c>
      <c r="D1274" s="2" t="s">
        <v>12</v>
      </c>
      <c r="E1274" s="8" t="n">
        <v>45048</v>
      </c>
      <c r="F1274" s="2" t="s">
        <v>80</v>
      </c>
      <c r="G1274" s="7" t="str">
        <f aca="false">HYPERLINK("https://mncourtfraud.com/file/MCRO_27-CR-21-13144_Finding of Incompetency and Order_2023-05-02_20251126182855.pdf","MCRO_27-CR-21-13144_Finding of Incompetency and Order_2023-05-02_20251126182855.pdf")</f>
        <v>MCRO_27-CR-21-13144_Finding of Incompetency and Order_2023-05-02_20251126182855.pdf</v>
      </c>
      <c r="H1274" s="7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1274" s="1" t="s">
        <v>3406</v>
      </c>
      <c r="K1274" s="2" t="s">
        <v>3453</v>
      </c>
      <c r="L1274" s="2" t="s">
        <v>3408</v>
      </c>
      <c r="M1274" s="2" t="n">
        <v>3442</v>
      </c>
      <c r="O1274" s="2" t="s">
        <v>3454</v>
      </c>
      <c r="P1274" s="2" t="s">
        <v>3410</v>
      </c>
      <c r="S1274" s="2" t="n">
        <v>857</v>
      </c>
      <c r="T1274" s="2" t="n">
        <v>184</v>
      </c>
    </row>
    <row r="1275" customFormat="false" ht="18.7" hidden="false" customHeight="true" outlineLevel="0" collapsed="false">
      <c r="A1275" s="1" t="n">
        <v>1274</v>
      </c>
      <c r="B1275" s="7" t="str">
        <f aca="false">HYPERLINK("https://mncourtfraud.com/file/27-CR-21-13144.pdf","27-CR-21-13144")</f>
        <v>27-CR-21-13144</v>
      </c>
      <c r="C1275" s="1" t="n">
        <v>1</v>
      </c>
      <c r="D1275" s="2" t="s">
        <v>12</v>
      </c>
      <c r="E1275" s="8" t="n">
        <v>45048</v>
      </c>
      <c r="F1275" s="2" t="s">
        <v>80</v>
      </c>
      <c r="G1275" s="7" t="str">
        <f aca="false">HYPERLINK("https://mncourtfraud.com/file/MCRO_27-CR-21-13144_Finding of Incompetency and Order_2023-05-02_20251126182855.pdf","MCRO_27-CR-21-13144_Finding of Incompetency and Order_2023-05-02_20251126182855.pdf")</f>
        <v>MCRO_27-CR-21-13144_Finding of Incompetency and Order_2023-05-02_20251126182855.pdf</v>
      </c>
      <c r="H1275" s="7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1275" s="1" t="s">
        <v>3406</v>
      </c>
      <c r="L1275" s="2" t="s">
        <v>3412</v>
      </c>
      <c r="M1275" s="2" t="n">
        <v>3824</v>
      </c>
      <c r="S1275" s="2" t="n">
        <v>1850</v>
      </c>
      <c r="T1275" s="2" t="n">
        <v>160</v>
      </c>
    </row>
    <row r="1276" customFormat="false" ht="18.7" hidden="false" customHeight="true" outlineLevel="0" collapsed="false">
      <c r="A1276" s="1" t="n">
        <v>1275</v>
      </c>
      <c r="B1276" s="7" t="str">
        <f aca="false">HYPERLINK("https://mncourtfraud.com/file/27-CR-21-13144.pdf","27-CR-21-13144")</f>
        <v>27-CR-21-13144</v>
      </c>
      <c r="C1276" s="1" t="n">
        <v>1</v>
      </c>
      <c r="D1276" s="2" t="s">
        <v>12</v>
      </c>
      <c r="E1276" s="8" t="n">
        <v>45048</v>
      </c>
      <c r="F1276" s="2" t="s">
        <v>80</v>
      </c>
      <c r="G1276" s="7" t="str">
        <f aca="false">HYPERLINK("https://mncourtfraud.com/file/MCRO_27-CR-21-13144_Finding of Incompetency and Order_2023-05-02_20251126182855.pdf","MCRO_27-CR-21-13144_Finding of Incompetency and Order_2023-05-02_20251126182855.pdf")</f>
        <v>MCRO_27-CR-21-13144_Finding of Incompetency and Order_2023-05-02_20251126182855.pdf</v>
      </c>
      <c r="H1276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1276" s="1" t="s">
        <v>3413</v>
      </c>
      <c r="J1276" s="2" t="s">
        <v>3448</v>
      </c>
      <c r="K1276" s="2" t="s">
        <v>3448</v>
      </c>
      <c r="L1276" s="2" t="s">
        <v>3415</v>
      </c>
      <c r="M1276" s="2" t="n">
        <v>916684</v>
      </c>
    </row>
    <row r="1277" customFormat="false" ht="18.7" hidden="false" customHeight="true" outlineLevel="0" collapsed="false">
      <c r="A1277" s="1" t="n">
        <v>1276</v>
      </c>
      <c r="B1277" s="7" t="str">
        <f aca="false">HYPERLINK("https://mncourtfraud.com/file/27-CR-21-13144.pdf","27-CR-21-13144")</f>
        <v>27-CR-21-13144</v>
      </c>
      <c r="C1277" s="1" t="n">
        <v>1</v>
      </c>
      <c r="D1277" s="2" t="s">
        <v>12</v>
      </c>
      <c r="E1277" s="8" t="n">
        <v>45093</v>
      </c>
      <c r="F1277" s="2" t="s">
        <v>82</v>
      </c>
      <c r="G1277" s="7" t="str">
        <f aca="false">HYPERLINK("https://mncourtfraud.com/file/MCRO_27-CR-21-13144_Notice of Case Reassignment_2023-06-16_20251126182929.pdf","MCRO_27-CR-21-13144_Notice of Case Reassignment_2023-06-16_20251126182929.pdf")</f>
        <v>MCRO_27-CR-21-13144_Notice of Case Reassignment_2023-06-16_20251126182929.pdf</v>
      </c>
      <c r="H1277" s="7" t="str">
        <f aca="false">HYPERLINK("https://mncourtfraud.com/file/1fd1136a5ae69c0e5068fedf111533c283fb06da71a1aebe96b41cad9a15bb33.ttf","1fd1136a5ae69c0e5068fedf111533c283fb06da71a1aebe96b41cad9a15bb33")</f>
        <v>1fd1136a5ae69c0e5068fedf111533c283fb06da71a1aebe96b41cad9a15bb33</v>
      </c>
      <c r="I1277" s="1" t="s">
        <v>3413</v>
      </c>
      <c r="J1277" s="2" t="s">
        <v>3455</v>
      </c>
      <c r="K1277" s="2" t="s">
        <v>3455</v>
      </c>
      <c r="L1277" s="2" t="s">
        <v>3415</v>
      </c>
      <c r="M1277" s="2" t="n">
        <v>96348</v>
      </c>
      <c r="N1277" s="2" t="s">
        <v>3456</v>
      </c>
    </row>
    <row r="1278" customFormat="false" ht="18.7" hidden="false" customHeight="true" outlineLevel="0" collapsed="false">
      <c r="A1278" s="1" t="n">
        <v>1277</v>
      </c>
      <c r="B1278" s="7" t="str">
        <f aca="false">HYPERLINK("https://mncourtfraud.com/file/27-CR-21-13144.pdf","27-CR-21-13144")</f>
        <v>27-CR-21-13144</v>
      </c>
      <c r="C1278" s="1" t="n">
        <v>1</v>
      </c>
      <c r="D1278" s="2" t="s">
        <v>12</v>
      </c>
      <c r="E1278" s="8" t="n">
        <v>45093</v>
      </c>
      <c r="F1278" s="2" t="s">
        <v>82</v>
      </c>
      <c r="G1278" s="7" t="str">
        <f aca="false">HYPERLINK("https://mncourtfraud.com/file/MCRO_27-CR-21-13144_Notice of Case Reassignment_2023-06-16_20251126182929.pdf","MCRO_27-CR-21-13144_Notice of Case Reassignment_2023-06-16_20251126182929.pdf")</f>
        <v>MCRO_27-CR-21-13144_Notice of Case Reassignment_2023-06-16_20251126182929.pdf</v>
      </c>
      <c r="H1278" s="7" t="str">
        <f aca="false">HYPERLINK("https://mncourtfraud.com/file/4b0b043cb476134a2e47a5f4c233d3d0f7a52a3b063b8831356383f89fcd1118.ttf","4b0b043cb476134a2e47a5f4c233d3d0f7a52a3b063b8831356383f89fcd1118")</f>
        <v>4b0b043cb476134a2e47a5f4c233d3d0f7a52a3b063b8831356383f89fcd1118</v>
      </c>
      <c r="I1278" s="1" t="s">
        <v>3413</v>
      </c>
      <c r="J1278" s="2" t="s">
        <v>3457</v>
      </c>
      <c r="K1278" s="2" t="s">
        <v>3457</v>
      </c>
      <c r="L1278" s="2" t="s">
        <v>3415</v>
      </c>
      <c r="M1278" s="2" t="n">
        <v>79764</v>
      </c>
      <c r="N1278" s="2" t="s">
        <v>3458</v>
      </c>
    </row>
    <row r="1279" customFormat="false" ht="18.7" hidden="false" customHeight="true" outlineLevel="0" collapsed="false">
      <c r="A1279" s="1" t="n">
        <v>1278</v>
      </c>
      <c r="B1279" s="7" t="str">
        <f aca="false">HYPERLINK("https://mncourtfraud.com/file/27-CR-21-13144.pdf","27-CR-21-13144")</f>
        <v>27-CR-21-13144</v>
      </c>
      <c r="C1279" s="1" t="n">
        <v>1</v>
      </c>
      <c r="D1279" s="2" t="s">
        <v>12</v>
      </c>
      <c r="E1279" s="8" t="n">
        <v>45160</v>
      </c>
      <c r="F1279" s="2" t="s">
        <v>15</v>
      </c>
      <c r="G1279" s="7" t="str">
        <f aca="false">HYPERLINK("https://mncourtfraud.com/file/MCRO_27-CR-21-13144_Order-Evaluation for Competency to Proceed (Rule 20.01)_2023-08-22_20251126183057.pdf","MCRO_27-CR-21-13144_Order-Evaluation for Competency to Proceed (Rule 20.01)_2023-08-22_20251126183057.pdf")</f>
        <v>MCRO_27-CR-21-13144_Order-Evaluation for Competency to Proceed (Rule 20.01)_2023-08-22_20251126183057.pdf</v>
      </c>
      <c r="H1279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1279" s="1" t="s">
        <v>3413</v>
      </c>
      <c r="J1279" s="2" t="s">
        <v>3449</v>
      </c>
      <c r="K1279" s="2" t="s">
        <v>3449</v>
      </c>
      <c r="L1279" s="2" t="s">
        <v>3415</v>
      </c>
      <c r="M1279" s="2" t="n">
        <v>125504</v>
      </c>
    </row>
    <row r="1280" customFormat="false" ht="18.7" hidden="false" customHeight="true" outlineLevel="0" collapsed="false">
      <c r="A1280" s="1" t="n">
        <v>1279</v>
      </c>
      <c r="B1280" s="7" t="str">
        <f aca="false">HYPERLINK("https://mncourtfraud.com/file/27-CR-21-13144.pdf","27-CR-21-13144")</f>
        <v>27-CR-21-13144</v>
      </c>
      <c r="C1280" s="1" t="n">
        <v>1</v>
      </c>
      <c r="D1280" s="2" t="s">
        <v>12</v>
      </c>
      <c r="E1280" s="8" t="n">
        <v>45160</v>
      </c>
      <c r="F1280" s="2" t="s">
        <v>15</v>
      </c>
      <c r="G1280" s="7" t="str">
        <f aca="false">HYPERLINK("https://mncourtfraud.com/file/MCRO_27-CR-21-13144_Order-Evaluation for Competency to Proceed (Rule 20.01)_2023-08-22_20251126183057.pdf","MCRO_27-CR-21-13144_Order-Evaluation for Competency to Proceed (Rule 20.01)_2023-08-22_20251126183057.pdf")</f>
        <v>MCRO_27-CR-21-13144_Order-Evaluation for Competency to Proceed (Rule 20.01)_2023-08-22_20251126183057.pdf</v>
      </c>
      <c r="H1280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1280" s="1" t="s">
        <v>3413</v>
      </c>
      <c r="J1280" s="2" t="s">
        <v>3449</v>
      </c>
      <c r="K1280" s="2" t="s">
        <v>3449</v>
      </c>
      <c r="L1280" s="2" t="s">
        <v>3415</v>
      </c>
      <c r="M1280" s="2" t="n">
        <v>125504</v>
      </c>
    </row>
    <row r="1281" customFormat="false" ht="18.7" hidden="false" customHeight="true" outlineLevel="0" collapsed="false">
      <c r="A1281" s="1" t="n">
        <v>1280</v>
      </c>
      <c r="B1281" s="7" t="str">
        <f aca="false">HYPERLINK("https://mncourtfraud.com/file/27-CR-21-13144.pdf","27-CR-21-13144")</f>
        <v>27-CR-21-13144</v>
      </c>
      <c r="C1281" s="1" t="n">
        <v>1</v>
      </c>
      <c r="D1281" s="2" t="s">
        <v>12</v>
      </c>
      <c r="E1281" s="8" t="n">
        <v>45160</v>
      </c>
      <c r="F1281" s="2" t="s">
        <v>15</v>
      </c>
      <c r="G1281" s="7" t="str">
        <f aca="false">HYPERLINK("https://mncourtfraud.com/file/MCRO_27-CR-21-13144_Order-Evaluation for Competency to Proceed (Rule 20.01)_2023-08-22_20251126183057.pdf","MCRO_27-CR-21-13144_Order-Evaluation for Competency to Proceed (Rule 20.01)_2023-08-22_20251126183057.pdf")</f>
        <v>MCRO_27-CR-21-13144_Order-Evaluation for Competency to Proceed (Rule 20.01)_2023-08-22_20251126183057.pdf</v>
      </c>
      <c r="H1281" s="7" t="str">
        <f aca="false">HYPERLINK("https://mncourtfraud.com/file/0174a154b1dd2c8824c0108a525fa6ced84bf8b7d2fc9696a847700a4f83bb3b.ttf","0174a154b1dd2c8824c0108a525fa6ced84bf8b7d2fc9696a847700a4f83bb3b")</f>
        <v>0174a154b1dd2c8824c0108a525fa6ced84bf8b7d2fc9696a847700a4f83bb3b</v>
      </c>
      <c r="I1281" s="1" t="s">
        <v>3413</v>
      </c>
      <c r="J1281" s="2" t="s">
        <v>3422</v>
      </c>
      <c r="K1281" s="2" t="s">
        <v>3422</v>
      </c>
      <c r="L1281" s="2" t="s">
        <v>3415</v>
      </c>
      <c r="M1281" s="2" t="n">
        <v>101216</v>
      </c>
    </row>
    <row r="1282" customFormat="false" ht="18.7" hidden="false" customHeight="true" outlineLevel="0" collapsed="false">
      <c r="A1282" s="1" t="n">
        <v>1281</v>
      </c>
      <c r="B1282" s="7" t="str">
        <f aca="false">HYPERLINK("https://mncourtfraud.com/file/27-CR-21-13144.pdf","27-CR-21-13144")</f>
        <v>27-CR-21-13144</v>
      </c>
      <c r="C1282" s="1" t="n">
        <v>1</v>
      </c>
      <c r="D1282" s="2" t="s">
        <v>12</v>
      </c>
      <c r="E1282" s="8" t="n">
        <v>45160</v>
      </c>
      <c r="F1282" s="2" t="s">
        <v>15</v>
      </c>
      <c r="G1282" s="7" t="str">
        <f aca="false">HYPERLINK("https://mncourtfraud.com/file/MCRO_27-CR-21-13144_Order-Evaluation for Competency to Proceed (Rule 20.01)_2023-08-22_20251126183057.pdf","MCRO_27-CR-21-13144_Order-Evaluation for Competency to Proceed (Rule 20.01)_2023-08-22_20251126183057.pdf")</f>
        <v>MCRO_27-CR-21-13144_Order-Evaluation for Competency to Proceed (Rule 20.01)_2023-08-22_20251126183057.pdf</v>
      </c>
      <c r="H1282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1282" s="1" t="s">
        <v>3413</v>
      </c>
      <c r="J1282" s="2" t="s">
        <v>3423</v>
      </c>
      <c r="K1282" s="2" t="s">
        <v>3423</v>
      </c>
      <c r="L1282" s="2" t="s">
        <v>3415</v>
      </c>
      <c r="M1282" s="2" t="n">
        <v>11088</v>
      </c>
    </row>
    <row r="1283" customFormat="false" ht="18.7" hidden="false" customHeight="true" outlineLevel="0" collapsed="false">
      <c r="A1283" s="1" t="n">
        <v>1282</v>
      </c>
      <c r="B1283" s="7" t="str">
        <f aca="false">HYPERLINK("https://mncourtfraud.com/file/27-CR-21-13144.pdf","27-CR-21-13144")</f>
        <v>27-CR-21-13144</v>
      </c>
      <c r="C1283" s="1" t="n">
        <v>1</v>
      </c>
      <c r="D1283" s="2" t="s">
        <v>12</v>
      </c>
      <c r="E1283" s="8" t="n">
        <v>45160</v>
      </c>
      <c r="F1283" s="2" t="s">
        <v>15</v>
      </c>
      <c r="G1283" s="7" t="str">
        <f aca="false">HYPERLINK("https://mncourtfraud.com/file/MCRO_27-CR-21-13144_Order-Evaluation for Competency to Proceed (Rule 20.01)_2023-08-22_20251126183057.pdf","MCRO_27-CR-21-13144_Order-Evaluation for Competency to Proceed (Rule 20.01)_2023-08-22_20251126183057.pdf")</f>
        <v>MCRO_27-CR-21-13144_Order-Evaluation for Competency to Proceed (Rule 20.01)_2023-08-22_20251126183057.pdf</v>
      </c>
      <c r="H1283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1283" s="1" t="s">
        <v>3413</v>
      </c>
      <c r="J1283" s="2" t="s">
        <v>3446</v>
      </c>
      <c r="K1283" s="2" t="s">
        <v>3446</v>
      </c>
      <c r="L1283" s="2" t="s">
        <v>3415</v>
      </c>
      <c r="M1283" s="2" t="n">
        <v>55072</v>
      </c>
      <c r="N1283" s="2" t="s">
        <v>3447</v>
      </c>
    </row>
    <row r="1284" customFormat="false" ht="18.7" hidden="false" customHeight="true" outlineLevel="0" collapsed="false">
      <c r="A1284" s="1" t="n">
        <v>1283</v>
      </c>
      <c r="B1284" s="7" t="str">
        <f aca="false">HYPERLINK("https://mncourtfraud.com/file/27-CR-21-13144.pdf","27-CR-21-13144")</f>
        <v>27-CR-21-13144</v>
      </c>
      <c r="C1284" s="1" t="n">
        <v>1</v>
      </c>
      <c r="D1284" s="2" t="s">
        <v>12</v>
      </c>
      <c r="E1284" s="8" t="n">
        <v>45160</v>
      </c>
      <c r="F1284" s="2" t="s">
        <v>15</v>
      </c>
      <c r="G1284" s="7" t="str">
        <f aca="false">HYPERLINK("https://mncourtfraud.com/file/MCRO_27-CR-21-13144_Order-Evaluation for Competency to Proceed (Rule 20.01)_2023-08-22_20251126183057.pdf","MCRO_27-CR-21-13144_Order-Evaluation for Competency to Proceed (Rule 20.01)_2023-08-22_20251126183057.pdf")</f>
        <v>MCRO_27-CR-21-13144_Order-Evaluation for Competency to Proceed (Rule 20.01)_2023-08-22_20251126183057.pdf</v>
      </c>
      <c r="H1284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1284" s="1" t="s">
        <v>3413</v>
      </c>
      <c r="J1284" s="2" t="s">
        <v>3424</v>
      </c>
      <c r="K1284" s="2" t="s">
        <v>3424</v>
      </c>
      <c r="L1284" s="2" t="s">
        <v>3415</v>
      </c>
      <c r="M1284" s="2" t="n">
        <v>14252</v>
      </c>
    </row>
    <row r="1285" customFormat="false" ht="18.7" hidden="false" customHeight="true" outlineLevel="0" collapsed="false">
      <c r="A1285" s="1" t="n">
        <v>1284</v>
      </c>
      <c r="B1285" s="7" t="str">
        <f aca="false">HYPERLINK("https://mncourtfraud.com/file/27-CR-21-13144.pdf","27-CR-21-13144")</f>
        <v>27-CR-21-13144</v>
      </c>
      <c r="C1285" s="1" t="n">
        <v>1</v>
      </c>
      <c r="D1285" s="2" t="s">
        <v>12</v>
      </c>
      <c r="E1285" s="8" t="n">
        <v>45160</v>
      </c>
      <c r="F1285" s="2" t="s">
        <v>15</v>
      </c>
      <c r="G1285" s="7" t="str">
        <f aca="false">HYPERLINK("https://mncourtfraud.com/file/MCRO_27-CR-21-13144_Order-Evaluation for Competency to Proceed (Rule 20.01)_2023-08-22_20251126183057.pdf","MCRO_27-CR-21-13144_Order-Evaluation for Competency to Proceed (Rule 20.01)_2023-08-22_20251126183057.pdf")</f>
        <v>MCRO_27-CR-21-13144_Order-Evaluation for Competency to Proceed (Rule 20.01)_2023-08-22_20251126183057.pdf</v>
      </c>
      <c r="H1285" s="7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1285" s="1" t="s">
        <v>3406</v>
      </c>
      <c r="L1285" s="2" t="s">
        <v>3412</v>
      </c>
      <c r="M1285" s="2" t="n">
        <v>5012</v>
      </c>
      <c r="S1285" s="2" t="n">
        <v>2740</v>
      </c>
      <c r="T1285" s="2" t="n">
        <v>180</v>
      </c>
    </row>
    <row r="1286" customFormat="false" ht="18.7" hidden="false" customHeight="true" outlineLevel="0" collapsed="false">
      <c r="A1286" s="1" t="n">
        <v>1285</v>
      </c>
      <c r="B1286" s="7" t="str">
        <f aca="false">HYPERLINK("https://mncourtfraud.com/file/27-CR-21-13144.pdf","27-CR-21-13144")</f>
        <v>27-CR-21-13144</v>
      </c>
      <c r="C1286" s="1" t="n">
        <v>1</v>
      </c>
      <c r="D1286" s="2" t="s">
        <v>12</v>
      </c>
      <c r="E1286" s="8" t="n">
        <v>45160</v>
      </c>
      <c r="F1286" s="2" t="s">
        <v>15</v>
      </c>
      <c r="G1286" s="7" t="str">
        <f aca="false">HYPERLINK("https://mncourtfraud.com/file/MCRO_27-CR-21-13144_Order-Evaluation for Competency to Proceed (Rule 20.01)_2023-08-22_20251126183057.pdf","MCRO_27-CR-21-13144_Order-Evaluation for Competency to Proceed (Rule 20.01)_2023-08-22_20251126183057.pdf")</f>
        <v>MCRO_27-CR-21-13144_Order-Evaluation for Competency to Proceed (Rule 20.01)_2023-08-22_20251126183057.pdf</v>
      </c>
      <c r="H1286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1286" s="1" t="s">
        <v>3413</v>
      </c>
      <c r="J1286" s="2" t="s">
        <v>3448</v>
      </c>
      <c r="K1286" s="2" t="s">
        <v>3448</v>
      </c>
      <c r="L1286" s="2" t="s">
        <v>3415</v>
      </c>
      <c r="M1286" s="2" t="n">
        <v>916684</v>
      </c>
    </row>
    <row r="1287" customFormat="false" ht="18.7" hidden="false" customHeight="true" outlineLevel="0" collapsed="false">
      <c r="A1287" s="1" t="n">
        <v>1286</v>
      </c>
      <c r="B1287" s="7" t="str">
        <f aca="false">HYPERLINK("https://mncourtfraud.com/file/27-CR-21-13144.pdf","27-CR-21-13144")</f>
        <v>27-CR-21-13144</v>
      </c>
      <c r="C1287" s="1" t="n">
        <v>1</v>
      </c>
      <c r="D1287" s="2" t="s">
        <v>12</v>
      </c>
      <c r="E1287" s="8" t="n">
        <v>45160</v>
      </c>
      <c r="F1287" s="2" t="s">
        <v>15</v>
      </c>
      <c r="G1287" s="7" t="str">
        <f aca="false">HYPERLINK("https://mncourtfraud.com/file/MCRO_27-CR-21-13144_Order-Evaluation for Competency to Proceed (Rule 20.01)_2023-08-22_20251126183057.pdf","MCRO_27-CR-21-13144_Order-Evaluation for Competency to Proceed (Rule 20.01)_2023-08-22_20251126183057.pdf")</f>
        <v>MCRO_27-CR-21-13144_Order-Evaluation for Competency to Proceed (Rule 20.01)_2023-08-22_20251126183057.pdf</v>
      </c>
      <c r="H1287" s="7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1287" s="1" t="s">
        <v>3406</v>
      </c>
      <c r="K1287" s="2" t="s">
        <v>3459</v>
      </c>
      <c r="L1287" s="2" t="s">
        <v>3408</v>
      </c>
      <c r="M1287" s="2" t="n">
        <v>5220</v>
      </c>
      <c r="O1287" s="2" t="s">
        <v>3460</v>
      </c>
      <c r="P1287" s="2" t="s">
        <v>3410</v>
      </c>
      <c r="S1287" s="2" t="n">
        <v>881</v>
      </c>
      <c r="T1287" s="2" t="n">
        <v>216</v>
      </c>
    </row>
    <row r="1288" customFormat="false" ht="18.7" hidden="false" customHeight="true" outlineLevel="0" collapsed="false">
      <c r="A1288" s="1" t="n">
        <v>1287</v>
      </c>
      <c r="B1288" s="7" t="str">
        <f aca="false">HYPERLINK("https://mncourtfraud.com/file/27-CR-21-13144.pdf","27-CR-21-13144")</f>
        <v>27-CR-21-13144</v>
      </c>
      <c r="C1288" s="1" t="n">
        <v>1</v>
      </c>
      <c r="D1288" s="2" t="s">
        <v>12</v>
      </c>
      <c r="E1288" s="8" t="n">
        <v>45412</v>
      </c>
      <c r="F1288" s="2" t="s">
        <v>15</v>
      </c>
      <c r="G1288" s="7" t="str">
        <f aca="false">HYPERLINK("https://mncourtfraud.com/file/MCRO_27-CR-21-13144_Order-Evaluation for Competency to Proceed (Rule 20.01)_2024-04-30_20251126183105.pdf","MCRO_27-CR-21-13144_Order-Evaluation for Competency to Proceed (Rule 20.01)_2024-04-30_20251126183105.pdf")</f>
        <v>MCRO_27-CR-21-13144_Order-Evaluation for Competency to Proceed (Rule 20.01)_2024-04-30_20251126183105.pdf</v>
      </c>
      <c r="H1288" s="7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1288" s="1" t="s">
        <v>3406</v>
      </c>
      <c r="L1288" s="2" t="s">
        <v>3412</v>
      </c>
      <c r="M1288" s="2" t="n">
        <v>154549</v>
      </c>
      <c r="S1288" s="2" t="n">
        <v>2560</v>
      </c>
      <c r="T1288" s="2" t="n">
        <v>3300</v>
      </c>
    </row>
    <row r="1289" customFormat="false" ht="18.7" hidden="false" customHeight="true" outlineLevel="0" collapsed="false">
      <c r="A1289" s="1" t="n">
        <v>1288</v>
      </c>
      <c r="B1289" s="7" t="str">
        <f aca="false">HYPERLINK("https://mncourtfraud.com/file/27-CR-21-13144.pdf","27-CR-21-13144")</f>
        <v>27-CR-21-13144</v>
      </c>
      <c r="C1289" s="1" t="n">
        <v>1</v>
      </c>
      <c r="D1289" s="2" t="s">
        <v>12</v>
      </c>
      <c r="E1289" s="8" t="n">
        <v>45412</v>
      </c>
      <c r="F1289" s="2" t="s">
        <v>15</v>
      </c>
      <c r="G1289" s="7" t="str">
        <f aca="false">HYPERLINK("https://mncourtfraud.com/file/MCRO_27-CR-21-13144_Order-Evaluation for Competency to Proceed (Rule 20.01)_2024-04-30_20251126183105.pdf","MCRO_27-CR-21-13144_Order-Evaluation for Competency to Proceed (Rule 20.01)_2024-04-30_20251126183105.pdf")</f>
        <v>MCRO_27-CR-21-13144_Order-Evaluation for Competency to Proceed (Rule 20.01)_2024-04-30_20251126183105.pdf</v>
      </c>
      <c r="H1289" s="7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1289" s="1" t="s">
        <v>3406</v>
      </c>
      <c r="L1289" s="2" t="s">
        <v>3412</v>
      </c>
      <c r="M1289" s="2" t="n">
        <v>180051</v>
      </c>
      <c r="S1289" s="2" t="n">
        <v>2560</v>
      </c>
      <c r="T1289" s="2" t="n">
        <v>3300</v>
      </c>
    </row>
    <row r="1290" customFormat="false" ht="18.7" hidden="false" customHeight="true" outlineLevel="0" collapsed="false">
      <c r="A1290" s="1" t="n">
        <v>1289</v>
      </c>
      <c r="B1290" s="7" t="str">
        <f aca="false">HYPERLINK("https://mncourtfraud.com/file/27-CR-21-13144.pdf","27-CR-21-13144")</f>
        <v>27-CR-21-13144</v>
      </c>
      <c r="C1290" s="1" t="n">
        <v>1</v>
      </c>
      <c r="D1290" s="2" t="s">
        <v>12</v>
      </c>
      <c r="E1290" s="8" t="n">
        <v>45412</v>
      </c>
      <c r="F1290" s="2" t="s">
        <v>24</v>
      </c>
      <c r="G1290" s="7" t="str">
        <f aca="false">HYPERLINK("https://mncourtfraud.com/file/MCRO_27-CR-21-13144_Order for Conditional Release_2024-04-30_20251126182947.pdf","MCRO_27-CR-21-13144_Order for Conditional Release_2024-04-30_20251126182947.pdf")</f>
        <v>MCRO_27-CR-21-13144_Order for Conditional Release_2024-04-30_20251126182947.pdf</v>
      </c>
      <c r="H1290" s="7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1290" s="1" t="s">
        <v>3406</v>
      </c>
      <c r="L1290" s="2" t="s">
        <v>3412</v>
      </c>
      <c r="M1290" s="2" t="n">
        <v>38726</v>
      </c>
      <c r="S1290" s="2" t="n">
        <v>2560</v>
      </c>
      <c r="T1290" s="2" t="n">
        <v>3300</v>
      </c>
    </row>
    <row r="1291" customFormat="false" ht="18.7" hidden="false" customHeight="true" outlineLevel="0" collapsed="false">
      <c r="A1291" s="1" t="n">
        <v>1290</v>
      </c>
      <c r="B1291" s="7" t="str">
        <f aca="false">HYPERLINK("https://mncourtfraud.com/file/27-CR-21-13144.pdf","27-CR-21-13144")</f>
        <v>27-CR-21-13144</v>
      </c>
      <c r="C1291" s="1" t="n">
        <v>1</v>
      </c>
      <c r="D1291" s="2" t="s">
        <v>12</v>
      </c>
      <c r="E1291" s="8" t="n">
        <v>45412</v>
      </c>
      <c r="F1291" s="2" t="s">
        <v>15</v>
      </c>
      <c r="G1291" s="7" t="str">
        <f aca="false">HYPERLINK("https://mncourtfraud.com/file/MCRO_27-CR-21-13144_Order-Evaluation for Competency to Proceed (Rule 20.01)_2024-04-30_20251126183105.pdf","MCRO_27-CR-21-13144_Order-Evaluation for Competency to Proceed (Rule 20.01)_2024-04-30_20251126183105.pdf")</f>
        <v>MCRO_27-CR-21-13144_Order-Evaluation for Competency to Proceed (Rule 20.01)_2024-04-30_20251126183105.pdf</v>
      </c>
      <c r="H1291" s="7" t="str">
        <f aca="false">HYPERLINK("https://mncourtfraud.com/file/4db7d2599119dc45c08adba3b9b2ba67e6a3d697261d3f95ca4c5b01777bcfbe.ttf","4db7d2599119dc45c08adba3b9b2ba67e6a3d697261d3f95ca4c5b01777bcfbe")</f>
        <v>4db7d2599119dc45c08adba3b9b2ba67e6a3d697261d3f95ca4c5b01777bcfbe</v>
      </c>
      <c r="I1291" s="1" t="s">
        <v>3413</v>
      </c>
      <c r="L1291" s="2" t="s">
        <v>3415</v>
      </c>
      <c r="M1291" s="2" t="n">
        <v>333576</v>
      </c>
    </row>
    <row r="1292" customFormat="false" ht="18.7" hidden="false" customHeight="true" outlineLevel="0" collapsed="false">
      <c r="A1292" s="1" t="n">
        <v>1291</v>
      </c>
      <c r="B1292" s="7" t="str">
        <f aca="false">HYPERLINK("https://mncourtfraud.com/file/27-CR-21-13144.pdf","27-CR-21-13144")</f>
        <v>27-CR-21-13144</v>
      </c>
      <c r="C1292" s="1" t="n">
        <v>1</v>
      </c>
      <c r="D1292" s="2" t="s">
        <v>12</v>
      </c>
      <c r="E1292" s="8" t="n">
        <v>45412</v>
      </c>
      <c r="F1292" s="2" t="s">
        <v>15</v>
      </c>
      <c r="G1292" s="7" t="str">
        <f aca="false">HYPERLINK("https://mncourtfraud.com/file/MCRO_27-CR-21-13144_Order-Evaluation for Competency to Proceed (Rule 20.01)_2024-04-30_20251126183105.pdf","MCRO_27-CR-21-13144_Order-Evaluation for Competency to Proceed (Rule 20.01)_2024-04-30_20251126183105.pdf")</f>
        <v>MCRO_27-CR-21-13144_Order-Evaluation for Competency to Proceed (Rule 20.01)_2024-04-30_20251126183105.pdf</v>
      </c>
      <c r="H1292" s="7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1292" s="1" t="s">
        <v>3406</v>
      </c>
      <c r="L1292" s="2" t="s">
        <v>3412</v>
      </c>
      <c r="M1292" s="2" t="n">
        <v>71271</v>
      </c>
      <c r="S1292" s="2" t="n">
        <v>2560</v>
      </c>
      <c r="T1292" s="2" t="n">
        <v>3300</v>
      </c>
    </row>
    <row r="1293" customFormat="false" ht="18.7" hidden="false" customHeight="true" outlineLevel="0" collapsed="false">
      <c r="A1293" s="1" t="n">
        <v>1292</v>
      </c>
      <c r="B1293" s="7" t="str">
        <f aca="false">HYPERLINK("https://mncourtfraud.com/file/27-CR-21-13144.pdf","27-CR-21-13144")</f>
        <v>27-CR-21-13144</v>
      </c>
      <c r="C1293" s="1" t="n">
        <v>1</v>
      </c>
      <c r="D1293" s="2" t="s">
        <v>12</v>
      </c>
      <c r="E1293" s="8" t="n">
        <v>45412</v>
      </c>
      <c r="F1293" s="2" t="s">
        <v>24</v>
      </c>
      <c r="G1293" s="7" t="str">
        <f aca="false">HYPERLINK("https://mncourtfraud.com/file/MCRO_27-CR-21-13144_Order for Conditional Release_2024-04-30_20251126182947.pdf","MCRO_27-CR-21-13144_Order for Conditional Release_2024-04-30_20251126182947.pdf")</f>
        <v>MCRO_27-CR-21-13144_Order for Conditional Release_2024-04-30_20251126182947.pdf</v>
      </c>
      <c r="H1293" s="7" t="str">
        <f aca="false">HYPERLINK("https://mncourtfraud.com/file/d5cf4f06aaee8f372e6af86dab12d75d131a3ba68ba6baeac4b7b514ef3e0b85.ttf","d5cf4f06aaee8f372e6af86dab12d75d131a3ba68ba6baeac4b7b514ef3e0b85")</f>
        <v>d5cf4f06aaee8f372e6af86dab12d75d131a3ba68ba6baeac4b7b514ef3e0b85</v>
      </c>
      <c r="I1293" s="1" t="s">
        <v>3413</v>
      </c>
      <c r="L1293" s="2" t="s">
        <v>3415</v>
      </c>
      <c r="M1293" s="2" t="n">
        <v>333576</v>
      </c>
    </row>
    <row r="1294" customFormat="false" ht="18.7" hidden="false" customHeight="true" outlineLevel="0" collapsed="false">
      <c r="A1294" s="1" t="n">
        <v>1293</v>
      </c>
      <c r="B1294" s="7" t="str">
        <f aca="false">HYPERLINK("https://mncourtfraud.com/file/27-CR-21-13144.pdf","27-CR-21-13144")</f>
        <v>27-CR-21-13144</v>
      </c>
      <c r="C1294" s="1" t="n">
        <v>1</v>
      </c>
      <c r="D1294" s="2" t="s">
        <v>12</v>
      </c>
      <c r="E1294" s="8" t="n">
        <v>45412</v>
      </c>
      <c r="F1294" s="2" t="s">
        <v>24</v>
      </c>
      <c r="G1294" s="7" t="str">
        <f aca="false">HYPERLINK("https://mncourtfraud.com/file/MCRO_27-CR-21-13144_Order for Conditional Release_2024-04-30_20251126182947.pdf","MCRO_27-CR-21-13144_Order for Conditional Release_2024-04-30_20251126182947.pdf")</f>
        <v>MCRO_27-CR-21-13144_Order for Conditional Release_2024-04-30_20251126182947.pdf</v>
      </c>
      <c r="H1294" s="7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1294" s="1" t="s">
        <v>3406</v>
      </c>
      <c r="L1294" s="2" t="s">
        <v>3412</v>
      </c>
      <c r="M1294" s="2" t="n">
        <v>195018</v>
      </c>
      <c r="S1294" s="2" t="n">
        <v>2560</v>
      </c>
      <c r="T1294" s="2" t="n">
        <v>3300</v>
      </c>
    </row>
    <row r="1295" customFormat="false" ht="18.7" hidden="false" customHeight="true" outlineLevel="0" collapsed="false">
      <c r="A1295" s="1" t="n">
        <v>1294</v>
      </c>
      <c r="B1295" s="7" t="str">
        <f aca="false">HYPERLINK("https://mncourtfraud.com/file/27-CR-21-13146.pdf","27-CR-21-13146")</f>
        <v>27-CR-21-13146</v>
      </c>
      <c r="C1295" s="1" t="n">
        <v>1</v>
      </c>
      <c r="D1295" s="2" t="s">
        <v>12</v>
      </c>
      <c r="E1295" s="8" t="n">
        <v>44396</v>
      </c>
      <c r="F1295" s="2" t="s">
        <v>15</v>
      </c>
      <c r="G1295" s="7" t="str">
        <f aca="false">HYPERLINK("https://mncourtfraud.com/file/MCRO_27-CR-21-13146_Order-Evaluation for Competency to Proceed (Rule 20.01)_2021-07-19_20251126183316.pdf","MCRO_27-CR-21-13146_Order-Evaluation for Competency to Proceed (Rule 20.01)_2021-07-19_20251126183316.pdf")</f>
        <v>MCRO_27-CR-21-13146_Order-Evaluation for Competency to Proceed (Rule 20.01)_2021-07-19_20251126183316.pdf</v>
      </c>
      <c r="H1295" s="7" t="str">
        <f aca="false">HYPERLINK("https://mncourtfraud.com/file/2d3b39158229da99bc522ae0ab1bef6401963c735bf6fc23b4c036fb68b0412c.png","2d3b39158229da99bc522ae0ab1bef6401963c735bf6fc23b4c036fb68b0412c")</f>
        <v>2d3b39158229da99bc522ae0ab1bef6401963c735bf6fc23b4c036fb68b0412c</v>
      </c>
      <c r="I1295" s="1" t="s">
        <v>3406</v>
      </c>
      <c r="L1295" s="2" t="s">
        <v>3412</v>
      </c>
      <c r="M1295" s="2" t="n">
        <v>144858</v>
      </c>
      <c r="S1295" s="2" t="n">
        <v>2550</v>
      </c>
      <c r="T1295" s="2" t="n">
        <v>3300</v>
      </c>
    </row>
    <row r="1296" customFormat="false" ht="18.7" hidden="false" customHeight="true" outlineLevel="0" collapsed="false">
      <c r="A1296" s="1" t="n">
        <v>1295</v>
      </c>
      <c r="B1296" s="7" t="str">
        <f aca="false">HYPERLINK("https://mncourtfraud.com/file/27-CR-21-13146.pdf","27-CR-21-13146")</f>
        <v>27-CR-21-13146</v>
      </c>
      <c r="C1296" s="1" t="n">
        <v>1</v>
      </c>
      <c r="D1296" s="2" t="s">
        <v>12</v>
      </c>
      <c r="E1296" s="8" t="n">
        <v>44396</v>
      </c>
      <c r="F1296" s="2" t="s">
        <v>15</v>
      </c>
      <c r="G1296" s="7" t="str">
        <f aca="false">HYPERLINK("https://mncourtfraud.com/file/MCRO_27-CR-21-13146_Order-Evaluation for Competency to Proceed (Rule 20.01)_2021-07-19_20251126183316.pdf","MCRO_27-CR-21-13146_Order-Evaluation for Competency to Proceed (Rule 20.01)_2021-07-19_20251126183316.pdf")</f>
        <v>MCRO_27-CR-21-13146_Order-Evaluation for Competency to Proceed (Rule 20.01)_2021-07-19_20251126183316.pdf</v>
      </c>
      <c r="H1296" s="7" t="str">
        <f aca="false">HYPERLINK("https://mncourtfraud.com/file/b075a55891d625dfa0deca010c55c1cac2d00c4da1df3af12990d1a4ebe665b6.png","b075a55891d625dfa0deca010c55c1cac2d00c4da1df3af12990d1a4ebe665b6")</f>
        <v>b075a55891d625dfa0deca010c55c1cac2d00c4da1df3af12990d1a4ebe665b6</v>
      </c>
      <c r="I1296" s="1" t="s">
        <v>3406</v>
      </c>
      <c r="L1296" s="2" t="s">
        <v>3412</v>
      </c>
      <c r="M1296" s="2" t="n">
        <v>153310</v>
      </c>
      <c r="S1296" s="2" t="n">
        <v>2550</v>
      </c>
      <c r="T1296" s="2" t="n">
        <v>3300</v>
      </c>
    </row>
    <row r="1297" customFormat="false" ht="18.7" hidden="false" customHeight="true" outlineLevel="0" collapsed="false">
      <c r="A1297" s="1" t="n">
        <v>1296</v>
      </c>
      <c r="B1297" s="7" t="str">
        <f aca="false">HYPERLINK("https://mncourtfraud.com/file/27-CR-21-13146.pdf","27-CR-21-13146")</f>
        <v>27-CR-21-13146</v>
      </c>
      <c r="C1297" s="1" t="n">
        <v>1</v>
      </c>
      <c r="D1297" s="2" t="s">
        <v>12</v>
      </c>
      <c r="E1297" s="8" t="n">
        <v>44396</v>
      </c>
      <c r="F1297" s="2" t="s">
        <v>15</v>
      </c>
      <c r="G1297" s="7" t="str">
        <f aca="false">HYPERLINK("https://mncourtfraud.com/file/MCRO_27-CR-21-13146_Order-Evaluation for Competency to Proceed (Rule 20.01)_2021-07-19_20251126183316.pdf","MCRO_27-CR-21-13146_Order-Evaluation for Competency to Proceed (Rule 20.01)_2021-07-19_20251126183316.pdf")</f>
        <v>MCRO_27-CR-21-13146_Order-Evaluation for Competency to Proceed (Rule 20.01)_2021-07-19_20251126183316.pdf</v>
      </c>
      <c r="H1297" s="7" t="str">
        <f aca="false">HYPERLINK("https://mncourtfraud.com/file/e090d95da5169fa019f6e4c96680ab94d6d6626db3222965b73c22d79954c915.ttf","e090d95da5169fa019f6e4c96680ab94d6d6626db3222965b73c22d79954c915")</f>
        <v>e090d95da5169fa019f6e4c96680ab94d6d6626db3222965b73c22d79954c915</v>
      </c>
      <c r="I1297" s="1" t="s">
        <v>3413</v>
      </c>
      <c r="L1297" s="2" t="s">
        <v>3415</v>
      </c>
      <c r="M1297" s="2" t="n">
        <v>333576</v>
      </c>
    </row>
    <row r="1298" customFormat="false" ht="18.7" hidden="false" customHeight="true" outlineLevel="0" collapsed="false">
      <c r="A1298" s="1" t="n">
        <v>1297</v>
      </c>
      <c r="B1298" s="7" t="str">
        <f aca="false">HYPERLINK("https://mncourtfraud.com/file/27-CR-21-13146.pdf","27-CR-21-13146")</f>
        <v>27-CR-21-13146</v>
      </c>
      <c r="C1298" s="1" t="n">
        <v>1</v>
      </c>
      <c r="D1298" s="2" t="s">
        <v>12</v>
      </c>
      <c r="E1298" s="8" t="n">
        <v>44405</v>
      </c>
      <c r="F1298" s="2" t="s">
        <v>145</v>
      </c>
      <c r="G1298" s="7" t="str">
        <f aca="false">HYPERLINK("https://mncourtfraud.com/file/MCRO_27-CR-21-13146_Demand or Request for Discovery_2021-07-28_20251126183146.pdf","MCRO_27-CR-21-13146_Demand or Request for Discovery_2021-07-28_20251126183146.pdf")</f>
        <v>MCRO_27-CR-21-13146_Demand or Request for Discovery_2021-07-28_20251126183146.pdf</v>
      </c>
      <c r="H1298" s="7" t="str">
        <f aca="false">HYPERLINK("https://mncourtfraud.com/file/00f312514cddf718dbc9aae0527de9a0ef10caba73b39ec349ec03174280021c.ttf","00f312514cddf718dbc9aae0527de9a0ef10caba73b39ec349ec03174280021c")</f>
        <v>00f312514cddf718dbc9aae0527de9a0ef10caba73b39ec349ec03174280021c</v>
      </c>
      <c r="I1298" s="1" t="s">
        <v>3413</v>
      </c>
      <c r="J1298" s="2" t="s">
        <v>3505</v>
      </c>
      <c r="K1298" s="2" t="s">
        <v>3505</v>
      </c>
      <c r="L1298" s="2" t="s">
        <v>3415</v>
      </c>
      <c r="M1298" s="2" t="n">
        <v>51515</v>
      </c>
      <c r="N1298" s="2" t="s">
        <v>3506</v>
      </c>
    </row>
    <row r="1299" customFormat="false" ht="18.7" hidden="false" customHeight="true" outlineLevel="0" collapsed="false">
      <c r="A1299" s="1" t="n">
        <v>1298</v>
      </c>
      <c r="B1299" s="7" t="str">
        <f aca="false">HYPERLINK("https://mncourtfraud.com/file/27-CR-21-13146.pdf","27-CR-21-13146")</f>
        <v>27-CR-21-13146</v>
      </c>
      <c r="C1299" s="1" t="n">
        <v>1</v>
      </c>
      <c r="D1299" s="2" t="s">
        <v>12</v>
      </c>
      <c r="E1299" s="8" t="n">
        <v>44405</v>
      </c>
      <c r="F1299" s="2" t="s">
        <v>145</v>
      </c>
      <c r="G1299" s="7" t="str">
        <f aca="false">HYPERLINK("https://mncourtfraud.com/file/MCRO_27-CR-21-13146_Demand or Request for Discovery_2021-07-28_20251126183146.pdf","MCRO_27-CR-21-13146_Demand or Request for Discovery_2021-07-28_20251126183146.pdf")</f>
        <v>MCRO_27-CR-21-13146_Demand or Request for Discovery_2021-07-28_20251126183146.pdf</v>
      </c>
      <c r="H1299" s="7" t="str">
        <f aca="false">HYPERLINK("https://mncourtfraud.com/file/0512f9506d8dbac7e478bbe5788b39b90cfeb2f03f492d3606863c103b3ca378.ttf","0512f9506d8dbac7e478bbe5788b39b90cfeb2f03f492d3606863c103b3ca378")</f>
        <v>0512f9506d8dbac7e478bbe5788b39b90cfeb2f03f492d3606863c103b3ca378</v>
      </c>
      <c r="I1299" s="1" t="s">
        <v>3413</v>
      </c>
      <c r="J1299" s="2" t="s">
        <v>3507</v>
      </c>
      <c r="K1299" s="2" t="s">
        <v>3507</v>
      </c>
      <c r="L1299" s="2" t="s">
        <v>3415</v>
      </c>
      <c r="M1299" s="2" t="n">
        <v>98894</v>
      </c>
      <c r="N1299" s="2" t="s">
        <v>3508</v>
      </c>
    </row>
    <row r="1300" customFormat="false" ht="18.7" hidden="false" customHeight="true" outlineLevel="0" collapsed="false">
      <c r="A1300" s="1" t="n">
        <v>1299</v>
      </c>
      <c r="B1300" s="7" t="str">
        <f aca="false">HYPERLINK("https://mncourtfraud.com/file/27-CR-21-13146.pdf","27-CR-21-13146")</f>
        <v>27-CR-21-13146</v>
      </c>
      <c r="C1300" s="1" t="n">
        <v>1</v>
      </c>
      <c r="D1300" s="2" t="s">
        <v>12</v>
      </c>
      <c r="E1300" s="8" t="n">
        <v>44405</v>
      </c>
      <c r="F1300" s="2" t="s">
        <v>145</v>
      </c>
      <c r="G1300" s="7" t="str">
        <f aca="false">HYPERLINK("https://mncourtfraud.com/file/MCRO_27-CR-21-13146_Demand or Request for Discovery_2021-07-28_20251126183146.pdf","MCRO_27-CR-21-13146_Demand or Request for Discovery_2021-07-28_20251126183146.pdf")</f>
        <v>MCRO_27-CR-21-13146_Demand or Request for Discovery_2021-07-28_20251126183146.pdf</v>
      </c>
      <c r="H1300" s="7" t="str">
        <f aca="false">HYPERLINK("https://mncourtfraud.com/file/b8fd6d0d31df0e37e1fd63ded9ad621695731c730bdfb5175732dc7ad40730f2.ttf","b8fd6d0d31df0e37e1fd63ded9ad621695731c730bdfb5175732dc7ad40730f2")</f>
        <v>b8fd6d0d31df0e37e1fd63ded9ad621695731c730bdfb5175732dc7ad40730f2</v>
      </c>
      <c r="I1300" s="1" t="s">
        <v>3413</v>
      </c>
      <c r="J1300" s="2" t="s">
        <v>3509</v>
      </c>
      <c r="K1300" s="2" t="s">
        <v>3509</v>
      </c>
      <c r="L1300" s="2" t="s">
        <v>3415</v>
      </c>
      <c r="M1300" s="2" t="n">
        <v>38978</v>
      </c>
      <c r="N1300" s="2" t="s">
        <v>3510</v>
      </c>
    </row>
    <row r="1301" customFormat="false" ht="18.7" hidden="false" customHeight="true" outlineLevel="0" collapsed="false">
      <c r="A1301" s="1" t="n">
        <v>1300</v>
      </c>
      <c r="B1301" s="7" t="str">
        <f aca="false">HYPERLINK("https://mncourtfraud.com/file/27-CR-21-13146.pdf","27-CR-21-13146")</f>
        <v>27-CR-21-13146</v>
      </c>
      <c r="C1301" s="1" t="n">
        <v>1</v>
      </c>
      <c r="D1301" s="2" t="s">
        <v>12</v>
      </c>
      <c r="E1301" s="8" t="n">
        <v>44405</v>
      </c>
      <c r="F1301" s="2" t="s">
        <v>145</v>
      </c>
      <c r="G1301" s="7" t="str">
        <f aca="false">HYPERLINK("https://mncourtfraud.com/file/MCRO_27-CR-21-13146_Demand or Request for Discovery_2021-07-28_20251126183146.pdf","MCRO_27-CR-21-13146_Demand or Request for Discovery_2021-07-28_20251126183146.pdf")</f>
        <v>MCRO_27-CR-21-13146_Demand or Request for Discovery_2021-07-28_20251126183146.pdf</v>
      </c>
      <c r="H1301" s="7" t="str">
        <f aca="false">HYPERLINK("https://mncourtfraud.com/file/e54b4bbc1263c3092c3c37475f744c6dfe88dae38f3de84bc27e139563191a53.ttf","e54b4bbc1263c3092c3c37475f744c6dfe88dae38f3de84bc27e139563191a53")</f>
        <v>e54b4bbc1263c3092c3c37475f744c6dfe88dae38f3de84bc27e139563191a53</v>
      </c>
      <c r="I1301" s="1" t="s">
        <v>3413</v>
      </c>
      <c r="J1301" s="2" t="s">
        <v>3511</v>
      </c>
      <c r="K1301" s="2" t="s">
        <v>3511</v>
      </c>
      <c r="L1301" s="2" t="s">
        <v>3415</v>
      </c>
      <c r="M1301" s="2" t="n">
        <v>77826</v>
      </c>
      <c r="N1301" s="2" t="s">
        <v>3512</v>
      </c>
    </row>
    <row r="1302" customFormat="false" ht="18.7" hidden="false" customHeight="true" outlineLevel="0" collapsed="false">
      <c r="A1302" s="1" t="n">
        <v>1301</v>
      </c>
      <c r="B1302" s="7" t="str">
        <f aca="false">HYPERLINK("https://mncourtfraud.com/file/27-CR-21-13146.pdf","27-CR-21-13146")</f>
        <v>27-CR-21-13146</v>
      </c>
      <c r="C1302" s="1" t="n">
        <v>1</v>
      </c>
      <c r="D1302" s="2" t="s">
        <v>12</v>
      </c>
      <c r="E1302" s="8" t="n">
        <v>44439</v>
      </c>
      <c r="F1302" s="2" t="s">
        <v>19</v>
      </c>
      <c r="G1302" s="7" t="str">
        <f aca="false">HYPERLINK("https://mncourtfraud.com/file/MCRO_27-CR-21-13146_Findings and Order_2021-08-31_20251126183219.pdf","MCRO_27-CR-21-13146_Findings and Order_2021-08-31_20251126183219.pdf")</f>
        <v>MCRO_27-CR-21-13146_Findings and Order_2021-08-31_20251126183219.pdf</v>
      </c>
      <c r="H1302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1302" s="1" t="s">
        <v>3413</v>
      </c>
      <c r="J1302" s="2" t="s">
        <v>3426</v>
      </c>
      <c r="K1302" s="2" t="s">
        <v>3426</v>
      </c>
      <c r="L1302" s="2" t="s">
        <v>3415</v>
      </c>
      <c r="M1302" s="2" t="n">
        <v>74997</v>
      </c>
      <c r="N1302" s="2" t="s">
        <v>3427</v>
      </c>
    </row>
    <row r="1303" customFormat="false" ht="18.7" hidden="false" customHeight="true" outlineLevel="0" collapsed="false">
      <c r="A1303" s="1" t="n">
        <v>1302</v>
      </c>
      <c r="B1303" s="7" t="str">
        <f aca="false">HYPERLINK("https://mncourtfraud.com/file/27-CR-21-13146.pdf","27-CR-21-13146")</f>
        <v>27-CR-21-13146</v>
      </c>
      <c r="C1303" s="1" t="n">
        <v>1</v>
      </c>
      <c r="D1303" s="2" t="s">
        <v>12</v>
      </c>
      <c r="E1303" s="8" t="n">
        <v>44439</v>
      </c>
      <c r="F1303" s="2" t="s">
        <v>19</v>
      </c>
      <c r="G1303" s="7" t="str">
        <f aca="false">HYPERLINK("https://mncourtfraud.com/file/MCRO_27-CR-21-13146_Findings and Order_2021-08-31_20251126183219.pdf","MCRO_27-CR-21-13146_Findings and Order_2021-08-31_20251126183219.pdf")</f>
        <v>MCRO_27-CR-21-13146_Findings and Order_2021-08-31_20251126183219.pdf</v>
      </c>
      <c r="H1303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1303" s="1" t="s">
        <v>3413</v>
      </c>
      <c r="J1303" s="2" t="s">
        <v>3414</v>
      </c>
      <c r="K1303" s="2" t="s">
        <v>3414</v>
      </c>
      <c r="L1303" s="2" t="s">
        <v>3415</v>
      </c>
      <c r="M1303" s="2" t="n">
        <v>65384</v>
      </c>
    </row>
    <row r="1304" customFormat="false" ht="18.7" hidden="false" customHeight="true" outlineLevel="0" collapsed="false">
      <c r="A1304" s="1" t="n">
        <v>1303</v>
      </c>
      <c r="B1304" s="7" t="str">
        <f aca="false">HYPERLINK("https://mncourtfraud.com/file/27-CR-21-13146.pdf","27-CR-21-13146")</f>
        <v>27-CR-21-13146</v>
      </c>
      <c r="C1304" s="1" t="n">
        <v>1</v>
      </c>
      <c r="D1304" s="2" t="s">
        <v>12</v>
      </c>
      <c r="E1304" s="8" t="n">
        <v>44439</v>
      </c>
      <c r="F1304" s="2" t="s">
        <v>19</v>
      </c>
      <c r="G1304" s="7" t="str">
        <f aca="false">HYPERLINK("https://mncourtfraud.com/file/MCRO_27-CR-21-13146_Findings and Order_2021-08-31_20251126183219.pdf","MCRO_27-CR-21-13146_Findings and Order_2021-08-31_20251126183219.pdf")</f>
        <v>MCRO_27-CR-21-13146_Findings and Order_2021-08-31_20251126183219.pdf</v>
      </c>
      <c r="H1304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1304" s="1" t="s">
        <v>3413</v>
      </c>
      <c r="J1304" s="2" t="s">
        <v>3414</v>
      </c>
      <c r="K1304" s="2" t="s">
        <v>3414</v>
      </c>
      <c r="L1304" s="2" t="s">
        <v>3415</v>
      </c>
      <c r="M1304" s="2" t="n">
        <v>65384</v>
      </c>
    </row>
    <row r="1305" customFormat="false" ht="18.7" hidden="false" customHeight="true" outlineLevel="0" collapsed="false">
      <c r="A1305" s="1" t="n">
        <v>1304</v>
      </c>
      <c r="B1305" s="7" t="str">
        <f aca="false">HYPERLINK("https://mncourtfraud.com/file/27-CR-21-13146.pdf","27-CR-21-13146")</f>
        <v>27-CR-21-13146</v>
      </c>
      <c r="C1305" s="1" t="n">
        <v>1</v>
      </c>
      <c r="D1305" s="2" t="s">
        <v>12</v>
      </c>
      <c r="E1305" s="8" t="n">
        <v>44439</v>
      </c>
      <c r="F1305" s="2" t="s">
        <v>19</v>
      </c>
      <c r="G1305" s="7" t="str">
        <f aca="false">HYPERLINK("https://mncourtfraud.com/file/MCRO_27-CR-21-13146_Findings and Order_2021-08-31_20251126183219.pdf","MCRO_27-CR-21-13146_Findings and Order_2021-08-31_20251126183219.pdf")</f>
        <v>MCRO_27-CR-21-13146_Findings and Order_2021-08-31_20251126183219.pdf</v>
      </c>
      <c r="H1305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1305" s="1" t="s">
        <v>3428</v>
      </c>
      <c r="J1305" s="2" t="s">
        <v>3429</v>
      </c>
      <c r="K1305" s="2" t="s">
        <v>3429</v>
      </c>
      <c r="L1305" s="2" t="s">
        <v>3415</v>
      </c>
      <c r="M1305" s="2" t="n">
        <v>86093</v>
      </c>
    </row>
    <row r="1306" customFormat="false" ht="18.7" hidden="false" customHeight="true" outlineLevel="0" collapsed="false">
      <c r="A1306" s="1" t="n">
        <v>1305</v>
      </c>
      <c r="B1306" s="7" t="str">
        <f aca="false">HYPERLINK("https://mncourtfraud.com/file/27-CR-21-13146.pdf","27-CR-21-13146")</f>
        <v>27-CR-21-13146</v>
      </c>
      <c r="C1306" s="1" t="n">
        <v>1</v>
      </c>
      <c r="D1306" s="2" t="s">
        <v>12</v>
      </c>
      <c r="E1306" s="8" t="n">
        <v>44439</v>
      </c>
      <c r="F1306" s="2" t="s">
        <v>19</v>
      </c>
      <c r="G1306" s="7" t="str">
        <f aca="false">HYPERLINK("https://mncourtfraud.com/file/MCRO_27-CR-21-13146_Findings and Order_2021-08-31_20251126183219.pdf","MCRO_27-CR-21-13146_Findings and Order_2021-08-31_20251126183219.pdf")</f>
        <v>MCRO_27-CR-21-13146_Findings and Order_2021-08-31_20251126183219.pdf</v>
      </c>
      <c r="H1306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1306" s="1" t="s">
        <v>3406</v>
      </c>
      <c r="K1306" s="2" t="s">
        <v>3430</v>
      </c>
      <c r="L1306" s="2" t="s">
        <v>3408</v>
      </c>
      <c r="M1306" s="2" t="n">
        <v>28069</v>
      </c>
      <c r="O1306" s="2" t="s">
        <v>3409</v>
      </c>
      <c r="P1306" s="2" t="s">
        <v>3410</v>
      </c>
      <c r="S1306" s="2" t="n">
        <v>448</v>
      </c>
      <c r="T1306" s="2" t="n">
        <v>128</v>
      </c>
    </row>
    <row r="1307" customFormat="false" ht="18.7" hidden="false" customHeight="true" outlineLevel="0" collapsed="false">
      <c r="A1307" s="1" t="n">
        <v>1306</v>
      </c>
      <c r="B1307" s="7" t="str">
        <f aca="false">HYPERLINK("https://mncourtfraud.com/file/27-CR-21-13146.pdf","27-CR-21-13146")</f>
        <v>27-CR-21-13146</v>
      </c>
      <c r="C1307" s="1" t="n">
        <v>1</v>
      </c>
      <c r="D1307" s="2" t="s">
        <v>12</v>
      </c>
      <c r="E1307" s="8" t="n">
        <v>44439</v>
      </c>
      <c r="F1307" s="2" t="s">
        <v>19</v>
      </c>
      <c r="G1307" s="7" t="str">
        <f aca="false">HYPERLINK("https://mncourtfraud.com/file/MCRO_27-CR-21-13146_Findings and Order_2021-08-31_20251126183219.pdf","MCRO_27-CR-21-13146_Findings and Order_2021-08-31_20251126183219.pdf")</f>
        <v>MCRO_27-CR-21-13146_Findings and Order_2021-08-31_20251126183219.pdf</v>
      </c>
      <c r="H1307" s="7" t="str">
        <f aca="false">HYPERLINK("https://mncourtfraud.com/file/d85226137c53579f37f2c87321a4ff209a309a82330591d9457774d7d697befc.ttf","d85226137c53579f37f2c87321a4ff209a309a82330591d9457774d7d697befc")</f>
        <v>d85226137c53579f37f2c87321a4ff209a309a82330591d9457774d7d697befc</v>
      </c>
      <c r="I1307" s="1" t="s">
        <v>3413</v>
      </c>
      <c r="J1307" s="2" t="s">
        <v>3414</v>
      </c>
      <c r="K1307" s="2" t="s">
        <v>3416</v>
      </c>
      <c r="L1307" s="2" t="s">
        <v>3415</v>
      </c>
      <c r="M1307" s="2" t="n">
        <v>49992</v>
      </c>
    </row>
    <row r="1308" customFormat="false" ht="18.7" hidden="false" customHeight="true" outlineLevel="0" collapsed="false">
      <c r="A1308" s="1" t="n">
        <v>1307</v>
      </c>
      <c r="B1308" s="7" t="str">
        <f aca="false">HYPERLINK("https://mncourtfraud.com/file/27-CR-21-13146.pdf","27-CR-21-13146")</f>
        <v>27-CR-21-13146</v>
      </c>
      <c r="C1308" s="1" t="n">
        <v>1</v>
      </c>
      <c r="D1308" s="2" t="s">
        <v>12</v>
      </c>
      <c r="E1308" s="8" t="n">
        <v>44460</v>
      </c>
      <c r="F1308" s="2" t="s">
        <v>24</v>
      </c>
      <c r="G1308" s="7" t="str">
        <f aca="false">HYPERLINK("https://mncourtfraud.com/file/MCRO_27-CR-21-13146_Order for Conditional Release_2021-09-21_20251126183258.pdf","MCRO_27-CR-21-13146_Order for Conditional Release_2021-09-21_20251126183258.pdf")</f>
        <v>MCRO_27-CR-21-13146_Order for Conditional Release_2021-09-21_20251126183258.pdf</v>
      </c>
      <c r="H1308" s="7" t="str">
        <f aca="false">HYPERLINK("https://mncourtfraud.com/file/02dfb6e08fd11b3563d1b9b621b56dbf2dc11acbd85e42bfd83f728fb300bef2.ttf","02dfb6e08fd11b3563d1b9b621b56dbf2dc11acbd85e42bfd83f728fb300bef2")</f>
        <v>02dfb6e08fd11b3563d1b9b621b56dbf2dc11acbd85e42bfd83f728fb300bef2</v>
      </c>
      <c r="I1308" s="1" t="s">
        <v>3413</v>
      </c>
      <c r="L1308" s="2" t="s">
        <v>3415</v>
      </c>
      <c r="M1308" s="2" t="n">
        <v>333576</v>
      </c>
    </row>
    <row r="1309" customFormat="false" ht="18.7" hidden="false" customHeight="true" outlineLevel="0" collapsed="false">
      <c r="A1309" s="1" t="n">
        <v>1308</v>
      </c>
      <c r="B1309" s="7" t="str">
        <f aca="false">HYPERLINK("https://mncourtfraud.com/file/27-CR-21-13146.pdf","27-CR-21-13146")</f>
        <v>27-CR-21-13146</v>
      </c>
      <c r="C1309" s="1" t="n">
        <v>1</v>
      </c>
      <c r="D1309" s="2" t="s">
        <v>12</v>
      </c>
      <c r="E1309" s="8" t="n">
        <v>44460</v>
      </c>
      <c r="F1309" s="2" t="s">
        <v>24</v>
      </c>
      <c r="G1309" s="7" t="str">
        <f aca="false">HYPERLINK("https://mncourtfraud.com/file/MCRO_27-CR-21-13146_Order for Conditional Release_2021-09-21_20251126183258.pdf","MCRO_27-CR-21-13146_Order for Conditional Release_2021-09-21_20251126183258.pdf")</f>
        <v>MCRO_27-CR-21-13146_Order for Conditional Release_2021-09-21_20251126183258.pdf</v>
      </c>
      <c r="H1309" s="7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1309" s="1" t="s">
        <v>3406</v>
      </c>
      <c r="L1309" s="2" t="s">
        <v>3412</v>
      </c>
      <c r="M1309" s="2" t="n">
        <v>152962</v>
      </c>
      <c r="S1309" s="2" t="n">
        <v>2560</v>
      </c>
      <c r="T1309" s="2" t="n">
        <v>3300</v>
      </c>
    </row>
    <row r="1310" customFormat="false" ht="18.7" hidden="false" customHeight="true" outlineLevel="0" collapsed="false">
      <c r="A1310" s="1" t="n">
        <v>1309</v>
      </c>
      <c r="B1310" s="7" t="str">
        <f aca="false">HYPERLINK("https://mncourtfraud.com/file/27-CR-21-13146.pdf","27-CR-21-13146")</f>
        <v>27-CR-21-13146</v>
      </c>
      <c r="C1310" s="1" t="n">
        <v>1</v>
      </c>
      <c r="D1310" s="2" t="s">
        <v>12</v>
      </c>
      <c r="E1310" s="8" t="n">
        <v>44468</v>
      </c>
      <c r="F1310" s="2" t="s">
        <v>24</v>
      </c>
      <c r="G1310" s="7" t="str">
        <f aca="false">HYPERLINK("https://mncourtfraud.com/file/MCRO_27-CR-21-13146_Order for Conditional Release_2021-09-29_20251126183304.pdf","MCRO_27-CR-21-13146_Order for Conditional Release_2021-09-29_20251126183304.pdf")</f>
        <v>MCRO_27-CR-21-13146_Order for Conditional Release_2021-09-29_20251126183304.pdf</v>
      </c>
      <c r="H1310" s="7" t="str">
        <f aca="false">HYPERLINK("https://mncourtfraud.com/file/29d541cb6920f2a0815a72232c8164e19ffda7ff89f025261d343aef97d55c23.png","29d541cb6920f2a0815a72232c8164e19ffda7ff89f025261d343aef97d55c23")</f>
        <v>29d541cb6920f2a0815a72232c8164e19ffda7ff89f025261d343aef97d55c23</v>
      </c>
      <c r="I1310" s="1" t="s">
        <v>3406</v>
      </c>
      <c r="L1310" s="2" t="s">
        <v>3412</v>
      </c>
      <c r="M1310" s="2" t="n">
        <v>104</v>
      </c>
      <c r="S1310" s="2" t="n">
        <v>5</v>
      </c>
      <c r="T1310" s="2" t="n">
        <v>75</v>
      </c>
    </row>
    <row r="1311" customFormat="false" ht="18.7" hidden="false" customHeight="true" outlineLevel="0" collapsed="false">
      <c r="A1311" s="1" t="n">
        <v>1310</v>
      </c>
      <c r="B1311" s="7" t="str">
        <f aca="false">HYPERLINK("https://mncourtfraud.com/file/27-CR-21-13146.pdf","27-CR-21-13146")</f>
        <v>27-CR-21-13146</v>
      </c>
      <c r="C1311" s="1" t="n">
        <v>1</v>
      </c>
      <c r="D1311" s="2" t="s">
        <v>12</v>
      </c>
      <c r="E1311" s="8" t="n">
        <v>44468</v>
      </c>
      <c r="F1311" s="2" t="s">
        <v>24</v>
      </c>
      <c r="G1311" s="7" t="str">
        <f aca="false">HYPERLINK("https://mncourtfraud.com/file/MCRO_27-CR-21-13146_Order for Conditional Release_2021-09-29_20251126183304.pdf","MCRO_27-CR-21-13146_Order for Conditional Release_2021-09-29_20251126183304.pdf")</f>
        <v>MCRO_27-CR-21-13146_Order for Conditional Release_2021-09-29_20251126183304.pdf</v>
      </c>
      <c r="H1311" s="7" t="str">
        <f aca="false">HYPERLINK("https://mncourtfraud.com/file/3d978c70f8a4a91fd25d0f653c2931516767fdd837fcadff75a8c3cd2ba3a28e.png","3d978c70f8a4a91fd25d0f653c2931516767fdd837fcadff75a8c3cd2ba3a28e")</f>
        <v>3d978c70f8a4a91fd25d0f653c2931516767fdd837fcadff75a8c3cd2ba3a28e</v>
      </c>
      <c r="I1311" s="1" t="s">
        <v>3406</v>
      </c>
      <c r="L1311" s="2" t="s">
        <v>3412</v>
      </c>
      <c r="M1311" s="2" t="n">
        <v>2435</v>
      </c>
      <c r="S1311" s="2" t="n">
        <v>1069</v>
      </c>
      <c r="T1311" s="2" t="n">
        <v>679</v>
      </c>
    </row>
    <row r="1312" customFormat="false" ht="18.7" hidden="false" customHeight="true" outlineLevel="0" collapsed="false">
      <c r="A1312" s="1" t="n">
        <v>1311</v>
      </c>
      <c r="B1312" s="7" t="str">
        <f aca="false">HYPERLINK("https://mncourtfraud.com/file/27-CR-21-13146.pdf","27-CR-21-13146")</f>
        <v>27-CR-21-13146</v>
      </c>
      <c r="C1312" s="1" t="n">
        <v>1</v>
      </c>
      <c r="D1312" s="2" t="s">
        <v>12</v>
      </c>
      <c r="E1312" s="8" t="n">
        <v>44468</v>
      </c>
      <c r="F1312" s="2" t="s">
        <v>24</v>
      </c>
      <c r="G1312" s="7" t="str">
        <f aca="false">HYPERLINK("https://mncourtfraud.com/file/MCRO_27-CR-21-13146_Order for Conditional Release_2021-09-29_20251126183304.pdf","MCRO_27-CR-21-13146_Order for Conditional Release_2021-09-29_20251126183304.pdf")</f>
        <v>MCRO_27-CR-21-13146_Order for Conditional Release_2021-09-29_20251126183304.pdf</v>
      </c>
      <c r="H1312" s="7" t="str">
        <f aca="false">HYPERLINK("https://mncourtfraud.com/file/3f202249d41f264cabf7a4fd2c634829df7886c25cb759658f06c1a8bca28360.cid","3f202249d41f264cabf7a4fd2c634829df7886c25cb759658f06c1a8bca28360")</f>
        <v>3f202249d41f264cabf7a4fd2c634829df7886c25cb759658f06c1a8bca28360</v>
      </c>
      <c r="I1312" s="1" t="s">
        <v>3431</v>
      </c>
      <c r="L1312" s="2" t="s">
        <v>3415</v>
      </c>
      <c r="M1312" s="2" t="n">
        <v>1397</v>
      </c>
    </row>
    <row r="1313" customFormat="false" ht="18.7" hidden="false" customHeight="true" outlineLevel="0" collapsed="false">
      <c r="A1313" s="1" t="n">
        <v>1312</v>
      </c>
      <c r="B1313" s="7" t="str">
        <f aca="false">HYPERLINK("https://mncourtfraud.com/file/27-CR-21-13146.pdf","27-CR-21-13146")</f>
        <v>27-CR-21-13146</v>
      </c>
      <c r="C1313" s="1" t="n">
        <v>1</v>
      </c>
      <c r="D1313" s="2" t="s">
        <v>12</v>
      </c>
      <c r="E1313" s="8" t="n">
        <v>44468</v>
      </c>
      <c r="F1313" s="2" t="s">
        <v>24</v>
      </c>
      <c r="G1313" s="7" t="str">
        <f aca="false">HYPERLINK("https://mncourtfraud.com/file/MCRO_27-CR-21-13146_Order for Conditional Release_2021-09-29_20251126183304.pdf","MCRO_27-CR-21-13146_Order for Conditional Release_2021-09-29_20251126183304.pdf")</f>
        <v>MCRO_27-CR-21-13146_Order for Conditional Release_2021-09-29_20251126183304.pdf</v>
      </c>
      <c r="H1313" s="7" t="str">
        <f aca="false">HYPERLINK("https://mncourtfraud.com/file/425a64ecdc19aa0c86b927b2be8980d179c92ac4af2a49d3c3ad0aa278728c52.png","425a64ecdc19aa0c86b927b2be8980d179c92ac4af2a49d3c3ad0aa278728c52")</f>
        <v>425a64ecdc19aa0c86b927b2be8980d179c92ac4af2a49d3c3ad0aa278728c52</v>
      </c>
      <c r="I1313" s="1" t="s">
        <v>3406</v>
      </c>
      <c r="L1313" s="2" t="s">
        <v>3412</v>
      </c>
      <c r="M1313" s="2" t="n">
        <v>520</v>
      </c>
      <c r="S1313" s="2" t="n">
        <v>126</v>
      </c>
      <c r="T1313" s="2" t="n">
        <v>150</v>
      </c>
    </row>
    <row r="1314" customFormat="false" ht="18.7" hidden="false" customHeight="true" outlineLevel="0" collapsed="false">
      <c r="A1314" s="1" t="n">
        <v>1313</v>
      </c>
      <c r="B1314" s="7" t="str">
        <f aca="false">HYPERLINK("https://mncourtfraud.com/file/27-CR-21-13146.pdf","27-CR-21-13146")</f>
        <v>27-CR-21-13146</v>
      </c>
      <c r="C1314" s="1" t="n">
        <v>1</v>
      </c>
      <c r="D1314" s="2" t="s">
        <v>12</v>
      </c>
      <c r="E1314" s="8" t="n">
        <v>44468</v>
      </c>
      <c r="F1314" s="2" t="s">
        <v>24</v>
      </c>
      <c r="G1314" s="7" t="str">
        <f aca="false">HYPERLINK("https://mncourtfraud.com/file/MCRO_27-CR-21-13146_Order for Conditional Release_2021-09-29_20251126183304.pdf","MCRO_27-CR-21-13146_Order for Conditional Release_2021-09-29_20251126183304.pdf")</f>
        <v>MCRO_27-CR-21-13146_Order for Conditional Release_2021-09-29_20251126183304.pdf</v>
      </c>
      <c r="H1314" s="7" t="str">
        <f aca="false">HYPERLINK("https://mncourtfraud.com/file/4458a2b033c8132fd890227750c1df180ec4563b9dc0a6394b3691240425c9b3.cid","4458a2b033c8132fd890227750c1df180ec4563b9dc0a6394b3691240425c9b3")</f>
        <v>4458a2b033c8132fd890227750c1df180ec4563b9dc0a6394b3691240425c9b3</v>
      </c>
      <c r="I1314" s="1" t="s">
        <v>3431</v>
      </c>
      <c r="L1314" s="2" t="s">
        <v>3415</v>
      </c>
      <c r="M1314" s="2" t="n">
        <v>3580</v>
      </c>
    </row>
    <row r="1315" customFormat="false" ht="18.7" hidden="false" customHeight="true" outlineLevel="0" collapsed="false">
      <c r="A1315" s="1" t="n">
        <v>1314</v>
      </c>
      <c r="B1315" s="7" t="str">
        <f aca="false">HYPERLINK("https://mncourtfraud.com/file/27-CR-21-13146.pdf","27-CR-21-13146")</f>
        <v>27-CR-21-13146</v>
      </c>
      <c r="C1315" s="1" t="n">
        <v>1</v>
      </c>
      <c r="D1315" s="2" t="s">
        <v>12</v>
      </c>
      <c r="E1315" s="8" t="n">
        <v>44468</v>
      </c>
      <c r="F1315" s="2" t="s">
        <v>24</v>
      </c>
      <c r="G1315" s="7" t="str">
        <f aca="false">HYPERLINK("https://mncourtfraud.com/file/MCRO_27-CR-21-13146_Order for Conditional Release_2021-09-29_20251126183304.pdf","MCRO_27-CR-21-13146_Order for Conditional Release_2021-09-29_20251126183304.pdf")</f>
        <v>MCRO_27-CR-21-13146_Order for Conditional Release_2021-09-29_20251126183304.pdf</v>
      </c>
      <c r="H1315" s="7" t="str">
        <f aca="false">HYPERLINK("https://mncourtfraud.com/file/45a9f49ddf96d4a4dcf4561d2702204f448986045babf3fdd52fa18200557e31.png","45a9f49ddf96d4a4dcf4561d2702204f448986045babf3fdd52fa18200557e31")</f>
        <v>45a9f49ddf96d4a4dcf4561d2702204f448986045babf3fdd52fa18200557e31</v>
      </c>
      <c r="I1315" s="1" t="s">
        <v>3406</v>
      </c>
      <c r="L1315" s="2" t="s">
        <v>3412</v>
      </c>
      <c r="M1315" s="2" t="n">
        <v>97</v>
      </c>
      <c r="S1315" s="2" t="n">
        <v>3</v>
      </c>
      <c r="T1315" s="2" t="n">
        <v>4</v>
      </c>
    </row>
    <row r="1316" customFormat="false" ht="18.7" hidden="false" customHeight="true" outlineLevel="0" collapsed="false">
      <c r="A1316" s="1" t="n">
        <v>1315</v>
      </c>
      <c r="B1316" s="7" t="str">
        <f aca="false">HYPERLINK("https://mncourtfraud.com/file/27-CR-21-13146.pdf","27-CR-21-13146")</f>
        <v>27-CR-21-13146</v>
      </c>
      <c r="C1316" s="1" t="n">
        <v>1</v>
      </c>
      <c r="D1316" s="2" t="s">
        <v>12</v>
      </c>
      <c r="E1316" s="8" t="n">
        <v>44468</v>
      </c>
      <c r="F1316" s="2" t="s">
        <v>24</v>
      </c>
      <c r="G1316" s="7" t="str">
        <f aca="false">HYPERLINK("https://mncourtfraud.com/file/MCRO_27-CR-21-13146_Order for Conditional Release_2021-09-29_20251126183304.pdf","MCRO_27-CR-21-13146_Order for Conditional Release_2021-09-29_20251126183304.pdf")</f>
        <v>MCRO_27-CR-21-13146_Order for Conditional Release_2021-09-29_20251126183304.pdf</v>
      </c>
      <c r="H1316" s="7" t="str">
        <f aca="false">HYPERLINK("https://mncourtfraud.com/file/50457dc3e0bb6204f128f3222c76884dffaf132a86395902e3967a44a5d511ed.cid","50457dc3e0bb6204f128f3222c76884dffaf132a86395902e3967a44a5d511ed")</f>
        <v>50457dc3e0bb6204f128f3222c76884dffaf132a86395902e3967a44a5d511ed</v>
      </c>
      <c r="I1316" s="1" t="s">
        <v>3431</v>
      </c>
      <c r="L1316" s="2" t="s">
        <v>3415</v>
      </c>
      <c r="M1316" s="2" t="n">
        <v>2839</v>
      </c>
    </row>
    <row r="1317" customFormat="false" ht="18.7" hidden="false" customHeight="true" outlineLevel="0" collapsed="false">
      <c r="A1317" s="1" t="n">
        <v>1316</v>
      </c>
      <c r="B1317" s="7" t="str">
        <f aca="false">HYPERLINK("https://mncourtfraud.com/file/27-CR-21-13146.pdf","27-CR-21-13146")</f>
        <v>27-CR-21-13146</v>
      </c>
      <c r="C1317" s="1" t="n">
        <v>1</v>
      </c>
      <c r="D1317" s="2" t="s">
        <v>12</v>
      </c>
      <c r="E1317" s="8" t="n">
        <v>44468</v>
      </c>
      <c r="F1317" s="2" t="s">
        <v>24</v>
      </c>
      <c r="G1317" s="7" t="str">
        <f aca="false">HYPERLINK("https://mncourtfraud.com/file/MCRO_27-CR-21-13146_Order for Conditional Release_2021-09-29_20251126183304.pdf","MCRO_27-CR-21-13146_Order for Conditional Release_2021-09-29_20251126183304.pdf")</f>
        <v>MCRO_27-CR-21-13146_Order for Conditional Release_2021-09-29_20251126183304.pdf</v>
      </c>
      <c r="H1317" s="7" t="str">
        <f aca="false">HYPERLINK("https://mncourtfraud.com/file/52f2827f81e9a21813e5089396a7afa6accf4023998e877d3b9460283e0bb9a5.cid","52f2827f81e9a21813e5089396a7afa6accf4023998e877d3b9460283e0bb9a5")</f>
        <v>52f2827f81e9a21813e5089396a7afa6accf4023998e877d3b9460283e0bb9a5</v>
      </c>
      <c r="I1317" s="1" t="s">
        <v>3431</v>
      </c>
      <c r="L1317" s="2" t="s">
        <v>3415</v>
      </c>
      <c r="M1317" s="2" t="n">
        <v>381</v>
      </c>
    </row>
    <row r="1318" customFormat="false" ht="18.7" hidden="false" customHeight="true" outlineLevel="0" collapsed="false">
      <c r="A1318" s="1" t="n">
        <v>1317</v>
      </c>
      <c r="B1318" s="7" t="str">
        <f aca="false">HYPERLINK("https://mncourtfraud.com/file/27-CR-21-13146.pdf","27-CR-21-13146")</f>
        <v>27-CR-21-13146</v>
      </c>
      <c r="C1318" s="1" t="n">
        <v>1</v>
      </c>
      <c r="D1318" s="2" t="s">
        <v>12</v>
      </c>
      <c r="E1318" s="8" t="n">
        <v>44468</v>
      </c>
      <c r="F1318" s="2" t="s">
        <v>24</v>
      </c>
      <c r="G1318" s="7" t="str">
        <f aca="false">HYPERLINK("https://mncourtfraud.com/file/MCRO_27-CR-21-13146_Order for Conditional Release_2021-09-29_20251126183304.pdf","MCRO_27-CR-21-13146_Order for Conditional Release_2021-09-29_20251126183304.pdf")</f>
        <v>MCRO_27-CR-21-13146_Order for Conditional Release_2021-09-29_20251126183304.pdf</v>
      </c>
      <c r="H1318" s="7" t="str">
        <f aca="false">HYPERLINK("https://mncourtfraud.com/file/5bf127b8427f0831bc8864aa549643604be6b63d8ca96ff1ba7182ccec9bc2ad.cid","5bf127b8427f0831bc8864aa549643604be6b63d8ca96ff1ba7182ccec9bc2ad")</f>
        <v>5bf127b8427f0831bc8864aa549643604be6b63d8ca96ff1ba7182ccec9bc2ad</v>
      </c>
      <c r="I1318" s="1" t="s">
        <v>3431</v>
      </c>
      <c r="L1318" s="2" t="s">
        <v>3415</v>
      </c>
      <c r="M1318" s="2" t="n">
        <v>7990</v>
      </c>
    </row>
    <row r="1319" customFormat="false" ht="18.7" hidden="false" customHeight="true" outlineLevel="0" collapsed="false">
      <c r="A1319" s="1" t="n">
        <v>1318</v>
      </c>
      <c r="B1319" s="7" t="str">
        <f aca="false">HYPERLINK("https://mncourtfraud.com/file/27-CR-21-13146.pdf","27-CR-21-13146")</f>
        <v>27-CR-21-13146</v>
      </c>
      <c r="C1319" s="1" t="n">
        <v>1</v>
      </c>
      <c r="D1319" s="2" t="s">
        <v>12</v>
      </c>
      <c r="E1319" s="8" t="n">
        <v>44468</v>
      </c>
      <c r="F1319" s="2" t="s">
        <v>24</v>
      </c>
      <c r="G1319" s="7" t="str">
        <f aca="false">HYPERLINK("https://mncourtfraud.com/file/MCRO_27-CR-21-13146_Order for Conditional Release_2021-09-29_20251126183304.pdf","MCRO_27-CR-21-13146_Order for Conditional Release_2021-09-29_20251126183304.pdf")</f>
        <v>MCRO_27-CR-21-13146_Order for Conditional Release_2021-09-29_20251126183304.pdf</v>
      </c>
      <c r="H1319" s="7" t="str">
        <f aca="false">HYPERLINK("https://mncourtfraud.com/file/614121b29b009262816a5b70532c1a04ec73c5d83786c4500719e9e7d614a562.cid","614121b29b009262816a5b70532c1a04ec73c5d83786c4500719e9e7d614a562")</f>
        <v>614121b29b009262816a5b70532c1a04ec73c5d83786c4500719e9e7d614a562</v>
      </c>
      <c r="I1319" s="1" t="s">
        <v>3431</v>
      </c>
      <c r="L1319" s="2" t="s">
        <v>3415</v>
      </c>
      <c r="M1319" s="2" t="n">
        <v>5970</v>
      </c>
    </row>
    <row r="1320" customFormat="false" ht="18.7" hidden="false" customHeight="true" outlineLevel="0" collapsed="false">
      <c r="A1320" s="1" t="n">
        <v>1319</v>
      </c>
      <c r="B1320" s="7" t="str">
        <f aca="false">HYPERLINK("https://mncourtfraud.com/file/27-CR-21-13146.pdf","27-CR-21-13146")</f>
        <v>27-CR-21-13146</v>
      </c>
      <c r="C1320" s="1" t="n">
        <v>1</v>
      </c>
      <c r="D1320" s="2" t="s">
        <v>12</v>
      </c>
      <c r="E1320" s="8" t="n">
        <v>44468</v>
      </c>
      <c r="F1320" s="2" t="s">
        <v>24</v>
      </c>
      <c r="G1320" s="7" t="str">
        <f aca="false">HYPERLINK("https://mncourtfraud.com/file/MCRO_27-CR-21-13146_Order for Conditional Release_2021-09-29_20251126183304.pdf","MCRO_27-CR-21-13146_Order for Conditional Release_2021-09-29_20251126183304.pdf")</f>
        <v>MCRO_27-CR-21-13146_Order for Conditional Release_2021-09-29_20251126183304.pdf</v>
      </c>
      <c r="H1320" s="7" t="str">
        <f aca="false">HYPERLINK("https://mncourtfraud.com/file/7e14169e8fd6eddddd43bc2fc14557202f527587078dd29e867ad63570714e07.png","7e14169e8fd6eddddd43bc2fc14557202f527587078dd29e867ad63570714e07")</f>
        <v>7e14169e8fd6eddddd43bc2fc14557202f527587078dd29e867ad63570714e07</v>
      </c>
      <c r="I1320" s="1" t="s">
        <v>3406</v>
      </c>
      <c r="L1320" s="2" t="s">
        <v>3412</v>
      </c>
      <c r="M1320" s="2" t="n">
        <v>100</v>
      </c>
      <c r="S1320" s="2" t="n">
        <v>5</v>
      </c>
      <c r="T1320" s="2" t="n">
        <v>5</v>
      </c>
    </row>
    <row r="1321" customFormat="false" ht="18.7" hidden="false" customHeight="true" outlineLevel="0" collapsed="false">
      <c r="A1321" s="1" t="n">
        <v>1320</v>
      </c>
      <c r="B1321" s="7" t="str">
        <f aca="false">HYPERLINK("https://mncourtfraud.com/file/27-CR-21-13146.pdf","27-CR-21-13146")</f>
        <v>27-CR-21-13146</v>
      </c>
      <c r="C1321" s="1" t="n">
        <v>1</v>
      </c>
      <c r="D1321" s="2" t="s">
        <v>12</v>
      </c>
      <c r="E1321" s="8" t="n">
        <v>44468</v>
      </c>
      <c r="F1321" s="2" t="s">
        <v>24</v>
      </c>
      <c r="G1321" s="7" t="str">
        <f aca="false">HYPERLINK("https://mncourtfraud.com/file/MCRO_27-CR-21-13146_Order for Conditional Release_2021-09-29_20251126183304.pdf","MCRO_27-CR-21-13146_Order for Conditional Release_2021-09-29_20251126183304.pdf")</f>
        <v>MCRO_27-CR-21-13146_Order for Conditional Release_2021-09-29_20251126183304.pdf</v>
      </c>
      <c r="H1321" s="7" t="str">
        <f aca="false">HYPERLINK("https://mncourtfraud.com/file/8198df5372238cac138bb64883627cf42bfc08ac483ff14b35858ae098fa3e09.cid","8198df5372238cac138bb64883627cf42bfc08ac483ff14b35858ae098fa3e09")</f>
        <v>8198df5372238cac138bb64883627cf42bfc08ac483ff14b35858ae098fa3e09</v>
      </c>
      <c r="I1321" s="1" t="s">
        <v>3431</v>
      </c>
      <c r="L1321" s="2" t="s">
        <v>3415</v>
      </c>
      <c r="M1321" s="2" t="n">
        <v>3966</v>
      </c>
    </row>
    <row r="1322" customFormat="false" ht="18.7" hidden="false" customHeight="true" outlineLevel="0" collapsed="false">
      <c r="A1322" s="1" t="n">
        <v>1321</v>
      </c>
      <c r="B1322" s="7" t="str">
        <f aca="false">HYPERLINK("https://mncourtfraud.com/file/27-CR-21-13146.pdf","27-CR-21-13146")</f>
        <v>27-CR-21-13146</v>
      </c>
      <c r="C1322" s="1" t="n">
        <v>1</v>
      </c>
      <c r="D1322" s="2" t="s">
        <v>12</v>
      </c>
      <c r="E1322" s="8" t="n">
        <v>44468</v>
      </c>
      <c r="F1322" s="2" t="s">
        <v>24</v>
      </c>
      <c r="G1322" s="7" t="str">
        <f aca="false">HYPERLINK("https://mncourtfraud.com/file/MCRO_27-CR-21-13146_Order for Conditional Release_2021-09-29_20251126183304.pdf","MCRO_27-CR-21-13146_Order for Conditional Release_2021-09-29_20251126183304.pdf")</f>
        <v>MCRO_27-CR-21-13146_Order for Conditional Release_2021-09-29_20251126183304.pdf</v>
      </c>
      <c r="H1322" s="7" t="str">
        <f aca="false">HYPERLINK("https://mncourtfraud.com/file/8793bfb8eeebb59de729b22461b75a010eda532097214bf8285117449fae5b3c.png","8793bfb8eeebb59de729b22461b75a010eda532097214bf8285117449fae5b3c")</f>
        <v>8793bfb8eeebb59de729b22461b75a010eda532097214bf8285117449fae5b3c</v>
      </c>
      <c r="I1322" s="1" t="s">
        <v>3406</v>
      </c>
      <c r="L1322" s="2" t="s">
        <v>3412</v>
      </c>
      <c r="M1322" s="2" t="n">
        <v>104</v>
      </c>
      <c r="S1322" s="2" t="n">
        <v>6</v>
      </c>
      <c r="T1322" s="2" t="n">
        <v>4</v>
      </c>
    </row>
    <row r="1323" customFormat="false" ht="18.7" hidden="false" customHeight="true" outlineLevel="0" collapsed="false">
      <c r="A1323" s="1" t="n">
        <v>1322</v>
      </c>
      <c r="B1323" s="7" t="str">
        <f aca="false">HYPERLINK("https://mncourtfraud.com/file/27-CR-21-13146.pdf","27-CR-21-13146")</f>
        <v>27-CR-21-13146</v>
      </c>
      <c r="C1323" s="1" t="n">
        <v>1</v>
      </c>
      <c r="D1323" s="2" t="s">
        <v>12</v>
      </c>
      <c r="E1323" s="8" t="n">
        <v>44468</v>
      </c>
      <c r="F1323" s="2" t="s">
        <v>24</v>
      </c>
      <c r="G1323" s="7" t="str">
        <f aca="false">HYPERLINK("https://mncourtfraud.com/file/MCRO_27-CR-21-13146_Order for Conditional Release_2021-09-29_20251126183304.pdf","MCRO_27-CR-21-13146_Order for Conditional Release_2021-09-29_20251126183304.pdf")</f>
        <v>MCRO_27-CR-21-13146_Order for Conditional Release_2021-09-29_20251126183304.pdf</v>
      </c>
      <c r="H1323" s="7" t="str">
        <f aca="false">HYPERLINK("https://mncourtfraud.com/file/8c2e00c7a4e8974eff73eba397a59d5f5f25d249433535298973d70a9f79dec8.png","8c2e00c7a4e8974eff73eba397a59d5f5f25d249433535298973d70a9f79dec8")</f>
        <v>8c2e00c7a4e8974eff73eba397a59d5f5f25d249433535298973d70a9f79dec8</v>
      </c>
      <c r="I1323" s="1" t="s">
        <v>3406</v>
      </c>
      <c r="L1323" s="2" t="s">
        <v>3412</v>
      </c>
      <c r="M1323" s="2" t="n">
        <v>810</v>
      </c>
      <c r="S1323" s="2" t="n">
        <v>519</v>
      </c>
      <c r="T1323" s="2" t="n">
        <v>231</v>
      </c>
    </row>
    <row r="1324" customFormat="false" ht="18.7" hidden="false" customHeight="true" outlineLevel="0" collapsed="false">
      <c r="A1324" s="1" t="n">
        <v>1323</v>
      </c>
      <c r="B1324" s="7" t="str">
        <f aca="false">HYPERLINK("https://mncourtfraud.com/file/27-CR-21-13146.pdf","27-CR-21-13146")</f>
        <v>27-CR-21-13146</v>
      </c>
      <c r="C1324" s="1" t="n">
        <v>1</v>
      </c>
      <c r="D1324" s="2" t="s">
        <v>12</v>
      </c>
      <c r="E1324" s="8" t="n">
        <v>44468</v>
      </c>
      <c r="F1324" s="2" t="s">
        <v>24</v>
      </c>
      <c r="G1324" s="7" t="str">
        <f aca="false">HYPERLINK("https://mncourtfraud.com/file/MCRO_27-CR-21-13146_Order for Conditional Release_2021-09-29_20251126183304.pdf","MCRO_27-CR-21-13146_Order for Conditional Release_2021-09-29_20251126183304.pdf")</f>
        <v>MCRO_27-CR-21-13146_Order for Conditional Release_2021-09-29_20251126183304.pdf</v>
      </c>
      <c r="H1324" s="7" t="str">
        <f aca="false">HYPERLINK("https://mncourtfraud.com/file/a431b1b5f48186b4c98851d84352c1573e22c0e9b97117edbc0ad8603da3c307.png","a431b1b5f48186b4c98851d84352c1573e22c0e9b97117edbc0ad8603da3c307")</f>
        <v>a431b1b5f48186b4c98851d84352c1573e22c0e9b97117edbc0ad8603da3c307</v>
      </c>
      <c r="I1324" s="1" t="s">
        <v>3406</v>
      </c>
      <c r="L1324" s="2" t="s">
        <v>3412</v>
      </c>
      <c r="M1324" s="2" t="n">
        <v>157</v>
      </c>
      <c r="S1324" s="2" t="n">
        <v>7</v>
      </c>
      <c r="T1324" s="2" t="n">
        <v>284</v>
      </c>
    </row>
    <row r="1325" customFormat="false" ht="18.7" hidden="false" customHeight="true" outlineLevel="0" collapsed="false">
      <c r="A1325" s="1" t="n">
        <v>1324</v>
      </c>
      <c r="B1325" s="7" t="str">
        <f aca="false">HYPERLINK("https://mncourtfraud.com/file/27-CR-21-13146.pdf","27-CR-21-13146")</f>
        <v>27-CR-21-13146</v>
      </c>
      <c r="C1325" s="1" t="n">
        <v>1</v>
      </c>
      <c r="D1325" s="2" t="s">
        <v>12</v>
      </c>
      <c r="E1325" s="8" t="n">
        <v>44468</v>
      </c>
      <c r="F1325" s="2" t="s">
        <v>24</v>
      </c>
      <c r="G1325" s="7" t="str">
        <f aca="false">HYPERLINK("https://mncourtfraud.com/file/MCRO_27-CR-21-13146_Order for Conditional Release_2021-09-29_20251126183304.pdf","MCRO_27-CR-21-13146_Order for Conditional Release_2021-09-29_20251126183304.pdf")</f>
        <v>MCRO_27-CR-21-13146_Order for Conditional Release_2021-09-29_20251126183304.pdf</v>
      </c>
      <c r="H1325" s="7" t="str">
        <f aca="false">HYPERLINK("https://mncourtfraud.com/file/ac369f378e3fbed88e7c1c71d7e27d3af59d79c8d2f8338a6182f69d0e17a2ef.cid","ac369f378e3fbed88e7c1c71d7e27d3af59d79c8d2f8338a6182f69d0e17a2ef")</f>
        <v>ac369f378e3fbed88e7c1c71d7e27d3af59d79c8d2f8338a6182f69d0e17a2ef</v>
      </c>
      <c r="I1325" s="1" t="s">
        <v>3431</v>
      </c>
      <c r="L1325" s="2" t="s">
        <v>3415</v>
      </c>
      <c r="M1325" s="2" t="n">
        <v>14113</v>
      </c>
    </row>
    <row r="1326" customFormat="false" ht="18.7" hidden="false" customHeight="true" outlineLevel="0" collapsed="false">
      <c r="A1326" s="1" t="n">
        <v>1325</v>
      </c>
      <c r="B1326" s="7" t="str">
        <f aca="false">HYPERLINK("https://mncourtfraud.com/file/27-CR-21-13146.pdf","27-CR-21-13146")</f>
        <v>27-CR-21-13146</v>
      </c>
      <c r="C1326" s="1" t="n">
        <v>1</v>
      </c>
      <c r="D1326" s="2" t="s">
        <v>12</v>
      </c>
      <c r="E1326" s="8" t="n">
        <v>44468</v>
      </c>
      <c r="F1326" s="2" t="s">
        <v>24</v>
      </c>
      <c r="G1326" s="7" t="str">
        <f aca="false">HYPERLINK("https://mncourtfraud.com/file/MCRO_27-CR-21-13146_Order for Conditional Release_2021-09-29_20251126183304.pdf","MCRO_27-CR-21-13146_Order for Conditional Release_2021-09-29_20251126183304.pdf")</f>
        <v>MCRO_27-CR-21-13146_Order for Conditional Release_2021-09-29_20251126183304.pdf</v>
      </c>
      <c r="H1326" s="7" t="str">
        <f aca="false">HYPERLINK("https://mncourtfraud.com/file/b1c38e97038ce898a189d377f1fa9f4b673ae497ef07cd779e6d54764f350895.cid","b1c38e97038ce898a189d377f1fa9f4b673ae497ef07cd779e6d54764f350895")</f>
        <v>b1c38e97038ce898a189d377f1fa9f4b673ae497ef07cd779e6d54764f350895</v>
      </c>
      <c r="I1326" s="1" t="s">
        <v>3431</v>
      </c>
      <c r="L1326" s="2" t="s">
        <v>3415</v>
      </c>
      <c r="M1326" s="2" t="n">
        <v>3783</v>
      </c>
    </row>
    <row r="1327" customFormat="false" ht="18.7" hidden="false" customHeight="true" outlineLevel="0" collapsed="false">
      <c r="A1327" s="1" t="n">
        <v>1326</v>
      </c>
      <c r="B1327" s="7" t="str">
        <f aca="false">HYPERLINK("https://mncourtfraud.com/file/27-CR-21-13146.pdf","27-CR-21-13146")</f>
        <v>27-CR-21-13146</v>
      </c>
      <c r="C1327" s="1" t="n">
        <v>1</v>
      </c>
      <c r="D1327" s="2" t="s">
        <v>12</v>
      </c>
      <c r="E1327" s="8" t="n">
        <v>44468</v>
      </c>
      <c r="F1327" s="2" t="s">
        <v>24</v>
      </c>
      <c r="G1327" s="7" t="str">
        <f aca="false">HYPERLINK("https://mncourtfraud.com/file/MCRO_27-CR-21-13146_Order for Conditional Release_2021-09-29_20251126183304.pdf","MCRO_27-CR-21-13146_Order for Conditional Release_2021-09-29_20251126183304.pdf")</f>
        <v>MCRO_27-CR-21-13146_Order for Conditional Release_2021-09-29_20251126183304.pdf</v>
      </c>
      <c r="H1327" s="7" t="str">
        <f aca="false">HYPERLINK("https://mncourtfraud.com/file/ba989ca65f54d43887ebbc930462a840e60360223cb0c16c223e7e9ed46afecb.cid","ba989ca65f54d43887ebbc930462a840e60360223cb0c16c223e7e9ed46afecb")</f>
        <v>ba989ca65f54d43887ebbc930462a840e60360223cb0c16c223e7e9ed46afecb</v>
      </c>
      <c r="I1327" s="1" t="s">
        <v>3431</v>
      </c>
      <c r="L1327" s="2" t="s">
        <v>3415</v>
      </c>
      <c r="M1327" s="2" t="n">
        <v>444</v>
      </c>
    </row>
    <row r="1328" customFormat="false" ht="18.7" hidden="false" customHeight="true" outlineLevel="0" collapsed="false">
      <c r="A1328" s="1" t="n">
        <v>1327</v>
      </c>
      <c r="B1328" s="7" t="str">
        <f aca="false">HYPERLINK("https://mncourtfraud.com/file/27-CR-21-13146.pdf","27-CR-21-13146")</f>
        <v>27-CR-21-13146</v>
      </c>
      <c r="C1328" s="1" t="n">
        <v>1</v>
      </c>
      <c r="D1328" s="2" t="s">
        <v>12</v>
      </c>
      <c r="E1328" s="8" t="n">
        <v>44468</v>
      </c>
      <c r="F1328" s="2" t="s">
        <v>24</v>
      </c>
      <c r="G1328" s="7" t="str">
        <f aca="false">HYPERLINK("https://mncourtfraud.com/file/MCRO_27-CR-21-13146_Order for Conditional Release_2021-09-29_20251126183304.pdf","MCRO_27-CR-21-13146_Order for Conditional Release_2021-09-29_20251126183304.pdf")</f>
        <v>MCRO_27-CR-21-13146_Order for Conditional Release_2021-09-29_20251126183304.pdf</v>
      </c>
      <c r="H1328" s="7" t="str">
        <f aca="false">HYPERLINK("https://mncourtfraud.com/file/db9c8118091788c7a0a30157e363f5dd281f7a35fb525fad58599ee6371079a5.cid","db9c8118091788c7a0a30157e363f5dd281f7a35fb525fad58599ee6371079a5")</f>
        <v>db9c8118091788c7a0a30157e363f5dd281f7a35fb525fad58599ee6371079a5</v>
      </c>
      <c r="I1328" s="1" t="s">
        <v>3431</v>
      </c>
      <c r="L1328" s="2" t="s">
        <v>3415</v>
      </c>
      <c r="M1328" s="2" t="n">
        <v>848</v>
      </c>
    </row>
    <row r="1329" customFormat="false" ht="18.7" hidden="false" customHeight="true" outlineLevel="0" collapsed="false">
      <c r="A1329" s="1" t="n">
        <v>1328</v>
      </c>
      <c r="B1329" s="7" t="str">
        <f aca="false">HYPERLINK("https://mncourtfraud.com/file/27-CR-21-13146.pdf","27-CR-21-13146")</f>
        <v>27-CR-21-13146</v>
      </c>
      <c r="C1329" s="1" t="n">
        <v>1</v>
      </c>
      <c r="D1329" s="2" t="s">
        <v>12</v>
      </c>
      <c r="E1329" s="8" t="n">
        <v>44468</v>
      </c>
      <c r="F1329" s="2" t="s">
        <v>24</v>
      </c>
      <c r="G1329" s="7" t="str">
        <f aca="false">HYPERLINK("https://mncourtfraud.com/file/MCRO_27-CR-21-13146_Order for Conditional Release_2021-09-29_20251126183304.pdf","MCRO_27-CR-21-13146_Order for Conditional Release_2021-09-29_20251126183304.pdf")</f>
        <v>MCRO_27-CR-21-13146_Order for Conditional Release_2021-09-29_20251126183304.pdf</v>
      </c>
      <c r="H1329" s="7" t="str">
        <f aca="false">HYPERLINK("https://mncourtfraud.com/file/e04b4db843c4bf02679b586bdc06323c2777cf59091b22718210a1dd2a0badc7.png","e04b4db843c4bf02679b586bdc06323c2777cf59091b22718210a1dd2a0badc7")</f>
        <v>e04b4db843c4bf02679b586bdc06323c2777cf59091b22718210a1dd2a0badc7</v>
      </c>
      <c r="I1329" s="1" t="s">
        <v>3406</v>
      </c>
      <c r="L1329" s="2" t="s">
        <v>3412</v>
      </c>
      <c r="M1329" s="2" t="n">
        <v>199</v>
      </c>
      <c r="S1329" s="2" t="n">
        <v>7</v>
      </c>
      <c r="T1329" s="2" t="n">
        <v>347</v>
      </c>
    </row>
    <row r="1330" customFormat="false" ht="18.7" hidden="false" customHeight="true" outlineLevel="0" collapsed="false">
      <c r="A1330" s="1" t="n">
        <v>1329</v>
      </c>
      <c r="B1330" s="7" t="str">
        <f aca="false">HYPERLINK("https://mncourtfraud.com/file/27-CR-21-13146.pdf","27-CR-21-13146")</f>
        <v>27-CR-21-13146</v>
      </c>
      <c r="C1330" s="1" t="n">
        <v>1</v>
      </c>
      <c r="D1330" s="2" t="s">
        <v>12</v>
      </c>
      <c r="E1330" s="8" t="n">
        <v>44468</v>
      </c>
      <c r="F1330" s="2" t="s">
        <v>24</v>
      </c>
      <c r="G1330" s="7" t="str">
        <f aca="false">HYPERLINK("https://mncourtfraud.com/file/MCRO_27-CR-21-13146_Order for Conditional Release_2021-09-29_20251126183304.pdf","MCRO_27-CR-21-13146_Order for Conditional Release_2021-09-29_20251126183304.pdf")</f>
        <v>MCRO_27-CR-21-13146_Order for Conditional Release_2021-09-29_20251126183304.pdf</v>
      </c>
      <c r="H1330" s="7" t="str">
        <f aca="false">HYPERLINK("https://mncourtfraud.com/file/edbae421bba147262ba26ef60780ca6dfd5bedce23be39a1f883da7c23dae35f.cid","edbae421bba147262ba26ef60780ca6dfd5bedce23be39a1f883da7c23dae35f")</f>
        <v>edbae421bba147262ba26ef60780ca6dfd5bedce23be39a1f883da7c23dae35f</v>
      </c>
      <c r="I1330" s="1" t="s">
        <v>3431</v>
      </c>
      <c r="L1330" s="2" t="s">
        <v>3415</v>
      </c>
      <c r="M1330" s="2" t="n">
        <v>21348</v>
      </c>
    </row>
    <row r="1331" customFormat="false" ht="18.7" hidden="false" customHeight="true" outlineLevel="0" collapsed="false">
      <c r="A1331" s="1" t="n">
        <v>1330</v>
      </c>
      <c r="B1331" s="7" t="str">
        <f aca="false">HYPERLINK("https://mncourtfraud.com/file/27-CR-21-13146.pdf","27-CR-21-13146")</f>
        <v>27-CR-21-13146</v>
      </c>
      <c r="C1331" s="1" t="n">
        <v>1</v>
      </c>
      <c r="D1331" s="2" t="s">
        <v>12</v>
      </c>
      <c r="E1331" s="8" t="n">
        <v>44468</v>
      </c>
      <c r="F1331" s="2" t="s">
        <v>24</v>
      </c>
      <c r="G1331" s="7" t="str">
        <f aca="false">HYPERLINK("https://mncourtfraud.com/file/MCRO_27-CR-21-13146_Order for Conditional Release_2021-09-29_20251126183304.pdf","MCRO_27-CR-21-13146_Order for Conditional Release_2021-09-29_20251126183304.pdf")</f>
        <v>MCRO_27-CR-21-13146_Order for Conditional Release_2021-09-29_20251126183304.pdf</v>
      </c>
      <c r="H1331" s="7" t="str">
        <f aca="false">HYPERLINK("https://mncourtfraud.com/file/efd944d517e9b552a77a910c5203f04540cf1249b7304a04f4907f542ec53c17.cid","efd944d517e9b552a77a910c5203f04540cf1249b7304a04f4907f542ec53c17")</f>
        <v>efd944d517e9b552a77a910c5203f04540cf1249b7304a04f4907f542ec53c17</v>
      </c>
      <c r="I1331" s="1" t="s">
        <v>3431</v>
      </c>
      <c r="L1331" s="2" t="s">
        <v>3415</v>
      </c>
      <c r="M1331" s="2" t="n">
        <v>5521</v>
      </c>
    </row>
    <row r="1332" customFormat="false" ht="18.7" hidden="false" customHeight="true" outlineLevel="0" collapsed="false">
      <c r="A1332" s="1" t="n">
        <v>1331</v>
      </c>
      <c r="B1332" s="7" t="str">
        <f aca="false">HYPERLINK("https://mncourtfraud.com/file/27-CR-21-13146.pdf","27-CR-21-13146")</f>
        <v>27-CR-21-13146</v>
      </c>
      <c r="C1332" s="1" t="n">
        <v>1</v>
      </c>
      <c r="D1332" s="2" t="s">
        <v>12</v>
      </c>
      <c r="E1332" s="8" t="n">
        <v>44468</v>
      </c>
      <c r="F1332" s="2" t="s">
        <v>24</v>
      </c>
      <c r="G1332" s="7" t="str">
        <f aca="false">HYPERLINK("https://mncourtfraud.com/file/MCRO_27-CR-21-13146_Order for Conditional Release_2021-09-29_20251126183304.pdf","MCRO_27-CR-21-13146_Order for Conditional Release_2021-09-29_20251126183304.pdf")</f>
        <v>MCRO_27-CR-21-13146_Order for Conditional Release_2021-09-29_20251126183304.pdf</v>
      </c>
      <c r="H1332" s="7" t="str">
        <f aca="false">HYPERLINK("https://mncourtfraud.com/file/fe1965a60cba51fe144ad80b55474d56106539ec2835ed039f2e68d2691deed0.cid","fe1965a60cba51fe144ad80b55474d56106539ec2835ed039f2e68d2691deed0")</f>
        <v>fe1965a60cba51fe144ad80b55474d56106539ec2835ed039f2e68d2691deed0</v>
      </c>
      <c r="I1332" s="1" t="s">
        <v>3431</v>
      </c>
      <c r="L1332" s="2" t="s">
        <v>3415</v>
      </c>
      <c r="M1332" s="2" t="n">
        <v>4323</v>
      </c>
    </row>
    <row r="1333" customFormat="false" ht="18.7" hidden="false" customHeight="true" outlineLevel="0" collapsed="false">
      <c r="A1333" s="1" t="n">
        <v>1332</v>
      </c>
      <c r="B1333" s="7" t="str">
        <f aca="false">HYPERLINK("https://mncourtfraud.com/file/27-CR-21-13146.pdf","27-CR-21-13146")</f>
        <v>27-CR-21-13146</v>
      </c>
      <c r="C1333" s="1" t="n">
        <v>1</v>
      </c>
      <c r="D1333" s="2" t="s">
        <v>12</v>
      </c>
      <c r="E1333" s="8" t="n">
        <v>44468</v>
      </c>
      <c r="F1333" s="2" t="s">
        <v>24</v>
      </c>
      <c r="G1333" s="7" t="str">
        <f aca="false">HYPERLINK("https://mncourtfraud.com/file/MCRO_27-CR-21-13146_Order for Conditional Release_2021-09-29_20251126183304.pdf","MCRO_27-CR-21-13146_Order for Conditional Release_2021-09-29_20251126183304.pdf")</f>
        <v>MCRO_27-CR-21-13146_Order for Conditional Release_2021-09-29_20251126183304.pdf</v>
      </c>
      <c r="H1333" s="7" t="str">
        <f aca="false">HYPERLINK("https://mncourtfraud.com/file/ff78f82f1ff3b9436a8d65df586b0bef19dd8fcf1b27941145ca7e723b37620b.cid","ff78f82f1ff3b9436a8d65df586b0bef19dd8fcf1b27941145ca7e723b37620b")</f>
        <v>ff78f82f1ff3b9436a8d65df586b0bef19dd8fcf1b27941145ca7e723b37620b</v>
      </c>
      <c r="I1333" s="1" t="s">
        <v>3431</v>
      </c>
      <c r="L1333" s="2" t="s">
        <v>3415</v>
      </c>
      <c r="M1333" s="2" t="n">
        <v>339</v>
      </c>
    </row>
    <row r="1334" customFormat="false" ht="18.7" hidden="false" customHeight="true" outlineLevel="0" collapsed="false">
      <c r="A1334" s="1" t="n">
        <v>1333</v>
      </c>
      <c r="B1334" s="7" t="str">
        <f aca="false">HYPERLINK("https://mncourtfraud.com/file/27-CR-21-13146.pdf","27-CR-21-13146")</f>
        <v>27-CR-21-13146</v>
      </c>
      <c r="C1334" s="1" t="n">
        <v>1</v>
      </c>
      <c r="D1334" s="2" t="s">
        <v>12</v>
      </c>
      <c r="E1334" s="8" t="n">
        <v>44543</v>
      </c>
      <c r="F1334" s="2" t="s">
        <v>15</v>
      </c>
      <c r="G1334" s="7" t="str">
        <f aca="false">HYPERLINK("https://mncourtfraud.com/file/MCRO_27-CR-21-13146_Order-Evaluation for Competency to Proceed (Rule 20.01)_2021-12-13_20251126183322.pdf","MCRO_27-CR-21-13146_Order-Evaluation for Competency to Proceed (Rule 20.01)_2021-12-13_20251126183322.pdf")</f>
        <v>MCRO_27-CR-21-13146_Order-Evaluation for Competency to Proceed (Rule 20.01)_2021-12-13_20251126183322.pdf</v>
      </c>
      <c r="H1334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1334" s="1" t="s">
        <v>3413</v>
      </c>
      <c r="J1334" s="2" t="s">
        <v>3423</v>
      </c>
      <c r="K1334" s="2" t="s">
        <v>3423</v>
      </c>
      <c r="L1334" s="2" t="s">
        <v>3415</v>
      </c>
      <c r="M1334" s="2" t="n">
        <v>11088</v>
      </c>
    </row>
    <row r="1335" customFormat="false" ht="18.7" hidden="false" customHeight="true" outlineLevel="0" collapsed="false">
      <c r="A1335" s="1" t="n">
        <v>1334</v>
      </c>
      <c r="B1335" s="7" t="str">
        <f aca="false">HYPERLINK("https://mncourtfraud.com/file/27-CR-21-13146.pdf","27-CR-21-13146")</f>
        <v>27-CR-21-13146</v>
      </c>
      <c r="C1335" s="1" t="n">
        <v>1</v>
      </c>
      <c r="D1335" s="2" t="s">
        <v>12</v>
      </c>
      <c r="E1335" s="8" t="n">
        <v>44543</v>
      </c>
      <c r="F1335" s="2" t="s">
        <v>15</v>
      </c>
      <c r="G1335" s="7" t="str">
        <f aca="false">HYPERLINK("https://mncourtfraud.com/file/MCRO_27-CR-21-13146_Order-Evaluation for Competency to Proceed (Rule 20.01)_2021-12-13_20251126183322.pdf","MCRO_27-CR-21-13146_Order-Evaluation for Competency to Proceed (Rule 20.01)_2021-12-13_20251126183322.pdf")</f>
        <v>MCRO_27-CR-21-13146_Order-Evaluation for Competency to Proceed (Rule 20.01)_2021-12-13_20251126183322.pdf</v>
      </c>
      <c r="H1335" s="7" t="str">
        <f aca="false">HYPERLINK("https://mncourtfraud.com/file/22be6394304ce5b678311fefb19c39c8cb0a49d25f23150f1efe21ad14b99c7b.ttf","22be6394304ce5b678311fefb19c39c8cb0a49d25f23150f1efe21ad14b99c7b")</f>
        <v>22be6394304ce5b678311fefb19c39c8cb0a49d25f23150f1efe21ad14b99c7b</v>
      </c>
      <c r="I1335" s="1" t="s">
        <v>3413</v>
      </c>
      <c r="J1335" s="2" t="s">
        <v>3421</v>
      </c>
      <c r="K1335" s="2" t="s">
        <v>3421</v>
      </c>
      <c r="L1335" s="2" t="s">
        <v>3415</v>
      </c>
      <c r="M1335" s="2" t="n">
        <v>117192</v>
      </c>
    </row>
    <row r="1336" customFormat="false" ht="18.7" hidden="false" customHeight="true" outlineLevel="0" collapsed="false">
      <c r="A1336" s="1" t="n">
        <v>1335</v>
      </c>
      <c r="B1336" s="7" t="str">
        <f aca="false">HYPERLINK("https://mncourtfraud.com/file/27-CR-21-13146.pdf","27-CR-21-13146")</f>
        <v>27-CR-21-13146</v>
      </c>
      <c r="C1336" s="1" t="n">
        <v>1</v>
      </c>
      <c r="D1336" s="2" t="s">
        <v>12</v>
      </c>
      <c r="E1336" s="8" t="n">
        <v>44543</v>
      </c>
      <c r="F1336" s="2" t="s">
        <v>15</v>
      </c>
      <c r="G1336" s="7" t="str">
        <f aca="false">HYPERLINK("https://mncourtfraud.com/file/MCRO_27-CR-21-13146_Order-Evaluation for Competency to Proceed (Rule 20.01)_2021-12-13_20251126183322.pdf","MCRO_27-CR-21-13146_Order-Evaluation for Competency to Proceed (Rule 20.01)_2021-12-13_20251126183322.pdf")</f>
        <v>MCRO_27-CR-21-13146_Order-Evaluation for Competency to Proceed (Rule 20.01)_2021-12-13_20251126183322.pdf</v>
      </c>
      <c r="H1336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1336" s="1" t="s">
        <v>3413</v>
      </c>
      <c r="J1336" s="2" t="s">
        <v>3424</v>
      </c>
      <c r="K1336" s="2" t="s">
        <v>3424</v>
      </c>
      <c r="L1336" s="2" t="s">
        <v>3415</v>
      </c>
      <c r="M1336" s="2" t="n">
        <v>14252</v>
      </c>
    </row>
    <row r="1337" customFormat="false" ht="18.7" hidden="false" customHeight="true" outlineLevel="0" collapsed="false">
      <c r="A1337" s="1" t="n">
        <v>1336</v>
      </c>
      <c r="B1337" s="7" t="str">
        <f aca="false">HYPERLINK("https://mncourtfraud.com/file/27-CR-21-13146.pdf","27-CR-21-13146")</f>
        <v>27-CR-21-13146</v>
      </c>
      <c r="C1337" s="1" t="n">
        <v>1</v>
      </c>
      <c r="D1337" s="2" t="s">
        <v>12</v>
      </c>
      <c r="E1337" s="8" t="n">
        <v>44543</v>
      </c>
      <c r="F1337" s="2" t="s">
        <v>15</v>
      </c>
      <c r="G1337" s="7" t="str">
        <f aca="false">HYPERLINK("https://mncourtfraud.com/file/MCRO_27-CR-21-13146_Order-Evaluation for Competency to Proceed (Rule 20.01)_2021-12-13_20251126183322.pdf","MCRO_27-CR-21-13146_Order-Evaluation for Competency to Proceed (Rule 20.01)_2021-12-13_20251126183322.pdf")</f>
        <v>MCRO_27-CR-21-13146_Order-Evaluation for Competency to Proceed (Rule 20.01)_2021-12-13_20251126183322.pdf</v>
      </c>
      <c r="H1337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337" s="1" t="s">
        <v>3406</v>
      </c>
      <c r="K1337" s="2" t="s">
        <v>3420</v>
      </c>
      <c r="L1337" s="2" t="s">
        <v>3408</v>
      </c>
      <c r="M1337" s="2" t="n">
        <v>7306</v>
      </c>
      <c r="O1337" s="2" t="s">
        <v>3409</v>
      </c>
      <c r="P1337" s="2" t="s">
        <v>3410</v>
      </c>
      <c r="S1337" s="2" t="n">
        <v>319</v>
      </c>
      <c r="T1337" s="2" t="n">
        <v>105</v>
      </c>
    </row>
    <row r="1338" customFormat="false" ht="18.7" hidden="false" customHeight="true" outlineLevel="0" collapsed="false">
      <c r="A1338" s="1" t="n">
        <v>1337</v>
      </c>
      <c r="B1338" s="7" t="str">
        <f aca="false">HYPERLINK("https://mncourtfraud.com/file/27-CR-21-13146.pdf","27-CR-21-13146")</f>
        <v>27-CR-21-13146</v>
      </c>
      <c r="C1338" s="1" t="n">
        <v>1</v>
      </c>
      <c r="D1338" s="2" t="s">
        <v>12</v>
      </c>
      <c r="E1338" s="8" t="n">
        <v>44543</v>
      </c>
      <c r="F1338" s="2" t="s">
        <v>15</v>
      </c>
      <c r="G1338" s="7" t="str">
        <f aca="false">HYPERLINK("https://mncourtfraud.com/file/MCRO_27-CR-21-13146_Order-Evaluation for Competency to Proceed (Rule 20.01)_2021-12-13_20251126183322.pdf","MCRO_27-CR-21-13146_Order-Evaluation for Competency to Proceed (Rule 20.01)_2021-12-13_20251126183322.pdf")</f>
        <v>MCRO_27-CR-21-13146_Order-Evaluation for Competency to Proceed (Rule 20.01)_2021-12-13_20251126183322.pdf</v>
      </c>
      <c r="H1338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338" s="1" t="s">
        <v>3406</v>
      </c>
      <c r="K1338" s="2" t="s">
        <v>3425</v>
      </c>
      <c r="L1338" s="2" t="s">
        <v>3408</v>
      </c>
      <c r="M1338" s="2" t="n">
        <v>21225</v>
      </c>
      <c r="O1338" s="2" t="s">
        <v>3409</v>
      </c>
      <c r="P1338" s="2" t="s">
        <v>3410</v>
      </c>
      <c r="S1338" s="2" t="n">
        <v>319</v>
      </c>
      <c r="T1338" s="2" t="n">
        <v>105</v>
      </c>
    </row>
    <row r="1339" customFormat="false" ht="18.7" hidden="false" customHeight="true" outlineLevel="0" collapsed="false">
      <c r="A1339" s="1" t="n">
        <v>1338</v>
      </c>
      <c r="B1339" s="7" t="str">
        <f aca="false">HYPERLINK("https://mncourtfraud.com/file/27-CR-21-13146.pdf","27-CR-21-13146")</f>
        <v>27-CR-21-13146</v>
      </c>
      <c r="C1339" s="1" t="n">
        <v>1</v>
      </c>
      <c r="D1339" s="2" t="s">
        <v>12</v>
      </c>
      <c r="E1339" s="8" t="n">
        <v>44543</v>
      </c>
      <c r="F1339" s="2" t="s">
        <v>15</v>
      </c>
      <c r="G1339" s="7" t="str">
        <f aca="false">HYPERLINK("https://mncourtfraud.com/file/MCRO_27-CR-21-13146_Order-Evaluation for Competency to Proceed (Rule 20.01)_2021-12-13_20251126183322.pdf","MCRO_27-CR-21-13146_Order-Evaluation for Competency to Proceed (Rule 20.01)_2021-12-13_20251126183322.pdf")</f>
        <v>MCRO_27-CR-21-13146_Order-Evaluation for Competency to Proceed (Rule 20.01)_2021-12-13_20251126183322.pdf</v>
      </c>
      <c r="H1339" s="7" t="str">
        <f aca="false">HYPERLINK("https://mncourtfraud.com/file/f942eca43ffd6bdbf3ee942fee873a73c8baea7707298295b91918b6d8b6d6ee.ttf","f942eca43ffd6bdbf3ee942fee873a73c8baea7707298295b91918b6d8b6d6ee")</f>
        <v>f942eca43ffd6bdbf3ee942fee873a73c8baea7707298295b91918b6d8b6d6ee</v>
      </c>
      <c r="I1339" s="1" t="s">
        <v>3413</v>
      </c>
      <c r="J1339" s="2" t="s">
        <v>3422</v>
      </c>
      <c r="K1339" s="2" t="s">
        <v>3422</v>
      </c>
      <c r="L1339" s="2" t="s">
        <v>3415</v>
      </c>
      <c r="M1339" s="2" t="n">
        <v>125444</v>
      </c>
    </row>
    <row r="1340" customFormat="false" ht="18.7" hidden="false" customHeight="true" outlineLevel="0" collapsed="false">
      <c r="A1340" s="1" t="n">
        <v>1339</v>
      </c>
      <c r="B1340" s="7" t="str">
        <f aca="false">HYPERLINK("https://mncourtfraud.com/file/27-CR-21-13146.pdf","27-CR-21-13146")</f>
        <v>27-CR-21-13146</v>
      </c>
      <c r="C1340" s="1" t="n">
        <v>1</v>
      </c>
      <c r="D1340" s="2" t="s">
        <v>12</v>
      </c>
      <c r="E1340" s="8" t="n">
        <v>44558</v>
      </c>
      <c r="F1340" s="2" t="s">
        <v>15</v>
      </c>
      <c r="G1340" s="7" t="str">
        <f aca="false">HYPERLINK("https://mncourtfraud.com/file/MCRO_27-CR-21-13146_Order-Evaluation for Competency to Proceed (Rule 20.01)_2021-12-28_20251126183331.pdf","MCRO_27-CR-21-13146_Order-Evaluation for Competency to Proceed (Rule 20.01)_2021-12-28_20251126183331.pdf")</f>
        <v>MCRO_27-CR-21-13146_Order-Evaluation for Competency to Proceed (Rule 20.01)_2021-12-28_20251126183331.pdf</v>
      </c>
      <c r="H1340" s="7" t="str">
        <f aca="false">HYPERLINK("https://mncourtfraud.com/file/196a30e498aeeadf64d9e94049cb7a1e942d3f23a27d1730b6eeb976621f5613.png","196a30e498aeeadf64d9e94049cb7a1e942d3f23a27d1730b6eeb976621f5613")</f>
        <v>196a30e498aeeadf64d9e94049cb7a1e942d3f23a27d1730b6eeb976621f5613</v>
      </c>
      <c r="I1340" s="1" t="s">
        <v>3406</v>
      </c>
      <c r="L1340" s="2" t="s">
        <v>3412</v>
      </c>
      <c r="M1340" s="2" t="n">
        <v>130621</v>
      </c>
      <c r="S1340" s="2" t="n">
        <v>2550</v>
      </c>
      <c r="T1340" s="2" t="n">
        <v>3300</v>
      </c>
    </row>
    <row r="1341" customFormat="false" ht="18.7" hidden="false" customHeight="true" outlineLevel="0" collapsed="false">
      <c r="A1341" s="1" t="n">
        <v>1340</v>
      </c>
      <c r="B1341" s="7" t="str">
        <f aca="false">HYPERLINK("https://mncourtfraud.com/file/27-CR-21-13146.pdf","27-CR-21-13146")</f>
        <v>27-CR-21-13146</v>
      </c>
      <c r="C1341" s="1" t="n">
        <v>1</v>
      </c>
      <c r="D1341" s="2" t="s">
        <v>12</v>
      </c>
      <c r="E1341" s="8" t="n">
        <v>44558</v>
      </c>
      <c r="F1341" s="2" t="s">
        <v>15</v>
      </c>
      <c r="G1341" s="7" t="str">
        <f aca="false">HYPERLINK("https://mncourtfraud.com/file/MCRO_27-CR-21-13146_Order-Evaluation for Competency to Proceed (Rule 20.01)_2021-12-28_20251126183331.pdf","MCRO_27-CR-21-13146_Order-Evaluation for Competency to Proceed (Rule 20.01)_2021-12-28_20251126183331.pdf")</f>
        <v>MCRO_27-CR-21-13146_Order-Evaluation for Competency to Proceed (Rule 20.01)_2021-12-28_20251126183331.pdf</v>
      </c>
      <c r="H1341" s="7" t="str">
        <f aca="false">HYPERLINK("https://mncourtfraud.com/file/a427832c48ee1ab958104632752f41087368feb9213e3d68870737c0ef9921e1.png","a427832c48ee1ab958104632752f41087368feb9213e3d68870737c0ef9921e1")</f>
        <v>a427832c48ee1ab958104632752f41087368feb9213e3d68870737c0ef9921e1</v>
      </c>
      <c r="I1341" s="1" t="s">
        <v>3406</v>
      </c>
      <c r="L1341" s="2" t="s">
        <v>3412</v>
      </c>
      <c r="M1341" s="2" t="n">
        <v>154945</v>
      </c>
      <c r="S1341" s="2" t="n">
        <v>2550</v>
      </c>
      <c r="T1341" s="2" t="n">
        <v>3300</v>
      </c>
    </row>
    <row r="1342" customFormat="false" ht="18.7" hidden="false" customHeight="true" outlineLevel="0" collapsed="false">
      <c r="A1342" s="1" t="n">
        <v>1341</v>
      </c>
      <c r="B1342" s="7" t="str">
        <f aca="false">HYPERLINK("https://mncourtfraud.com/file/27-CR-21-13146.pdf","27-CR-21-13146")</f>
        <v>27-CR-21-13146</v>
      </c>
      <c r="C1342" s="1" t="n">
        <v>1</v>
      </c>
      <c r="D1342" s="2" t="s">
        <v>12</v>
      </c>
      <c r="E1342" s="8" t="n">
        <v>44558</v>
      </c>
      <c r="F1342" s="2" t="s">
        <v>15</v>
      </c>
      <c r="G1342" s="7" t="str">
        <f aca="false">HYPERLINK("https://mncourtfraud.com/file/MCRO_27-CR-21-13146_Order-Evaluation for Competency to Proceed (Rule 20.01)_2021-12-28_20251126183331.pdf","MCRO_27-CR-21-13146_Order-Evaluation for Competency to Proceed (Rule 20.01)_2021-12-28_20251126183331.pdf")</f>
        <v>MCRO_27-CR-21-13146_Order-Evaluation for Competency to Proceed (Rule 20.01)_2021-12-28_20251126183331.pdf</v>
      </c>
      <c r="H1342" s="7" t="str">
        <f aca="false">HYPERLINK("https://mncourtfraud.com/file/abe2a3bd368e34d1fbc56d3ba0456098bc7c358d1e89b479195c6c7180853caf.ttf","abe2a3bd368e34d1fbc56d3ba0456098bc7c358d1e89b479195c6c7180853caf")</f>
        <v>abe2a3bd368e34d1fbc56d3ba0456098bc7c358d1e89b479195c6c7180853caf</v>
      </c>
      <c r="I1342" s="1" t="s">
        <v>3413</v>
      </c>
      <c r="L1342" s="2" t="s">
        <v>3415</v>
      </c>
      <c r="M1342" s="2" t="n">
        <v>333576</v>
      </c>
    </row>
    <row r="1343" customFormat="false" ht="18.7" hidden="false" customHeight="true" outlineLevel="0" collapsed="false">
      <c r="A1343" s="1" t="n">
        <v>1342</v>
      </c>
      <c r="B1343" s="7" t="str">
        <f aca="false">HYPERLINK("https://mncourtfraud.com/file/27-CR-21-13146.pdf","27-CR-21-13146")</f>
        <v>27-CR-21-13146</v>
      </c>
      <c r="C1343" s="1" t="n">
        <v>1</v>
      </c>
      <c r="D1343" s="2" t="s">
        <v>12</v>
      </c>
      <c r="E1343" s="8" t="n">
        <v>44558</v>
      </c>
      <c r="F1343" s="2" t="s">
        <v>15</v>
      </c>
      <c r="G1343" s="7" t="str">
        <f aca="false">HYPERLINK("https://mncourtfraud.com/file/MCRO_27-CR-21-13146_Order-Evaluation for Competency to Proceed (Rule 20.01)_2021-12-28_20251126183331.pdf","MCRO_27-CR-21-13146_Order-Evaluation for Competency to Proceed (Rule 20.01)_2021-12-28_20251126183331.pdf")</f>
        <v>MCRO_27-CR-21-13146_Order-Evaluation for Competency to Proceed (Rule 20.01)_2021-12-28_20251126183331.pdf</v>
      </c>
      <c r="H1343" s="7" t="str">
        <f aca="false">HYPERLINK("https://mncourtfraud.com/file/d07c44d0111a6a735416fd973ded162a91ebcb11c5348cb61c133b73f1f68e04.png","d07c44d0111a6a735416fd973ded162a91ebcb11c5348cb61c133b73f1f68e04")</f>
        <v>d07c44d0111a6a735416fd973ded162a91ebcb11c5348cb61c133b73f1f68e04</v>
      </c>
      <c r="I1343" s="1" t="s">
        <v>3406</v>
      </c>
      <c r="L1343" s="2" t="s">
        <v>3412</v>
      </c>
      <c r="M1343" s="2" t="n">
        <v>98861</v>
      </c>
      <c r="S1343" s="2" t="n">
        <v>2550</v>
      </c>
      <c r="T1343" s="2" t="n">
        <v>3300</v>
      </c>
    </row>
    <row r="1344" customFormat="false" ht="18.7" hidden="false" customHeight="true" outlineLevel="0" collapsed="false">
      <c r="A1344" s="1" t="n">
        <v>1343</v>
      </c>
      <c r="B1344" s="7" t="str">
        <f aca="false">HYPERLINK("https://mncourtfraud.com/file/27-CR-21-13146.pdf","27-CR-21-13146")</f>
        <v>27-CR-21-13146</v>
      </c>
      <c r="C1344" s="1" t="n">
        <v>1</v>
      </c>
      <c r="D1344" s="2" t="s">
        <v>12</v>
      </c>
      <c r="E1344" s="8" t="n">
        <v>44593</v>
      </c>
      <c r="F1344" s="2" t="s">
        <v>19</v>
      </c>
      <c r="G1344" s="7" t="str">
        <f aca="false">HYPERLINK("https://mncourtfraud.com/file/MCRO_27-CR-21-13146_Findings and Order_2022-02-01_20251126183209.pdf","MCRO_27-CR-21-13146_Findings and Order_2022-02-01_20251126183209.pdf")</f>
        <v>MCRO_27-CR-21-13146_Findings and Order_2022-02-01_20251126183209.pdf</v>
      </c>
      <c r="H1344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1344" s="1" t="s">
        <v>3413</v>
      </c>
      <c r="J1344" s="2" t="s">
        <v>3426</v>
      </c>
      <c r="K1344" s="2" t="s">
        <v>3426</v>
      </c>
      <c r="L1344" s="2" t="s">
        <v>3415</v>
      </c>
      <c r="M1344" s="2" t="n">
        <v>74997</v>
      </c>
      <c r="N1344" s="2" t="s">
        <v>3427</v>
      </c>
    </row>
    <row r="1345" customFormat="false" ht="18.7" hidden="false" customHeight="true" outlineLevel="0" collapsed="false">
      <c r="A1345" s="1" t="n">
        <v>1344</v>
      </c>
      <c r="B1345" s="7" t="str">
        <f aca="false">HYPERLINK("https://mncourtfraud.com/file/27-CR-21-13146.pdf","27-CR-21-13146")</f>
        <v>27-CR-21-13146</v>
      </c>
      <c r="C1345" s="1" t="n">
        <v>1</v>
      </c>
      <c r="D1345" s="2" t="s">
        <v>12</v>
      </c>
      <c r="E1345" s="8" t="n">
        <v>44593</v>
      </c>
      <c r="F1345" s="2" t="s">
        <v>19</v>
      </c>
      <c r="G1345" s="7" t="str">
        <f aca="false">HYPERLINK("https://mncourtfraud.com/file/MCRO_27-CR-21-13146_Findings and Order_2022-02-01_20251126183209.pdf","MCRO_27-CR-21-13146_Findings and Order_2022-02-01_20251126183209.pdf")</f>
        <v>MCRO_27-CR-21-13146_Findings and Order_2022-02-01_20251126183209.pdf</v>
      </c>
      <c r="H1345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1345" s="1" t="s">
        <v>3428</v>
      </c>
      <c r="J1345" s="2" t="s">
        <v>3429</v>
      </c>
      <c r="K1345" s="2" t="s">
        <v>3429</v>
      </c>
      <c r="L1345" s="2" t="s">
        <v>3415</v>
      </c>
      <c r="M1345" s="2" t="n">
        <v>86093</v>
      </c>
    </row>
    <row r="1346" customFormat="false" ht="18.7" hidden="false" customHeight="true" outlineLevel="0" collapsed="false">
      <c r="A1346" s="1" t="n">
        <v>1345</v>
      </c>
      <c r="B1346" s="7" t="str">
        <f aca="false">HYPERLINK("https://mncourtfraud.com/file/27-CR-21-13146.pdf","27-CR-21-13146")</f>
        <v>27-CR-21-13146</v>
      </c>
      <c r="C1346" s="1" t="n">
        <v>1</v>
      </c>
      <c r="D1346" s="2" t="s">
        <v>12</v>
      </c>
      <c r="E1346" s="8" t="n">
        <v>44593</v>
      </c>
      <c r="F1346" s="2" t="s">
        <v>19</v>
      </c>
      <c r="G1346" s="7" t="str">
        <f aca="false">HYPERLINK("https://mncourtfraud.com/file/MCRO_27-CR-21-13146_Findings and Order_2022-02-01_20251126183209.pdf","MCRO_27-CR-21-13146_Findings and Order_2022-02-01_20251126183209.pdf")</f>
        <v>MCRO_27-CR-21-13146_Findings and Order_2022-02-01_20251126183209.pdf</v>
      </c>
      <c r="H1346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1346" s="1" t="s">
        <v>3413</v>
      </c>
      <c r="J1346" s="2" t="s">
        <v>3414</v>
      </c>
      <c r="K1346" s="2" t="s">
        <v>3414</v>
      </c>
      <c r="L1346" s="2" t="s">
        <v>3415</v>
      </c>
      <c r="M1346" s="2" t="n">
        <v>42332</v>
      </c>
    </row>
    <row r="1347" customFormat="false" ht="18.7" hidden="false" customHeight="true" outlineLevel="0" collapsed="false">
      <c r="A1347" s="1" t="n">
        <v>1346</v>
      </c>
      <c r="B1347" s="7" t="str">
        <f aca="false">HYPERLINK("https://mncourtfraud.com/file/27-CR-21-13146.pdf","27-CR-21-13146")</f>
        <v>27-CR-21-13146</v>
      </c>
      <c r="C1347" s="1" t="n">
        <v>1</v>
      </c>
      <c r="D1347" s="2" t="s">
        <v>12</v>
      </c>
      <c r="E1347" s="8" t="n">
        <v>44593</v>
      </c>
      <c r="F1347" s="2" t="s">
        <v>19</v>
      </c>
      <c r="G1347" s="7" t="str">
        <f aca="false">HYPERLINK("https://mncourtfraud.com/file/MCRO_27-CR-21-13146_Findings and Order_2022-02-01_20251126183209.pdf","MCRO_27-CR-21-13146_Findings and Order_2022-02-01_20251126183209.pdf")</f>
        <v>MCRO_27-CR-21-13146_Findings and Order_2022-02-01_20251126183209.pdf</v>
      </c>
      <c r="H1347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1347" s="1" t="s">
        <v>3413</v>
      </c>
      <c r="J1347" s="2" t="s">
        <v>3414</v>
      </c>
      <c r="K1347" s="2" t="s">
        <v>3414</v>
      </c>
      <c r="L1347" s="2" t="s">
        <v>3415</v>
      </c>
      <c r="M1347" s="2" t="n">
        <v>42332</v>
      </c>
    </row>
    <row r="1348" customFormat="false" ht="18.7" hidden="false" customHeight="true" outlineLevel="0" collapsed="false">
      <c r="A1348" s="1" t="n">
        <v>1347</v>
      </c>
      <c r="B1348" s="7" t="str">
        <f aca="false">HYPERLINK("https://mncourtfraud.com/file/27-CR-21-13146.pdf","27-CR-21-13146")</f>
        <v>27-CR-21-13146</v>
      </c>
      <c r="C1348" s="1" t="n">
        <v>1</v>
      </c>
      <c r="D1348" s="2" t="s">
        <v>12</v>
      </c>
      <c r="E1348" s="8" t="n">
        <v>44593</v>
      </c>
      <c r="F1348" s="2" t="s">
        <v>19</v>
      </c>
      <c r="G1348" s="7" t="str">
        <f aca="false">HYPERLINK("https://mncourtfraud.com/file/MCRO_27-CR-21-13146_Findings and Order_2022-02-01_20251126183209.pdf","MCRO_27-CR-21-13146_Findings and Order_2022-02-01_20251126183209.pdf")</f>
        <v>MCRO_27-CR-21-13146_Findings and Order_2022-02-01_20251126183209.pdf</v>
      </c>
      <c r="H1348" s="7" t="str">
        <f aca="false">HYPERLINK("https://mncourtfraud.com/file/d1e06f7a12c8d4ae1de62861dbfeadf4f6b52b1cfd6801e548bc1d08782c1451.ttf","d1e06f7a12c8d4ae1de62861dbfeadf4f6b52b1cfd6801e548bc1d08782c1451")</f>
        <v>d1e06f7a12c8d4ae1de62861dbfeadf4f6b52b1cfd6801e548bc1d08782c1451</v>
      </c>
      <c r="I1348" s="1" t="s">
        <v>3413</v>
      </c>
      <c r="J1348" s="2" t="s">
        <v>3414</v>
      </c>
      <c r="K1348" s="2" t="s">
        <v>3416</v>
      </c>
      <c r="L1348" s="2" t="s">
        <v>3415</v>
      </c>
      <c r="M1348" s="2" t="n">
        <v>28584</v>
      </c>
    </row>
    <row r="1349" customFormat="false" ht="18.7" hidden="false" customHeight="true" outlineLevel="0" collapsed="false">
      <c r="A1349" s="1" t="n">
        <v>1348</v>
      </c>
      <c r="B1349" s="7" t="str">
        <f aca="false">HYPERLINK("https://mncourtfraud.com/file/27-CR-21-13146.pdf","27-CR-21-13146")</f>
        <v>27-CR-21-13146</v>
      </c>
      <c r="C1349" s="1" t="n">
        <v>1</v>
      </c>
      <c r="D1349" s="2" t="s">
        <v>12</v>
      </c>
      <c r="E1349" s="8" t="n">
        <v>44593</v>
      </c>
      <c r="F1349" s="2" t="s">
        <v>19</v>
      </c>
      <c r="G1349" s="7" t="str">
        <f aca="false">HYPERLINK("https://mncourtfraud.com/file/MCRO_27-CR-21-13146_Findings and Order_2022-02-01_20251126183209.pdf","MCRO_27-CR-21-13146_Findings and Order_2022-02-01_20251126183209.pdf")</f>
        <v>MCRO_27-CR-21-13146_Findings and Order_2022-02-01_20251126183209.pdf</v>
      </c>
      <c r="H1349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1349" s="1" t="s">
        <v>3406</v>
      </c>
      <c r="K1349" s="2" t="s">
        <v>3430</v>
      </c>
      <c r="L1349" s="2" t="s">
        <v>3408</v>
      </c>
      <c r="M1349" s="2" t="n">
        <v>28069</v>
      </c>
      <c r="O1349" s="2" t="s">
        <v>3409</v>
      </c>
      <c r="P1349" s="2" t="s">
        <v>3410</v>
      </c>
      <c r="S1349" s="2" t="n">
        <v>448</v>
      </c>
      <c r="T1349" s="2" t="n">
        <v>128</v>
      </c>
    </row>
    <row r="1350" customFormat="false" ht="18.7" hidden="false" customHeight="true" outlineLevel="0" collapsed="false">
      <c r="A1350" s="1" t="n">
        <v>1349</v>
      </c>
      <c r="B1350" s="7" t="str">
        <f aca="false">HYPERLINK("https://mncourtfraud.com/file/27-CR-21-13146.pdf","27-CR-21-13146")</f>
        <v>27-CR-21-13146</v>
      </c>
      <c r="C1350" s="1" t="n">
        <v>1</v>
      </c>
      <c r="D1350" s="2" t="s">
        <v>12</v>
      </c>
      <c r="E1350" s="8" t="n">
        <v>44692</v>
      </c>
      <c r="F1350" s="2" t="s">
        <v>15</v>
      </c>
      <c r="G1350" s="7" t="str">
        <f aca="false">HYPERLINK("https://mncourtfraud.com/file/MCRO_27-CR-21-13146_Order-Evaluation for Competency to Proceed (Rule 20.01)_2022-05-11_20251126183340.pdf","MCRO_27-CR-21-13146_Order-Evaluation for Competency to Proceed (Rule 20.01)_2022-05-11_20251126183340.pdf")</f>
        <v>MCRO_27-CR-21-13146_Order-Evaluation for Competency to Proceed (Rule 20.01)_2022-05-11_20251126183340.pdf</v>
      </c>
      <c r="H1350" s="7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1350" s="1" t="s">
        <v>3406</v>
      </c>
      <c r="K1350" s="2" t="s">
        <v>3432</v>
      </c>
      <c r="L1350" s="2" t="s">
        <v>3408</v>
      </c>
      <c r="M1350" s="2" t="n">
        <v>21121</v>
      </c>
      <c r="O1350" s="2" t="s">
        <v>3409</v>
      </c>
      <c r="P1350" s="2" t="s">
        <v>3410</v>
      </c>
      <c r="S1350" s="2" t="n">
        <v>695</v>
      </c>
      <c r="T1350" s="2" t="n">
        <v>233</v>
      </c>
    </row>
    <row r="1351" customFormat="false" ht="18.7" hidden="false" customHeight="true" outlineLevel="0" collapsed="false">
      <c r="A1351" s="1" t="n">
        <v>1350</v>
      </c>
      <c r="B1351" s="7" t="str">
        <f aca="false">HYPERLINK("https://mncourtfraud.com/file/27-CR-21-13146.pdf","27-CR-21-13146")</f>
        <v>27-CR-21-13146</v>
      </c>
      <c r="C1351" s="1" t="n">
        <v>1</v>
      </c>
      <c r="D1351" s="2" t="s">
        <v>12</v>
      </c>
      <c r="E1351" s="8" t="n">
        <v>44692</v>
      </c>
      <c r="F1351" s="2" t="s">
        <v>15</v>
      </c>
      <c r="G1351" s="7" t="str">
        <f aca="false">HYPERLINK("https://mncourtfraud.com/file/MCRO_27-CR-21-13146_Order-Evaluation for Competency to Proceed (Rule 20.01)_2022-05-11_20251126183340.pdf","MCRO_27-CR-21-13146_Order-Evaluation for Competency to Proceed (Rule 20.01)_2022-05-11_20251126183340.pdf")</f>
        <v>MCRO_27-CR-21-13146_Order-Evaluation for Competency to Proceed (Rule 20.01)_2022-05-11_20251126183340.pdf</v>
      </c>
      <c r="H1351" s="7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1351" s="1" t="s">
        <v>3406</v>
      </c>
      <c r="K1351" s="2" t="s">
        <v>3433</v>
      </c>
      <c r="L1351" s="2" t="s">
        <v>3408</v>
      </c>
      <c r="M1351" s="2" t="n">
        <v>53838</v>
      </c>
      <c r="O1351" s="2" t="s">
        <v>3409</v>
      </c>
      <c r="P1351" s="2" t="s">
        <v>3410</v>
      </c>
      <c r="S1351" s="2" t="n">
        <v>695</v>
      </c>
      <c r="T1351" s="2" t="n">
        <v>233</v>
      </c>
    </row>
    <row r="1352" customFormat="false" ht="18.7" hidden="false" customHeight="true" outlineLevel="0" collapsed="false">
      <c r="A1352" s="1" t="n">
        <v>1351</v>
      </c>
      <c r="B1352" s="7" t="str">
        <f aca="false">HYPERLINK("https://mncourtfraud.com/file/27-CR-21-13146.pdf","27-CR-21-13146")</f>
        <v>27-CR-21-13146</v>
      </c>
      <c r="C1352" s="1" t="n">
        <v>1</v>
      </c>
      <c r="D1352" s="2" t="s">
        <v>12</v>
      </c>
      <c r="E1352" s="8" t="n">
        <v>44692</v>
      </c>
      <c r="F1352" s="2" t="s">
        <v>15</v>
      </c>
      <c r="G1352" s="7" t="str">
        <f aca="false">HYPERLINK("https://mncourtfraud.com/file/MCRO_27-CR-21-13146_Order-Evaluation for Competency to Proceed (Rule 20.01)_2022-05-11_20251126183340.pdf","MCRO_27-CR-21-13146_Order-Evaluation for Competency to Proceed (Rule 20.01)_2022-05-11_20251126183340.pdf")</f>
        <v>MCRO_27-CR-21-13146_Order-Evaluation for Competency to Proceed (Rule 20.01)_2022-05-11_20251126183340.pdf</v>
      </c>
      <c r="H1352" s="7" t="str">
        <f aca="false">HYPERLINK("https://mncourtfraud.com/file/322fe0e9595a4df4693edf307e5f8a42a470721d59f006a7b0e86def92125a58.ttf","322fe0e9595a4df4693edf307e5f8a42a470721d59f006a7b0e86def92125a58")</f>
        <v>322fe0e9595a4df4693edf307e5f8a42a470721d59f006a7b0e86def92125a58</v>
      </c>
      <c r="I1352" s="1" t="s">
        <v>3413</v>
      </c>
      <c r="J1352" s="2" t="s">
        <v>3434</v>
      </c>
      <c r="K1352" s="2" t="s">
        <v>3434</v>
      </c>
      <c r="L1352" s="2" t="s">
        <v>3415</v>
      </c>
      <c r="M1352" s="2" t="n">
        <v>46736</v>
      </c>
      <c r="N1352" s="2" t="s">
        <v>3435</v>
      </c>
    </row>
    <row r="1353" customFormat="false" ht="18.7" hidden="false" customHeight="true" outlineLevel="0" collapsed="false">
      <c r="A1353" s="1" t="n">
        <v>1352</v>
      </c>
      <c r="B1353" s="7" t="str">
        <f aca="false">HYPERLINK("https://mncourtfraud.com/file/27-CR-21-13146.pdf","27-CR-21-13146")</f>
        <v>27-CR-21-13146</v>
      </c>
      <c r="C1353" s="1" t="n">
        <v>1</v>
      </c>
      <c r="D1353" s="2" t="s">
        <v>12</v>
      </c>
      <c r="E1353" s="8" t="n">
        <v>44692</v>
      </c>
      <c r="F1353" s="2" t="s">
        <v>15</v>
      </c>
      <c r="G1353" s="7" t="str">
        <f aca="false">HYPERLINK("https://mncourtfraud.com/file/MCRO_27-CR-21-13146_Order-Evaluation for Competency to Proceed (Rule 20.01)_2022-05-11_20251126183340.pdf","MCRO_27-CR-21-13146_Order-Evaluation for Competency to Proceed (Rule 20.01)_2022-05-11_20251126183340.pdf")</f>
        <v>MCRO_27-CR-21-13146_Order-Evaluation for Competency to Proceed (Rule 20.01)_2022-05-11_20251126183340.pdf</v>
      </c>
      <c r="H1353" s="7" t="str">
        <f aca="false">HYPERLINK("https://mncourtfraud.com/file/32ebada21768d6238e03c647b5e5acdf6ce656f0735d59c3fb698ce40418a709.ttf","32ebada21768d6238e03c647b5e5acdf6ce656f0735d59c3fb698ce40418a709")</f>
        <v>32ebada21768d6238e03c647b5e5acdf6ce656f0735d59c3fb698ce40418a709</v>
      </c>
      <c r="I1353" s="1" t="s">
        <v>3413</v>
      </c>
      <c r="J1353" s="2" t="s">
        <v>3436</v>
      </c>
      <c r="K1353" s="2" t="s">
        <v>3436</v>
      </c>
      <c r="L1353" s="2" t="s">
        <v>3415</v>
      </c>
      <c r="M1353" s="2" t="n">
        <v>65744</v>
      </c>
      <c r="N1353" s="2" t="s">
        <v>3437</v>
      </c>
    </row>
    <row r="1354" customFormat="false" ht="18.7" hidden="false" customHeight="true" outlineLevel="0" collapsed="false">
      <c r="A1354" s="1" t="n">
        <v>1353</v>
      </c>
      <c r="B1354" s="7" t="str">
        <f aca="false">HYPERLINK("https://mncourtfraud.com/file/27-CR-21-13146.pdf","27-CR-21-13146")</f>
        <v>27-CR-21-13146</v>
      </c>
      <c r="C1354" s="1" t="n">
        <v>1</v>
      </c>
      <c r="D1354" s="2" t="s">
        <v>12</v>
      </c>
      <c r="E1354" s="8" t="n">
        <v>44692</v>
      </c>
      <c r="F1354" s="2" t="s">
        <v>15</v>
      </c>
      <c r="G1354" s="7" t="str">
        <f aca="false">HYPERLINK("https://mncourtfraud.com/file/MCRO_27-CR-21-13146_Order-Evaluation for Competency to Proceed (Rule 20.01)_2022-05-11_20251126183340.pdf","MCRO_27-CR-21-13146_Order-Evaluation for Competency to Proceed (Rule 20.01)_2022-05-11_20251126183340.pdf")</f>
        <v>MCRO_27-CR-21-13146_Order-Evaluation for Competency to Proceed (Rule 20.01)_2022-05-11_20251126183340.pdf</v>
      </c>
      <c r="H1354" s="7" t="str">
        <f aca="false">HYPERLINK("https://mncourtfraud.com/file/694dcb82a5515430b7fddfbf16881b942820c8c41fee3eea3505a20c7d4e41e6.ttf","694dcb82a5515430b7fddfbf16881b942820c8c41fee3eea3505a20c7d4e41e6")</f>
        <v>694dcb82a5515430b7fddfbf16881b942820c8c41fee3eea3505a20c7d4e41e6</v>
      </c>
      <c r="I1354" s="1" t="s">
        <v>3413</v>
      </c>
      <c r="J1354" s="2" t="s">
        <v>3438</v>
      </c>
      <c r="K1354" s="2" t="s">
        <v>3438</v>
      </c>
      <c r="L1354" s="2" t="s">
        <v>3415</v>
      </c>
      <c r="M1354" s="2" t="n">
        <v>72828</v>
      </c>
      <c r="N1354" s="2" t="s">
        <v>3439</v>
      </c>
    </row>
    <row r="1355" customFormat="false" ht="18.7" hidden="false" customHeight="true" outlineLevel="0" collapsed="false">
      <c r="A1355" s="1" t="n">
        <v>1354</v>
      </c>
      <c r="B1355" s="7" t="str">
        <f aca="false">HYPERLINK("https://mncourtfraud.com/file/27-CR-21-13146.pdf","27-CR-21-13146")</f>
        <v>27-CR-21-13146</v>
      </c>
      <c r="C1355" s="1" t="n">
        <v>1</v>
      </c>
      <c r="D1355" s="2" t="s">
        <v>12</v>
      </c>
      <c r="E1355" s="8" t="n">
        <v>44692</v>
      </c>
      <c r="F1355" s="2" t="s">
        <v>15</v>
      </c>
      <c r="G1355" s="7" t="str">
        <f aca="false">HYPERLINK("https://mncourtfraud.com/file/MCRO_27-CR-21-13146_Order-Evaluation for Competency to Proceed (Rule 20.01)_2022-05-11_20251126183340.pdf","MCRO_27-CR-21-13146_Order-Evaluation for Competency to Proceed (Rule 20.01)_2022-05-11_20251126183340.pdf")</f>
        <v>MCRO_27-CR-21-13146_Order-Evaluation for Competency to Proceed (Rule 20.01)_2022-05-11_20251126183340.pdf</v>
      </c>
      <c r="H1355" s="7" t="str">
        <f aca="false">HYPERLINK("https://mncourtfraud.com/file/87764021d6d62f7c396208d3f1fa8113e5ad5f90bd03c35e7200536389af4e6a.ttf","87764021d6d62f7c396208d3f1fa8113e5ad5f90bd03c35e7200536389af4e6a")</f>
        <v>87764021d6d62f7c396208d3f1fa8113e5ad5f90bd03c35e7200536389af4e6a</v>
      </c>
      <c r="I1355" s="1" t="s">
        <v>3413</v>
      </c>
      <c r="J1355" s="2" t="s">
        <v>3440</v>
      </c>
      <c r="K1355" s="2" t="s">
        <v>3440</v>
      </c>
      <c r="L1355" s="2" t="s">
        <v>3415</v>
      </c>
      <c r="M1355" s="2" t="n">
        <v>6280</v>
      </c>
      <c r="N1355" s="2" t="s">
        <v>3441</v>
      </c>
    </row>
    <row r="1356" customFormat="false" ht="18.7" hidden="false" customHeight="true" outlineLevel="0" collapsed="false">
      <c r="A1356" s="1" t="n">
        <v>1355</v>
      </c>
      <c r="B1356" s="7" t="str">
        <f aca="false">HYPERLINK("https://mncourtfraud.com/file/27-CR-21-13146.pdf","27-CR-21-13146")</f>
        <v>27-CR-21-13146</v>
      </c>
      <c r="C1356" s="1" t="n">
        <v>1</v>
      </c>
      <c r="D1356" s="2" t="s">
        <v>12</v>
      </c>
      <c r="E1356" s="8" t="n">
        <v>44692</v>
      </c>
      <c r="F1356" s="2" t="s">
        <v>15</v>
      </c>
      <c r="G1356" s="7" t="str">
        <f aca="false">HYPERLINK("https://mncourtfraud.com/file/MCRO_27-CR-21-13146_Order-Evaluation for Competency to Proceed (Rule 20.01)_2022-05-11_20251126183340.pdf","MCRO_27-CR-21-13146_Order-Evaluation for Competency to Proceed (Rule 20.01)_2022-05-11_20251126183340.pdf")</f>
        <v>MCRO_27-CR-21-13146_Order-Evaluation for Competency to Proceed (Rule 20.01)_2022-05-11_20251126183340.pdf</v>
      </c>
      <c r="H1356" s="7" t="str">
        <f aca="false">HYPERLINK("https://mncourtfraud.com/file/a1ad71f465be26cf6bb430c59ae6133d3c381ada339ba3c6b2eadf32a9b4096b.ttf","a1ad71f465be26cf6bb430c59ae6133d3c381ada339ba3c6b2eadf32a9b4096b")</f>
        <v>a1ad71f465be26cf6bb430c59ae6133d3c381ada339ba3c6b2eadf32a9b4096b</v>
      </c>
      <c r="I1356" s="1" t="s">
        <v>3413</v>
      </c>
      <c r="J1356" s="2" t="s">
        <v>3442</v>
      </c>
      <c r="K1356" s="2" t="s">
        <v>3442</v>
      </c>
      <c r="L1356" s="2" t="s">
        <v>3415</v>
      </c>
      <c r="M1356" s="2" t="n">
        <v>5988</v>
      </c>
      <c r="N1356" s="2" t="s">
        <v>3443</v>
      </c>
    </row>
    <row r="1357" customFormat="false" ht="18.7" hidden="false" customHeight="true" outlineLevel="0" collapsed="false">
      <c r="A1357" s="1" t="n">
        <v>1356</v>
      </c>
      <c r="B1357" s="7" t="str">
        <f aca="false">HYPERLINK("https://mncourtfraud.com/file/27-CR-21-13146.pdf","27-CR-21-13146")</f>
        <v>27-CR-21-13146</v>
      </c>
      <c r="C1357" s="1" t="n">
        <v>1</v>
      </c>
      <c r="D1357" s="2" t="s">
        <v>12</v>
      </c>
      <c r="E1357" s="8" t="n">
        <v>44692</v>
      </c>
      <c r="F1357" s="2" t="s">
        <v>15</v>
      </c>
      <c r="G1357" s="7" t="str">
        <f aca="false">HYPERLINK("https://mncourtfraud.com/file/MCRO_27-CR-21-13146_Order-Evaluation for Competency to Proceed (Rule 20.01)_2022-05-11_20251126183340.pdf","MCRO_27-CR-21-13146_Order-Evaluation for Competency to Proceed (Rule 20.01)_2022-05-11_20251126183340.pdf")</f>
        <v>MCRO_27-CR-21-13146_Order-Evaluation for Competency to Proceed (Rule 20.01)_2022-05-11_20251126183340.pdf</v>
      </c>
      <c r="H1357" s="7" t="str">
        <f aca="false">HYPERLINK("https://mncourtfraud.com/file/e1befe23dc5d05be4c8e965e6fc9e74e95400600e0da0c86dd389645355f3ad1.ttf","e1befe23dc5d05be4c8e965e6fc9e74e95400600e0da0c86dd389645355f3ad1")</f>
        <v>e1befe23dc5d05be4c8e965e6fc9e74e95400600e0da0c86dd389645355f3ad1</v>
      </c>
      <c r="I1357" s="1" t="s">
        <v>3413</v>
      </c>
      <c r="J1357" s="2" t="s">
        <v>3444</v>
      </c>
      <c r="K1357" s="2" t="s">
        <v>3444</v>
      </c>
      <c r="L1357" s="2" t="s">
        <v>3415</v>
      </c>
      <c r="M1357" s="2" t="n">
        <v>94308</v>
      </c>
      <c r="N1357" s="2" t="s">
        <v>3445</v>
      </c>
    </row>
    <row r="1358" customFormat="false" ht="18.7" hidden="false" customHeight="true" outlineLevel="0" collapsed="false">
      <c r="A1358" s="1" t="n">
        <v>1357</v>
      </c>
      <c r="B1358" s="7" t="str">
        <f aca="false">HYPERLINK("https://mncourtfraud.com/file/27-CR-21-13146.pdf","27-CR-21-13146")</f>
        <v>27-CR-21-13146</v>
      </c>
      <c r="C1358" s="1" t="n">
        <v>1</v>
      </c>
      <c r="D1358" s="2" t="s">
        <v>12</v>
      </c>
      <c r="E1358" s="8" t="n">
        <v>44895</v>
      </c>
      <c r="F1358" s="2" t="s">
        <v>15</v>
      </c>
      <c r="G1358" s="7" t="str">
        <f aca="false">HYPERLINK("https://mncourtfraud.com/file/MCRO_27-CR-21-13146_Order-Evaluation for Competency to Proceed (Rule 20.01)_2022-11-30_20251126183348.pdf","MCRO_27-CR-21-13146_Order-Evaluation for Competency to Proceed (Rule 20.01)_2022-11-30_20251126183348.pdf")</f>
        <v>MCRO_27-CR-21-13146_Order-Evaluation for Competency to Proceed (Rule 20.01)_2022-11-30_20251126183348.pdf</v>
      </c>
      <c r="H1358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1358" s="1" t="s">
        <v>3413</v>
      </c>
      <c r="J1358" s="2" t="s">
        <v>3423</v>
      </c>
      <c r="K1358" s="2" t="s">
        <v>3423</v>
      </c>
      <c r="L1358" s="2" t="s">
        <v>3415</v>
      </c>
      <c r="M1358" s="2" t="n">
        <v>11088</v>
      </c>
    </row>
    <row r="1359" customFormat="false" ht="18.7" hidden="false" customHeight="true" outlineLevel="0" collapsed="false">
      <c r="A1359" s="1" t="n">
        <v>1358</v>
      </c>
      <c r="B1359" s="7" t="str">
        <f aca="false">HYPERLINK("https://mncourtfraud.com/file/27-CR-21-13146.pdf","27-CR-21-13146")</f>
        <v>27-CR-21-13146</v>
      </c>
      <c r="C1359" s="1" t="n">
        <v>1</v>
      </c>
      <c r="D1359" s="2" t="s">
        <v>12</v>
      </c>
      <c r="E1359" s="8" t="n">
        <v>44895</v>
      </c>
      <c r="F1359" s="2" t="s">
        <v>15</v>
      </c>
      <c r="G1359" s="7" t="str">
        <f aca="false">HYPERLINK("https://mncourtfraud.com/file/MCRO_27-CR-21-13146_Order-Evaluation for Competency to Proceed (Rule 20.01)_2022-11-30_20251126183348.pdf","MCRO_27-CR-21-13146_Order-Evaluation for Competency to Proceed (Rule 20.01)_2022-11-30_20251126183348.pdf")</f>
        <v>MCRO_27-CR-21-13146_Order-Evaluation for Competency to Proceed (Rule 20.01)_2022-11-30_20251126183348.pdf</v>
      </c>
      <c r="H1359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1359" s="1" t="s">
        <v>3413</v>
      </c>
      <c r="J1359" s="2" t="s">
        <v>3446</v>
      </c>
      <c r="K1359" s="2" t="s">
        <v>3446</v>
      </c>
      <c r="L1359" s="2" t="s">
        <v>3415</v>
      </c>
      <c r="M1359" s="2" t="n">
        <v>55072</v>
      </c>
      <c r="N1359" s="2" t="s">
        <v>3447</v>
      </c>
    </row>
    <row r="1360" customFormat="false" ht="18.7" hidden="false" customHeight="true" outlineLevel="0" collapsed="false">
      <c r="A1360" s="1" t="n">
        <v>1359</v>
      </c>
      <c r="B1360" s="7" t="str">
        <f aca="false">HYPERLINK("https://mncourtfraud.com/file/27-CR-21-13146.pdf","27-CR-21-13146")</f>
        <v>27-CR-21-13146</v>
      </c>
      <c r="C1360" s="1" t="n">
        <v>1</v>
      </c>
      <c r="D1360" s="2" t="s">
        <v>12</v>
      </c>
      <c r="E1360" s="8" t="n">
        <v>44895</v>
      </c>
      <c r="F1360" s="2" t="s">
        <v>15</v>
      </c>
      <c r="G1360" s="7" t="str">
        <f aca="false">HYPERLINK("https://mncourtfraud.com/file/MCRO_27-CR-21-13146_Order-Evaluation for Competency to Proceed (Rule 20.01)_2022-11-30_20251126183348.pdf","MCRO_27-CR-21-13146_Order-Evaluation for Competency to Proceed (Rule 20.01)_2022-11-30_20251126183348.pdf")</f>
        <v>MCRO_27-CR-21-13146_Order-Evaluation for Competency to Proceed (Rule 20.01)_2022-11-30_20251126183348.pdf</v>
      </c>
      <c r="H1360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1360" s="1" t="s">
        <v>3413</v>
      </c>
      <c r="J1360" s="2" t="s">
        <v>3424</v>
      </c>
      <c r="K1360" s="2" t="s">
        <v>3424</v>
      </c>
      <c r="L1360" s="2" t="s">
        <v>3415</v>
      </c>
      <c r="M1360" s="2" t="n">
        <v>14252</v>
      </c>
    </row>
    <row r="1361" customFormat="false" ht="18.7" hidden="false" customHeight="true" outlineLevel="0" collapsed="false">
      <c r="A1361" s="1" t="n">
        <v>1360</v>
      </c>
      <c r="B1361" s="7" t="str">
        <f aca="false">HYPERLINK("https://mncourtfraud.com/file/27-CR-21-13146.pdf","27-CR-21-13146")</f>
        <v>27-CR-21-13146</v>
      </c>
      <c r="C1361" s="1" t="n">
        <v>1</v>
      </c>
      <c r="D1361" s="2" t="s">
        <v>12</v>
      </c>
      <c r="E1361" s="8" t="n">
        <v>44895</v>
      </c>
      <c r="F1361" s="2" t="s">
        <v>15</v>
      </c>
      <c r="G1361" s="7" t="str">
        <f aca="false">HYPERLINK("https://mncourtfraud.com/file/MCRO_27-CR-21-13146_Order-Evaluation for Competency to Proceed (Rule 20.01)_2022-11-30_20251126183348.pdf","MCRO_27-CR-21-13146_Order-Evaluation for Competency to Proceed (Rule 20.01)_2022-11-30_20251126183348.pdf")</f>
        <v>MCRO_27-CR-21-13146_Order-Evaluation for Competency to Proceed (Rule 20.01)_2022-11-30_20251126183348.pdf</v>
      </c>
      <c r="H1361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361" s="1" t="s">
        <v>3406</v>
      </c>
      <c r="K1361" s="2" t="s">
        <v>3420</v>
      </c>
      <c r="L1361" s="2" t="s">
        <v>3408</v>
      </c>
      <c r="M1361" s="2" t="n">
        <v>7306</v>
      </c>
      <c r="O1361" s="2" t="s">
        <v>3409</v>
      </c>
      <c r="P1361" s="2" t="s">
        <v>3410</v>
      </c>
      <c r="S1361" s="2" t="n">
        <v>319</v>
      </c>
      <c r="T1361" s="2" t="n">
        <v>105</v>
      </c>
    </row>
    <row r="1362" customFormat="false" ht="18.7" hidden="false" customHeight="true" outlineLevel="0" collapsed="false">
      <c r="A1362" s="1" t="n">
        <v>1361</v>
      </c>
      <c r="B1362" s="7" t="str">
        <f aca="false">HYPERLINK("https://mncourtfraud.com/file/27-CR-21-13146.pdf","27-CR-21-13146")</f>
        <v>27-CR-21-13146</v>
      </c>
      <c r="C1362" s="1" t="n">
        <v>1</v>
      </c>
      <c r="D1362" s="2" t="s">
        <v>12</v>
      </c>
      <c r="E1362" s="8" t="n">
        <v>44895</v>
      </c>
      <c r="F1362" s="2" t="s">
        <v>15</v>
      </c>
      <c r="G1362" s="7" t="str">
        <f aca="false">HYPERLINK("https://mncourtfraud.com/file/MCRO_27-CR-21-13146_Order-Evaluation for Competency to Proceed (Rule 20.01)_2022-11-30_20251126183348.pdf","MCRO_27-CR-21-13146_Order-Evaluation for Competency to Proceed (Rule 20.01)_2022-11-30_20251126183348.pdf")</f>
        <v>MCRO_27-CR-21-13146_Order-Evaluation for Competency to Proceed (Rule 20.01)_2022-11-30_20251126183348.pdf</v>
      </c>
      <c r="H1362" s="7" t="str">
        <f aca="false">HYPERLINK("https://mncourtfraud.com/file/677e52a3b8403ce87e338b0a2e31e6f8e5ddf03fb0ca7043a341135cf0255eaa.ttf","677e52a3b8403ce87e338b0a2e31e6f8e5ddf03fb0ca7043a341135cf0255eaa")</f>
        <v>677e52a3b8403ce87e338b0a2e31e6f8e5ddf03fb0ca7043a341135cf0255eaa</v>
      </c>
      <c r="I1362" s="1" t="s">
        <v>3413</v>
      </c>
      <c r="J1362" s="2" t="s">
        <v>3422</v>
      </c>
      <c r="K1362" s="2" t="s">
        <v>3422</v>
      </c>
      <c r="L1362" s="2" t="s">
        <v>3415</v>
      </c>
      <c r="M1362" s="2" t="n">
        <v>149960</v>
      </c>
    </row>
    <row r="1363" customFormat="false" ht="18.7" hidden="false" customHeight="true" outlineLevel="0" collapsed="false">
      <c r="A1363" s="1" t="n">
        <v>1362</v>
      </c>
      <c r="B1363" s="7" t="str">
        <f aca="false">HYPERLINK("https://mncourtfraud.com/file/27-CR-21-13146.pdf","27-CR-21-13146")</f>
        <v>27-CR-21-13146</v>
      </c>
      <c r="C1363" s="1" t="n">
        <v>1</v>
      </c>
      <c r="D1363" s="2" t="s">
        <v>12</v>
      </c>
      <c r="E1363" s="8" t="n">
        <v>44895</v>
      </c>
      <c r="F1363" s="2" t="s">
        <v>15</v>
      </c>
      <c r="G1363" s="7" t="str">
        <f aca="false">HYPERLINK("https://mncourtfraud.com/file/MCRO_27-CR-21-13146_Order-Evaluation for Competency to Proceed (Rule 20.01)_2022-11-30_20251126183348.pdf","MCRO_27-CR-21-13146_Order-Evaluation for Competency to Proceed (Rule 20.01)_2022-11-30_20251126183348.pdf")</f>
        <v>MCRO_27-CR-21-13146_Order-Evaluation for Competency to Proceed (Rule 20.01)_2022-11-30_20251126183348.pdf</v>
      </c>
      <c r="H1363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1363" s="1" t="s">
        <v>3413</v>
      </c>
      <c r="J1363" s="2" t="s">
        <v>3448</v>
      </c>
      <c r="K1363" s="2" t="s">
        <v>3448</v>
      </c>
      <c r="L1363" s="2" t="s">
        <v>3415</v>
      </c>
      <c r="M1363" s="2" t="n">
        <v>916684</v>
      </c>
    </row>
    <row r="1364" customFormat="false" ht="18.7" hidden="false" customHeight="true" outlineLevel="0" collapsed="false">
      <c r="A1364" s="1" t="n">
        <v>1363</v>
      </c>
      <c r="B1364" s="7" t="str">
        <f aca="false">HYPERLINK("https://mncourtfraud.com/file/27-CR-21-13146.pdf","27-CR-21-13146")</f>
        <v>27-CR-21-13146</v>
      </c>
      <c r="C1364" s="1" t="n">
        <v>1</v>
      </c>
      <c r="D1364" s="2" t="s">
        <v>12</v>
      </c>
      <c r="E1364" s="8" t="n">
        <v>44895</v>
      </c>
      <c r="F1364" s="2" t="s">
        <v>15</v>
      </c>
      <c r="G1364" s="7" t="str">
        <f aca="false">HYPERLINK("https://mncourtfraud.com/file/MCRO_27-CR-21-13146_Order-Evaluation for Competency to Proceed (Rule 20.01)_2022-11-30_20251126183348.pdf","MCRO_27-CR-21-13146_Order-Evaluation for Competency to Proceed (Rule 20.01)_2022-11-30_20251126183348.pdf")</f>
        <v>MCRO_27-CR-21-13146_Order-Evaluation for Competency to Proceed (Rule 20.01)_2022-11-30_20251126183348.pdf</v>
      </c>
      <c r="H1364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364" s="1" t="s">
        <v>3406</v>
      </c>
      <c r="K1364" s="2" t="s">
        <v>3425</v>
      </c>
      <c r="L1364" s="2" t="s">
        <v>3408</v>
      </c>
      <c r="M1364" s="2" t="n">
        <v>21225</v>
      </c>
      <c r="O1364" s="2" t="s">
        <v>3409</v>
      </c>
      <c r="P1364" s="2" t="s">
        <v>3410</v>
      </c>
      <c r="S1364" s="2" t="n">
        <v>319</v>
      </c>
      <c r="T1364" s="2" t="n">
        <v>105</v>
      </c>
    </row>
    <row r="1365" customFormat="false" ht="18.7" hidden="false" customHeight="true" outlineLevel="0" collapsed="false">
      <c r="A1365" s="1" t="n">
        <v>1364</v>
      </c>
      <c r="B1365" s="7" t="str">
        <f aca="false">HYPERLINK("https://mncourtfraud.com/file/27-CR-21-13146.pdf","27-CR-21-13146")</f>
        <v>27-CR-21-13146</v>
      </c>
      <c r="C1365" s="1" t="n">
        <v>1</v>
      </c>
      <c r="D1365" s="2" t="s">
        <v>12</v>
      </c>
      <c r="E1365" s="8" t="n">
        <v>44895</v>
      </c>
      <c r="F1365" s="2" t="s">
        <v>15</v>
      </c>
      <c r="G1365" s="7" t="str">
        <f aca="false">HYPERLINK("https://mncourtfraud.com/file/MCRO_27-CR-21-13146_Order-Evaluation for Competency to Proceed (Rule 20.01)_2022-11-30_20251126183348.pdf","MCRO_27-CR-21-13146_Order-Evaluation for Competency to Proceed (Rule 20.01)_2022-11-30_20251126183348.pdf")</f>
        <v>MCRO_27-CR-21-13146_Order-Evaluation for Competency to Proceed (Rule 20.01)_2022-11-30_20251126183348.pdf</v>
      </c>
      <c r="H1365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1365" s="1" t="s">
        <v>3413</v>
      </c>
      <c r="J1365" s="2" t="s">
        <v>3449</v>
      </c>
      <c r="K1365" s="2" t="s">
        <v>3449</v>
      </c>
      <c r="L1365" s="2" t="s">
        <v>3415</v>
      </c>
      <c r="M1365" s="2" t="n">
        <v>124664</v>
      </c>
    </row>
    <row r="1366" customFormat="false" ht="18.7" hidden="false" customHeight="true" outlineLevel="0" collapsed="false">
      <c r="A1366" s="1" t="n">
        <v>1365</v>
      </c>
      <c r="B1366" s="7" t="str">
        <f aca="false">HYPERLINK("https://mncourtfraud.com/file/27-CR-21-13146.pdf","27-CR-21-13146")</f>
        <v>27-CR-21-13146</v>
      </c>
      <c r="C1366" s="1" t="n">
        <v>1</v>
      </c>
      <c r="D1366" s="2" t="s">
        <v>12</v>
      </c>
      <c r="E1366" s="8" t="n">
        <v>44895</v>
      </c>
      <c r="F1366" s="2" t="s">
        <v>15</v>
      </c>
      <c r="G1366" s="7" t="str">
        <f aca="false">HYPERLINK("https://mncourtfraud.com/file/MCRO_27-CR-21-13146_Order-Evaluation for Competency to Proceed (Rule 20.01)_2022-11-30_20251126183348.pdf","MCRO_27-CR-21-13146_Order-Evaluation for Competency to Proceed (Rule 20.01)_2022-11-30_20251126183348.pdf")</f>
        <v>MCRO_27-CR-21-13146_Order-Evaluation for Competency to Proceed (Rule 20.01)_2022-11-30_20251126183348.pdf</v>
      </c>
      <c r="H1366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1366" s="1" t="s">
        <v>3413</v>
      </c>
      <c r="J1366" s="2" t="s">
        <v>3449</v>
      </c>
      <c r="K1366" s="2" t="s">
        <v>3449</v>
      </c>
      <c r="L1366" s="2" t="s">
        <v>3415</v>
      </c>
      <c r="M1366" s="2" t="n">
        <v>124664</v>
      </c>
    </row>
    <row r="1367" customFormat="false" ht="18.7" hidden="false" customHeight="true" outlineLevel="0" collapsed="false">
      <c r="A1367" s="1" t="n">
        <v>1366</v>
      </c>
      <c r="B1367" s="7" t="str">
        <f aca="false">HYPERLINK("https://mncourtfraud.com/file/27-CR-21-13146.pdf","27-CR-21-13146")</f>
        <v>27-CR-21-13146</v>
      </c>
      <c r="C1367" s="1" t="n">
        <v>1</v>
      </c>
      <c r="D1367" s="2" t="s">
        <v>12</v>
      </c>
      <c r="E1367" s="8" t="n">
        <v>44999</v>
      </c>
      <c r="F1367" s="2" t="s">
        <v>17</v>
      </c>
      <c r="G1367" s="7" t="str">
        <f aca="false">HYPERLINK("https://mncourtfraud.com/file/MCRO_27-CR-21-13146_Returned Mail_2023-03-14_20251126183418.pdf","MCRO_27-CR-21-13146_Returned Mail_2023-03-14_20251126183418.pdf")</f>
        <v>MCRO_27-CR-21-13146_Returned Mail_2023-03-14_20251126183418.pdf</v>
      </c>
      <c r="H1367" s="7" t="str">
        <f aca="false">HYPERLINK("https://mncourtfraud.com/file/64196aeaf691c6545e836f6b76fa5de735d19e3c39be349be00dbf823ffdc419.ttf","64196aeaf691c6545e836f6b76fa5de735d19e3c39be349be00dbf823ffdc419")</f>
        <v>64196aeaf691c6545e836f6b76fa5de735d19e3c39be349be00dbf823ffdc419</v>
      </c>
      <c r="I1367" s="1" t="s">
        <v>3413</v>
      </c>
      <c r="L1367" s="2" t="s">
        <v>3415</v>
      </c>
      <c r="M1367" s="2" t="n">
        <v>333584</v>
      </c>
    </row>
    <row r="1368" customFormat="false" ht="18.7" hidden="false" customHeight="true" outlineLevel="0" collapsed="false">
      <c r="A1368" s="1" t="n">
        <v>1367</v>
      </c>
      <c r="B1368" s="7" t="str">
        <f aca="false">HYPERLINK("https://mncourtfraud.com/file/27-CR-21-13146.pdf","27-CR-21-13146")</f>
        <v>27-CR-21-13146</v>
      </c>
      <c r="C1368" s="1" t="n">
        <v>1</v>
      </c>
      <c r="D1368" s="2" t="s">
        <v>12</v>
      </c>
      <c r="E1368" s="8" t="n">
        <v>44999</v>
      </c>
      <c r="F1368" s="2" t="s">
        <v>17</v>
      </c>
      <c r="G1368" s="7" t="str">
        <f aca="false">HYPERLINK("https://mncourtfraud.com/file/MCRO_27-CR-21-13146_Returned Mail_2023-03-14_20251126183418.pdf","MCRO_27-CR-21-13146_Returned Mail_2023-03-14_20251126183418.pdf")</f>
        <v>MCRO_27-CR-21-13146_Returned Mail_2023-03-14_20251126183418.pdf</v>
      </c>
      <c r="H1368" s="7" t="str">
        <f aca="false">HYPERLINK("https://mncourtfraud.com/file/a7d52f3e7103d8894e0459c8d7fba87d63949db594dd20a030b65a05ad5814d5.jpg","a7d52f3e7103d8894e0459c8d7fba87d63949db594dd20a030b65a05ad5814d5")</f>
        <v>a7d52f3e7103d8894e0459c8d7fba87d63949db594dd20a030b65a05ad5814d5</v>
      </c>
      <c r="I1368" s="1" t="s">
        <v>3417</v>
      </c>
      <c r="L1368" s="2" t="s">
        <v>3419</v>
      </c>
      <c r="M1368" s="2" t="n">
        <v>253468</v>
      </c>
      <c r="S1368" s="2" t="n">
        <v>3300</v>
      </c>
      <c r="T1368" s="2" t="n">
        <v>2550</v>
      </c>
    </row>
    <row r="1369" customFormat="false" ht="18.7" hidden="false" customHeight="true" outlineLevel="0" collapsed="false">
      <c r="A1369" s="1" t="n">
        <v>1368</v>
      </c>
      <c r="B1369" s="7" t="str">
        <f aca="false">HYPERLINK("https://mncourtfraud.com/file/27-CR-21-13146.pdf","27-CR-21-13146")</f>
        <v>27-CR-21-13146</v>
      </c>
      <c r="C1369" s="1" t="n">
        <v>1</v>
      </c>
      <c r="D1369" s="2" t="s">
        <v>12</v>
      </c>
      <c r="E1369" s="8" t="n">
        <v>45048</v>
      </c>
      <c r="F1369" s="2" t="s">
        <v>80</v>
      </c>
      <c r="G1369" s="7" t="str">
        <f aca="false">HYPERLINK("https://mncourtfraud.com/file/MCRO_27-CR-21-13146_Finding of Incompetency and Order_2023-05-02_20251126183156.pdf","MCRO_27-CR-21-13146_Finding of Incompetency and Order_2023-05-02_20251126183156.pdf")</f>
        <v>MCRO_27-CR-21-13146_Finding of Incompetency and Order_2023-05-02_20251126183156.pdf</v>
      </c>
      <c r="H1369" s="7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1369" s="1" t="s">
        <v>3406</v>
      </c>
      <c r="L1369" s="2" t="s">
        <v>3412</v>
      </c>
      <c r="M1369" s="2" t="n">
        <v>3506</v>
      </c>
      <c r="S1369" s="2" t="n">
        <v>1410</v>
      </c>
      <c r="T1369" s="2" t="n">
        <v>150</v>
      </c>
    </row>
    <row r="1370" customFormat="false" ht="18.7" hidden="false" customHeight="true" outlineLevel="0" collapsed="false">
      <c r="A1370" s="1" t="n">
        <v>1369</v>
      </c>
      <c r="B1370" s="7" t="str">
        <f aca="false">HYPERLINK("https://mncourtfraud.com/file/27-CR-21-13146.pdf","27-CR-21-13146")</f>
        <v>27-CR-21-13146</v>
      </c>
      <c r="C1370" s="1" t="n">
        <v>1</v>
      </c>
      <c r="D1370" s="2" t="s">
        <v>12</v>
      </c>
      <c r="E1370" s="8" t="n">
        <v>45048</v>
      </c>
      <c r="F1370" s="2" t="s">
        <v>80</v>
      </c>
      <c r="G1370" s="7" t="str">
        <f aca="false">HYPERLINK("https://mncourtfraud.com/file/MCRO_27-CR-21-13146_Finding of Incompetency and Order_2023-05-02_20251126183156.pdf","MCRO_27-CR-21-13146_Finding of Incompetency and Order_2023-05-02_20251126183156.pdf")</f>
        <v>MCRO_27-CR-21-13146_Finding of Incompetency and Order_2023-05-02_20251126183156.pdf</v>
      </c>
      <c r="H1370" s="7" t="str">
        <f aca="false">HYPERLINK("https://mncourtfraud.com/file/18befca089509ee2fbaddf9c5b79bf5988523b22d2369743ed9a591b9fc3bdb6.ttf","18befca089509ee2fbaddf9c5b79bf5988523b22d2369743ed9a591b9fc3bdb6")</f>
        <v>18befca089509ee2fbaddf9c5b79bf5988523b22d2369743ed9a591b9fc3bdb6</v>
      </c>
      <c r="I1370" s="1" t="s">
        <v>3413</v>
      </c>
      <c r="J1370" s="2" t="s">
        <v>3421</v>
      </c>
      <c r="K1370" s="2" t="s">
        <v>3450</v>
      </c>
      <c r="L1370" s="2" t="s">
        <v>3415</v>
      </c>
      <c r="M1370" s="2" t="n">
        <v>115928</v>
      </c>
    </row>
    <row r="1371" customFormat="false" ht="18.7" hidden="false" customHeight="true" outlineLevel="0" collapsed="false">
      <c r="A1371" s="1" t="n">
        <v>1370</v>
      </c>
      <c r="B1371" s="7" t="str">
        <f aca="false">HYPERLINK("https://mncourtfraud.com/file/27-CR-21-13146.pdf","27-CR-21-13146")</f>
        <v>27-CR-21-13146</v>
      </c>
      <c r="C1371" s="1" t="n">
        <v>1</v>
      </c>
      <c r="D1371" s="2" t="s">
        <v>12</v>
      </c>
      <c r="E1371" s="8" t="n">
        <v>45048</v>
      </c>
      <c r="F1371" s="2" t="s">
        <v>80</v>
      </c>
      <c r="G1371" s="7" t="str">
        <f aca="false">HYPERLINK("https://mncourtfraud.com/file/MCRO_27-CR-21-13146_Finding of Incompetency and Order_2023-05-02_20251126183156.pdf","MCRO_27-CR-21-13146_Finding of Incompetency and Order_2023-05-02_20251126183156.pdf")</f>
        <v>MCRO_27-CR-21-13146_Finding of Incompetency and Order_2023-05-02_20251126183156.pdf</v>
      </c>
      <c r="H1371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1371" s="1" t="s">
        <v>3413</v>
      </c>
      <c r="J1371" s="2" t="s">
        <v>3446</v>
      </c>
      <c r="K1371" s="2" t="s">
        <v>3446</v>
      </c>
      <c r="L1371" s="2" t="s">
        <v>3415</v>
      </c>
      <c r="M1371" s="2" t="n">
        <v>55072</v>
      </c>
      <c r="N1371" s="2" t="s">
        <v>3447</v>
      </c>
    </row>
    <row r="1372" customFormat="false" ht="18.7" hidden="false" customHeight="true" outlineLevel="0" collapsed="false">
      <c r="A1372" s="1" t="n">
        <v>1371</v>
      </c>
      <c r="B1372" s="7" t="str">
        <f aca="false">HYPERLINK("https://mncourtfraud.com/file/27-CR-21-13146.pdf","27-CR-21-13146")</f>
        <v>27-CR-21-13146</v>
      </c>
      <c r="C1372" s="1" t="n">
        <v>1</v>
      </c>
      <c r="D1372" s="2" t="s">
        <v>12</v>
      </c>
      <c r="E1372" s="8" t="n">
        <v>45048</v>
      </c>
      <c r="F1372" s="2" t="s">
        <v>80</v>
      </c>
      <c r="G1372" s="7" t="str">
        <f aca="false">HYPERLINK("https://mncourtfraud.com/file/MCRO_27-CR-21-13146_Finding of Incompetency and Order_2023-05-02_20251126183156.pdf","MCRO_27-CR-21-13146_Finding of Incompetency and Order_2023-05-02_20251126183156.pdf")</f>
        <v>MCRO_27-CR-21-13146_Finding of Incompetency and Order_2023-05-02_20251126183156.pdf</v>
      </c>
      <c r="H1372" s="7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1372" s="1" t="s">
        <v>3406</v>
      </c>
      <c r="K1372" s="2" t="s">
        <v>3451</v>
      </c>
      <c r="L1372" s="2" t="s">
        <v>3408</v>
      </c>
      <c r="M1372" s="2" t="n">
        <v>5295</v>
      </c>
      <c r="O1372" s="2" t="s">
        <v>3452</v>
      </c>
      <c r="P1372" s="2" t="s">
        <v>3410</v>
      </c>
      <c r="S1372" s="2" t="n">
        <v>833</v>
      </c>
      <c r="T1372" s="2" t="n">
        <v>186</v>
      </c>
    </row>
    <row r="1373" customFormat="false" ht="18.7" hidden="false" customHeight="true" outlineLevel="0" collapsed="false">
      <c r="A1373" s="1" t="n">
        <v>1372</v>
      </c>
      <c r="B1373" s="7" t="str">
        <f aca="false">HYPERLINK("https://mncourtfraud.com/file/27-CR-21-13146.pdf","27-CR-21-13146")</f>
        <v>27-CR-21-13146</v>
      </c>
      <c r="C1373" s="1" t="n">
        <v>1</v>
      </c>
      <c r="D1373" s="2" t="s">
        <v>12</v>
      </c>
      <c r="E1373" s="8" t="n">
        <v>45048</v>
      </c>
      <c r="F1373" s="2" t="s">
        <v>80</v>
      </c>
      <c r="G1373" s="7" t="str">
        <f aca="false">HYPERLINK("https://mncourtfraud.com/file/MCRO_27-CR-21-13146_Finding of Incompetency and Order_2023-05-02_20251126183156.pdf","MCRO_27-CR-21-13146_Finding of Incompetency and Order_2023-05-02_20251126183156.pdf")</f>
        <v>MCRO_27-CR-21-13146_Finding of Incompetency and Order_2023-05-02_20251126183156.pdf</v>
      </c>
      <c r="H1373" s="7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1373" s="1" t="s">
        <v>3406</v>
      </c>
      <c r="K1373" s="2" t="s">
        <v>3453</v>
      </c>
      <c r="L1373" s="2" t="s">
        <v>3408</v>
      </c>
      <c r="M1373" s="2" t="n">
        <v>3442</v>
      </c>
      <c r="O1373" s="2" t="s">
        <v>3454</v>
      </c>
      <c r="P1373" s="2" t="s">
        <v>3410</v>
      </c>
      <c r="S1373" s="2" t="n">
        <v>857</v>
      </c>
      <c r="T1373" s="2" t="n">
        <v>184</v>
      </c>
    </row>
    <row r="1374" customFormat="false" ht="18.7" hidden="false" customHeight="true" outlineLevel="0" collapsed="false">
      <c r="A1374" s="1" t="n">
        <v>1373</v>
      </c>
      <c r="B1374" s="7" t="str">
        <f aca="false">HYPERLINK("https://mncourtfraud.com/file/27-CR-21-13146.pdf","27-CR-21-13146")</f>
        <v>27-CR-21-13146</v>
      </c>
      <c r="C1374" s="1" t="n">
        <v>1</v>
      </c>
      <c r="D1374" s="2" t="s">
        <v>12</v>
      </c>
      <c r="E1374" s="8" t="n">
        <v>45048</v>
      </c>
      <c r="F1374" s="2" t="s">
        <v>80</v>
      </c>
      <c r="G1374" s="7" t="str">
        <f aca="false">HYPERLINK("https://mncourtfraud.com/file/MCRO_27-CR-21-13146_Finding of Incompetency and Order_2023-05-02_20251126183156.pdf","MCRO_27-CR-21-13146_Finding of Incompetency and Order_2023-05-02_20251126183156.pdf")</f>
        <v>MCRO_27-CR-21-13146_Finding of Incompetency and Order_2023-05-02_20251126183156.pdf</v>
      </c>
      <c r="H1374" s="7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1374" s="1" t="s">
        <v>3406</v>
      </c>
      <c r="L1374" s="2" t="s">
        <v>3412</v>
      </c>
      <c r="M1374" s="2" t="n">
        <v>3824</v>
      </c>
      <c r="S1374" s="2" t="n">
        <v>1850</v>
      </c>
      <c r="T1374" s="2" t="n">
        <v>160</v>
      </c>
    </row>
    <row r="1375" customFormat="false" ht="18.7" hidden="false" customHeight="true" outlineLevel="0" collapsed="false">
      <c r="A1375" s="1" t="n">
        <v>1374</v>
      </c>
      <c r="B1375" s="7" t="str">
        <f aca="false">HYPERLINK("https://mncourtfraud.com/file/27-CR-21-13146.pdf","27-CR-21-13146")</f>
        <v>27-CR-21-13146</v>
      </c>
      <c r="C1375" s="1" t="n">
        <v>1</v>
      </c>
      <c r="D1375" s="2" t="s">
        <v>12</v>
      </c>
      <c r="E1375" s="8" t="n">
        <v>45048</v>
      </c>
      <c r="F1375" s="2" t="s">
        <v>80</v>
      </c>
      <c r="G1375" s="7" t="str">
        <f aca="false">HYPERLINK("https://mncourtfraud.com/file/MCRO_27-CR-21-13146_Finding of Incompetency and Order_2023-05-02_20251126183156.pdf","MCRO_27-CR-21-13146_Finding of Incompetency and Order_2023-05-02_20251126183156.pdf")</f>
        <v>MCRO_27-CR-21-13146_Finding of Incompetency and Order_2023-05-02_20251126183156.pdf</v>
      </c>
      <c r="H1375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1375" s="1" t="s">
        <v>3413</v>
      </c>
      <c r="J1375" s="2" t="s">
        <v>3448</v>
      </c>
      <c r="K1375" s="2" t="s">
        <v>3448</v>
      </c>
      <c r="L1375" s="2" t="s">
        <v>3415</v>
      </c>
      <c r="M1375" s="2" t="n">
        <v>916684</v>
      </c>
    </row>
    <row r="1376" customFormat="false" ht="18.7" hidden="false" customHeight="true" outlineLevel="0" collapsed="false">
      <c r="A1376" s="1" t="n">
        <v>1375</v>
      </c>
      <c r="B1376" s="7" t="str">
        <f aca="false">HYPERLINK("https://mncourtfraud.com/file/27-CR-21-13146.pdf","27-CR-21-13146")</f>
        <v>27-CR-21-13146</v>
      </c>
      <c r="C1376" s="1" t="n">
        <v>1</v>
      </c>
      <c r="D1376" s="2" t="s">
        <v>12</v>
      </c>
      <c r="E1376" s="8" t="n">
        <v>45093</v>
      </c>
      <c r="F1376" s="2" t="s">
        <v>82</v>
      </c>
      <c r="G1376" s="7" t="str">
        <f aca="false">HYPERLINK("https://mncourtfraud.com/file/MCRO_27-CR-21-13146_Notice of Case Reassignment_2023-06-16_20251126183231.pdf","MCRO_27-CR-21-13146_Notice of Case Reassignment_2023-06-16_20251126183231.pdf")</f>
        <v>MCRO_27-CR-21-13146_Notice of Case Reassignment_2023-06-16_20251126183231.pdf</v>
      </c>
      <c r="H1376" s="7" t="str">
        <f aca="false">HYPERLINK("https://mncourtfraud.com/file/1fd1136a5ae69c0e5068fedf111533c283fb06da71a1aebe96b41cad9a15bb33.ttf","1fd1136a5ae69c0e5068fedf111533c283fb06da71a1aebe96b41cad9a15bb33")</f>
        <v>1fd1136a5ae69c0e5068fedf111533c283fb06da71a1aebe96b41cad9a15bb33</v>
      </c>
      <c r="I1376" s="1" t="s">
        <v>3413</v>
      </c>
      <c r="J1376" s="2" t="s">
        <v>3455</v>
      </c>
      <c r="K1376" s="2" t="s">
        <v>3455</v>
      </c>
      <c r="L1376" s="2" t="s">
        <v>3415</v>
      </c>
      <c r="M1376" s="2" t="n">
        <v>96348</v>
      </c>
      <c r="N1376" s="2" t="s">
        <v>3456</v>
      </c>
    </row>
    <row r="1377" customFormat="false" ht="18.7" hidden="false" customHeight="true" outlineLevel="0" collapsed="false">
      <c r="A1377" s="1" t="n">
        <v>1376</v>
      </c>
      <c r="B1377" s="7" t="str">
        <f aca="false">HYPERLINK("https://mncourtfraud.com/file/27-CR-21-13146.pdf","27-CR-21-13146")</f>
        <v>27-CR-21-13146</v>
      </c>
      <c r="C1377" s="1" t="n">
        <v>1</v>
      </c>
      <c r="D1377" s="2" t="s">
        <v>12</v>
      </c>
      <c r="E1377" s="8" t="n">
        <v>45093</v>
      </c>
      <c r="F1377" s="2" t="s">
        <v>82</v>
      </c>
      <c r="G1377" s="7" t="str">
        <f aca="false">HYPERLINK("https://mncourtfraud.com/file/MCRO_27-CR-21-13146_Notice of Case Reassignment_2023-06-16_20251126183231.pdf","MCRO_27-CR-21-13146_Notice of Case Reassignment_2023-06-16_20251126183231.pdf")</f>
        <v>MCRO_27-CR-21-13146_Notice of Case Reassignment_2023-06-16_20251126183231.pdf</v>
      </c>
      <c r="H1377" s="7" t="str">
        <f aca="false">HYPERLINK("https://mncourtfraud.com/file/4b0b043cb476134a2e47a5f4c233d3d0f7a52a3b063b8831356383f89fcd1118.ttf","4b0b043cb476134a2e47a5f4c233d3d0f7a52a3b063b8831356383f89fcd1118")</f>
        <v>4b0b043cb476134a2e47a5f4c233d3d0f7a52a3b063b8831356383f89fcd1118</v>
      </c>
      <c r="I1377" s="1" t="s">
        <v>3413</v>
      </c>
      <c r="J1377" s="2" t="s">
        <v>3457</v>
      </c>
      <c r="K1377" s="2" t="s">
        <v>3457</v>
      </c>
      <c r="L1377" s="2" t="s">
        <v>3415</v>
      </c>
      <c r="M1377" s="2" t="n">
        <v>79764</v>
      </c>
      <c r="N1377" s="2" t="s">
        <v>3458</v>
      </c>
    </row>
    <row r="1378" customFormat="false" ht="18.7" hidden="false" customHeight="true" outlineLevel="0" collapsed="false">
      <c r="A1378" s="1" t="n">
        <v>1377</v>
      </c>
      <c r="B1378" s="7" t="str">
        <f aca="false">HYPERLINK("https://mncourtfraud.com/file/27-CR-21-13146.pdf","27-CR-21-13146")</f>
        <v>27-CR-21-13146</v>
      </c>
      <c r="C1378" s="1" t="n">
        <v>1</v>
      </c>
      <c r="D1378" s="2" t="s">
        <v>12</v>
      </c>
      <c r="E1378" s="8" t="n">
        <v>45160</v>
      </c>
      <c r="F1378" s="2" t="s">
        <v>15</v>
      </c>
      <c r="G1378" s="7" t="str">
        <f aca="false">HYPERLINK("https://mncourtfraud.com/file/MCRO_27-CR-21-13146_Order-Evaluation for Competency to Proceed (Rule 20.01)_2023-08-22_20251126183356.pdf","MCRO_27-CR-21-13146_Order-Evaluation for Competency to Proceed (Rule 20.01)_2023-08-22_20251126183356.pdf")</f>
        <v>MCRO_27-CR-21-13146_Order-Evaluation for Competency to Proceed (Rule 20.01)_2023-08-22_20251126183356.pdf</v>
      </c>
      <c r="H1378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1378" s="1" t="s">
        <v>3413</v>
      </c>
      <c r="J1378" s="2" t="s">
        <v>3449</v>
      </c>
      <c r="K1378" s="2" t="s">
        <v>3449</v>
      </c>
      <c r="L1378" s="2" t="s">
        <v>3415</v>
      </c>
      <c r="M1378" s="2" t="n">
        <v>125504</v>
      </c>
    </row>
    <row r="1379" customFormat="false" ht="18.7" hidden="false" customHeight="true" outlineLevel="0" collapsed="false">
      <c r="A1379" s="1" t="n">
        <v>1378</v>
      </c>
      <c r="B1379" s="7" t="str">
        <f aca="false">HYPERLINK("https://mncourtfraud.com/file/27-CR-21-13146.pdf","27-CR-21-13146")</f>
        <v>27-CR-21-13146</v>
      </c>
      <c r="C1379" s="1" t="n">
        <v>1</v>
      </c>
      <c r="D1379" s="2" t="s">
        <v>12</v>
      </c>
      <c r="E1379" s="8" t="n">
        <v>45160</v>
      </c>
      <c r="F1379" s="2" t="s">
        <v>15</v>
      </c>
      <c r="G1379" s="7" t="str">
        <f aca="false">HYPERLINK("https://mncourtfraud.com/file/MCRO_27-CR-21-13146_Order-Evaluation for Competency to Proceed (Rule 20.01)_2023-08-22_20251126183356.pdf","MCRO_27-CR-21-13146_Order-Evaluation for Competency to Proceed (Rule 20.01)_2023-08-22_20251126183356.pdf")</f>
        <v>MCRO_27-CR-21-13146_Order-Evaluation for Competency to Proceed (Rule 20.01)_2023-08-22_20251126183356.pdf</v>
      </c>
      <c r="H1379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1379" s="1" t="s">
        <v>3413</v>
      </c>
      <c r="J1379" s="2" t="s">
        <v>3449</v>
      </c>
      <c r="K1379" s="2" t="s">
        <v>3449</v>
      </c>
      <c r="L1379" s="2" t="s">
        <v>3415</v>
      </c>
      <c r="M1379" s="2" t="n">
        <v>125504</v>
      </c>
    </row>
    <row r="1380" customFormat="false" ht="18.7" hidden="false" customHeight="true" outlineLevel="0" collapsed="false">
      <c r="A1380" s="1" t="n">
        <v>1379</v>
      </c>
      <c r="B1380" s="7" t="str">
        <f aca="false">HYPERLINK("https://mncourtfraud.com/file/27-CR-21-13146.pdf","27-CR-21-13146")</f>
        <v>27-CR-21-13146</v>
      </c>
      <c r="C1380" s="1" t="n">
        <v>1</v>
      </c>
      <c r="D1380" s="2" t="s">
        <v>12</v>
      </c>
      <c r="E1380" s="8" t="n">
        <v>45160</v>
      </c>
      <c r="F1380" s="2" t="s">
        <v>15</v>
      </c>
      <c r="G1380" s="7" t="str">
        <f aca="false">HYPERLINK("https://mncourtfraud.com/file/MCRO_27-CR-21-13146_Order-Evaluation for Competency to Proceed (Rule 20.01)_2023-08-22_20251126183356.pdf","MCRO_27-CR-21-13146_Order-Evaluation for Competency to Proceed (Rule 20.01)_2023-08-22_20251126183356.pdf")</f>
        <v>MCRO_27-CR-21-13146_Order-Evaluation for Competency to Proceed (Rule 20.01)_2023-08-22_20251126183356.pdf</v>
      </c>
      <c r="H1380" s="7" t="str">
        <f aca="false">HYPERLINK("https://mncourtfraud.com/file/0174a154b1dd2c8824c0108a525fa6ced84bf8b7d2fc9696a847700a4f83bb3b.ttf","0174a154b1dd2c8824c0108a525fa6ced84bf8b7d2fc9696a847700a4f83bb3b")</f>
        <v>0174a154b1dd2c8824c0108a525fa6ced84bf8b7d2fc9696a847700a4f83bb3b</v>
      </c>
      <c r="I1380" s="1" t="s">
        <v>3413</v>
      </c>
      <c r="J1380" s="2" t="s">
        <v>3422</v>
      </c>
      <c r="K1380" s="2" t="s">
        <v>3422</v>
      </c>
      <c r="L1380" s="2" t="s">
        <v>3415</v>
      </c>
      <c r="M1380" s="2" t="n">
        <v>101216</v>
      </c>
    </row>
    <row r="1381" customFormat="false" ht="18.7" hidden="false" customHeight="true" outlineLevel="0" collapsed="false">
      <c r="A1381" s="1" t="n">
        <v>1380</v>
      </c>
      <c r="B1381" s="7" t="str">
        <f aca="false">HYPERLINK("https://mncourtfraud.com/file/27-CR-21-13146.pdf","27-CR-21-13146")</f>
        <v>27-CR-21-13146</v>
      </c>
      <c r="C1381" s="1" t="n">
        <v>1</v>
      </c>
      <c r="D1381" s="2" t="s">
        <v>12</v>
      </c>
      <c r="E1381" s="8" t="n">
        <v>45160</v>
      </c>
      <c r="F1381" s="2" t="s">
        <v>15</v>
      </c>
      <c r="G1381" s="7" t="str">
        <f aca="false">HYPERLINK("https://mncourtfraud.com/file/MCRO_27-CR-21-13146_Order-Evaluation for Competency to Proceed (Rule 20.01)_2023-08-22_20251126183356.pdf","MCRO_27-CR-21-13146_Order-Evaluation for Competency to Proceed (Rule 20.01)_2023-08-22_20251126183356.pdf")</f>
        <v>MCRO_27-CR-21-13146_Order-Evaluation for Competency to Proceed (Rule 20.01)_2023-08-22_20251126183356.pdf</v>
      </c>
      <c r="H1381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1381" s="1" t="s">
        <v>3413</v>
      </c>
      <c r="J1381" s="2" t="s">
        <v>3423</v>
      </c>
      <c r="K1381" s="2" t="s">
        <v>3423</v>
      </c>
      <c r="L1381" s="2" t="s">
        <v>3415</v>
      </c>
      <c r="M1381" s="2" t="n">
        <v>11088</v>
      </c>
    </row>
    <row r="1382" customFormat="false" ht="18.7" hidden="false" customHeight="true" outlineLevel="0" collapsed="false">
      <c r="A1382" s="1" t="n">
        <v>1381</v>
      </c>
      <c r="B1382" s="7" t="str">
        <f aca="false">HYPERLINK("https://mncourtfraud.com/file/27-CR-21-13146.pdf","27-CR-21-13146")</f>
        <v>27-CR-21-13146</v>
      </c>
      <c r="C1382" s="1" t="n">
        <v>1</v>
      </c>
      <c r="D1382" s="2" t="s">
        <v>12</v>
      </c>
      <c r="E1382" s="8" t="n">
        <v>45160</v>
      </c>
      <c r="F1382" s="2" t="s">
        <v>15</v>
      </c>
      <c r="G1382" s="7" t="str">
        <f aca="false">HYPERLINK("https://mncourtfraud.com/file/MCRO_27-CR-21-13146_Order-Evaluation for Competency to Proceed (Rule 20.01)_2023-08-22_20251126183356.pdf","MCRO_27-CR-21-13146_Order-Evaluation for Competency to Proceed (Rule 20.01)_2023-08-22_20251126183356.pdf")</f>
        <v>MCRO_27-CR-21-13146_Order-Evaluation for Competency to Proceed (Rule 20.01)_2023-08-22_20251126183356.pdf</v>
      </c>
      <c r="H1382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1382" s="1" t="s">
        <v>3413</v>
      </c>
      <c r="J1382" s="2" t="s">
        <v>3446</v>
      </c>
      <c r="K1382" s="2" t="s">
        <v>3446</v>
      </c>
      <c r="L1382" s="2" t="s">
        <v>3415</v>
      </c>
      <c r="M1382" s="2" t="n">
        <v>55072</v>
      </c>
      <c r="N1382" s="2" t="s">
        <v>3447</v>
      </c>
    </row>
    <row r="1383" customFormat="false" ht="18.7" hidden="false" customHeight="true" outlineLevel="0" collapsed="false">
      <c r="A1383" s="1" t="n">
        <v>1382</v>
      </c>
      <c r="B1383" s="7" t="str">
        <f aca="false">HYPERLINK("https://mncourtfraud.com/file/27-CR-21-13146.pdf","27-CR-21-13146")</f>
        <v>27-CR-21-13146</v>
      </c>
      <c r="C1383" s="1" t="n">
        <v>1</v>
      </c>
      <c r="D1383" s="2" t="s">
        <v>12</v>
      </c>
      <c r="E1383" s="8" t="n">
        <v>45160</v>
      </c>
      <c r="F1383" s="2" t="s">
        <v>15</v>
      </c>
      <c r="G1383" s="7" t="str">
        <f aca="false">HYPERLINK("https://mncourtfraud.com/file/MCRO_27-CR-21-13146_Order-Evaluation for Competency to Proceed (Rule 20.01)_2023-08-22_20251126183356.pdf","MCRO_27-CR-21-13146_Order-Evaluation for Competency to Proceed (Rule 20.01)_2023-08-22_20251126183356.pdf")</f>
        <v>MCRO_27-CR-21-13146_Order-Evaluation for Competency to Proceed (Rule 20.01)_2023-08-22_20251126183356.pdf</v>
      </c>
      <c r="H1383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1383" s="1" t="s">
        <v>3413</v>
      </c>
      <c r="J1383" s="2" t="s">
        <v>3424</v>
      </c>
      <c r="K1383" s="2" t="s">
        <v>3424</v>
      </c>
      <c r="L1383" s="2" t="s">
        <v>3415</v>
      </c>
      <c r="M1383" s="2" t="n">
        <v>14252</v>
      </c>
    </row>
    <row r="1384" customFormat="false" ht="18.7" hidden="false" customHeight="true" outlineLevel="0" collapsed="false">
      <c r="A1384" s="1" t="n">
        <v>1383</v>
      </c>
      <c r="B1384" s="7" t="str">
        <f aca="false">HYPERLINK("https://mncourtfraud.com/file/27-CR-21-13146.pdf","27-CR-21-13146")</f>
        <v>27-CR-21-13146</v>
      </c>
      <c r="C1384" s="1" t="n">
        <v>1</v>
      </c>
      <c r="D1384" s="2" t="s">
        <v>12</v>
      </c>
      <c r="E1384" s="8" t="n">
        <v>45160</v>
      </c>
      <c r="F1384" s="2" t="s">
        <v>15</v>
      </c>
      <c r="G1384" s="7" t="str">
        <f aca="false">HYPERLINK("https://mncourtfraud.com/file/MCRO_27-CR-21-13146_Order-Evaluation for Competency to Proceed (Rule 20.01)_2023-08-22_20251126183356.pdf","MCRO_27-CR-21-13146_Order-Evaluation for Competency to Proceed (Rule 20.01)_2023-08-22_20251126183356.pdf")</f>
        <v>MCRO_27-CR-21-13146_Order-Evaluation for Competency to Proceed (Rule 20.01)_2023-08-22_20251126183356.pdf</v>
      </c>
      <c r="H1384" s="7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1384" s="1" t="s">
        <v>3406</v>
      </c>
      <c r="L1384" s="2" t="s">
        <v>3412</v>
      </c>
      <c r="M1384" s="2" t="n">
        <v>5012</v>
      </c>
      <c r="S1384" s="2" t="n">
        <v>2740</v>
      </c>
      <c r="T1384" s="2" t="n">
        <v>180</v>
      </c>
    </row>
    <row r="1385" customFormat="false" ht="18.7" hidden="false" customHeight="true" outlineLevel="0" collapsed="false">
      <c r="A1385" s="1" t="n">
        <v>1384</v>
      </c>
      <c r="B1385" s="7" t="str">
        <f aca="false">HYPERLINK("https://mncourtfraud.com/file/27-CR-21-13146.pdf","27-CR-21-13146")</f>
        <v>27-CR-21-13146</v>
      </c>
      <c r="C1385" s="1" t="n">
        <v>1</v>
      </c>
      <c r="D1385" s="2" t="s">
        <v>12</v>
      </c>
      <c r="E1385" s="8" t="n">
        <v>45160</v>
      </c>
      <c r="F1385" s="2" t="s">
        <v>15</v>
      </c>
      <c r="G1385" s="7" t="str">
        <f aca="false">HYPERLINK("https://mncourtfraud.com/file/MCRO_27-CR-21-13146_Order-Evaluation for Competency to Proceed (Rule 20.01)_2023-08-22_20251126183356.pdf","MCRO_27-CR-21-13146_Order-Evaluation for Competency to Proceed (Rule 20.01)_2023-08-22_20251126183356.pdf")</f>
        <v>MCRO_27-CR-21-13146_Order-Evaluation for Competency to Proceed (Rule 20.01)_2023-08-22_20251126183356.pdf</v>
      </c>
      <c r="H1385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1385" s="1" t="s">
        <v>3413</v>
      </c>
      <c r="J1385" s="2" t="s">
        <v>3448</v>
      </c>
      <c r="K1385" s="2" t="s">
        <v>3448</v>
      </c>
      <c r="L1385" s="2" t="s">
        <v>3415</v>
      </c>
      <c r="M1385" s="2" t="n">
        <v>916684</v>
      </c>
    </row>
    <row r="1386" customFormat="false" ht="18.7" hidden="false" customHeight="true" outlineLevel="0" collapsed="false">
      <c r="A1386" s="1" t="n">
        <v>1385</v>
      </c>
      <c r="B1386" s="7" t="str">
        <f aca="false">HYPERLINK("https://mncourtfraud.com/file/27-CR-21-13146.pdf","27-CR-21-13146")</f>
        <v>27-CR-21-13146</v>
      </c>
      <c r="C1386" s="1" t="n">
        <v>1</v>
      </c>
      <c r="D1386" s="2" t="s">
        <v>12</v>
      </c>
      <c r="E1386" s="8" t="n">
        <v>45160</v>
      </c>
      <c r="F1386" s="2" t="s">
        <v>15</v>
      </c>
      <c r="G1386" s="7" t="str">
        <f aca="false">HYPERLINK("https://mncourtfraud.com/file/MCRO_27-CR-21-13146_Order-Evaluation for Competency to Proceed (Rule 20.01)_2023-08-22_20251126183356.pdf","MCRO_27-CR-21-13146_Order-Evaluation for Competency to Proceed (Rule 20.01)_2023-08-22_20251126183356.pdf")</f>
        <v>MCRO_27-CR-21-13146_Order-Evaluation for Competency to Proceed (Rule 20.01)_2023-08-22_20251126183356.pdf</v>
      </c>
      <c r="H1386" s="7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1386" s="1" t="s">
        <v>3406</v>
      </c>
      <c r="K1386" s="2" t="s">
        <v>3459</v>
      </c>
      <c r="L1386" s="2" t="s">
        <v>3408</v>
      </c>
      <c r="M1386" s="2" t="n">
        <v>5220</v>
      </c>
      <c r="O1386" s="2" t="s">
        <v>3460</v>
      </c>
      <c r="P1386" s="2" t="s">
        <v>3410</v>
      </c>
      <c r="S1386" s="2" t="n">
        <v>881</v>
      </c>
      <c r="T1386" s="2" t="n">
        <v>216</v>
      </c>
    </row>
    <row r="1387" customFormat="false" ht="18.7" hidden="false" customHeight="true" outlineLevel="0" collapsed="false">
      <c r="A1387" s="1" t="n">
        <v>1386</v>
      </c>
      <c r="B1387" s="7" t="str">
        <f aca="false">HYPERLINK("https://mncourtfraud.com/file/27-CR-21-13146.pdf","27-CR-21-13146")</f>
        <v>27-CR-21-13146</v>
      </c>
      <c r="C1387" s="1" t="n">
        <v>1</v>
      </c>
      <c r="D1387" s="2" t="s">
        <v>12</v>
      </c>
      <c r="E1387" s="8" t="n">
        <v>45412</v>
      </c>
      <c r="F1387" s="2" t="s">
        <v>15</v>
      </c>
      <c r="G1387" s="7" t="str">
        <f aca="false">HYPERLINK("https://mncourtfraud.com/file/MCRO_27-CR-21-13146_Order-Evaluation for Competency to Proceed (Rule 20.01)_2024-04-30_20251126183404.pdf","MCRO_27-CR-21-13146_Order-Evaluation for Competency to Proceed (Rule 20.01)_2024-04-30_20251126183404.pdf")</f>
        <v>MCRO_27-CR-21-13146_Order-Evaluation for Competency to Proceed (Rule 20.01)_2024-04-30_20251126183404.pdf</v>
      </c>
      <c r="H1387" s="7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1387" s="1" t="s">
        <v>3406</v>
      </c>
      <c r="L1387" s="2" t="s">
        <v>3412</v>
      </c>
      <c r="M1387" s="2" t="n">
        <v>154549</v>
      </c>
      <c r="S1387" s="2" t="n">
        <v>2560</v>
      </c>
      <c r="T1387" s="2" t="n">
        <v>3300</v>
      </c>
    </row>
    <row r="1388" customFormat="false" ht="18.7" hidden="false" customHeight="true" outlineLevel="0" collapsed="false">
      <c r="A1388" s="1" t="n">
        <v>1387</v>
      </c>
      <c r="B1388" s="7" t="str">
        <f aca="false">HYPERLINK("https://mncourtfraud.com/file/27-CR-21-13146.pdf","27-CR-21-13146")</f>
        <v>27-CR-21-13146</v>
      </c>
      <c r="C1388" s="1" t="n">
        <v>1</v>
      </c>
      <c r="D1388" s="2" t="s">
        <v>12</v>
      </c>
      <c r="E1388" s="8" t="n">
        <v>45412</v>
      </c>
      <c r="F1388" s="2" t="s">
        <v>15</v>
      </c>
      <c r="G1388" s="7" t="str">
        <f aca="false">HYPERLINK("https://mncourtfraud.com/file/MCRO_27-CR-21-13146_Order-Evaluation for Competency to Proceed (Rule 20.01)_2024-04-30_20251126183404.pdf","MCRO_27-CR-21-13146_Order-Evaluation for Competency to Proceed (Rule 20.01)_2024-04-30_20251126183404.pdf")</f>
        <v>MCRO_27-CR-21-13146_Order-Evaluation for Competency to Proceed (Rule 20.01)_2024-04-30_20251126183404.pdf</v>
      </c>
      <c r="H1388" s="7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1388" s="1" t="s">
        <v>3406</v>
      </c>
      <c r="L1388" s="2" t="s">
        <v>3412</v>
      </c>
      <c r="M1388" s="2" t="n">
        <v>180051</v>
      </c>
      <c r="S1388" s="2" t="n">
        <v>2560</v>
      </c>
      <c r="T1388" s="2" t="n">
        <v>3300</v>
      </c>
    </row>
    <row r="1389" customFormat="false" ht="18.7" hidden="false" customHeight="true" outlineLevel="0" collapsed="false">
      <c r="A1389" s="1" t="n">
        <v>1388</v>
      </c>
      <c r="B1389" s="7" t="str">
        <f aca="false">HYPERLINK("https://mncourtfraud.com/file/27-CR-21-13146.pdf","27-CR-21-13146")</f>
        <v>27-CR-21-13146</v>
      </c>
      <c r="C1389" s="1" t="n">
        <v>1</v>
      </c>
      <c r="D1389" s="2" t="s">
        <v>12</v>
      </c>
      <c r="E1389" s="8" t="n">
        <v>45412</v>
      </c>
      <c r="F1389" s="2" t="s">
        <v>24</v>
      </c>
      <c r="G1389" s="7" t="str">
        <f aca="false">HYPERLINK("https://mncourtfraud.com/file/MCRO_27-CR-21-13146_Order for Conditional Release_2024-04-30_20251126183251.pdf","MCRO_27-CR-21-13146_Order for Conditional Release_2024-04-30_20251126183251.pdf")</f>
        <v>MCRO_27-CR-21-13146_Order for Conditional Release_2024-04-30_20251126183251.pdf</v>
      </c>
      <c r="H1389" s="7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1389" s="1" t="s">
        <v>3406</v>
      </c>
      <c r="L1389" s="2" t="s">
        <v>3412</v>
      </c>
      <c r="M1389" s="2" t="n">
        <v>38726</v>
      </c>
      <c r="S1389" s="2" t="n">
        <v>2560</v>
      </c>
      <c r="T1389" s="2" t="n">
        <v>3300</v>
      </c>
    </row>
    <row r="1390" customFormat="false" ht="18.7" hidden="false" customHeight="true" outlineLevel="0" collapsed="false">
      <c r="A1390" s="1" t="n">
        <v>1389</v>
      </c>
      <c r="B1390" s="7" t="str">
        <f aca="false">HYPERLINK("https://mncourtfraud.com/file/27-CR-21-13146.pdf","27-CR-21-13146")</f>
        <v>27-CR-21-13146</v>
      </c>
      <c r="C1390" s="1" t="n">
        <v>1</v>
      </c>
      <c r="D1390" s="2" t="s">
        <v>12</v>
      </c>
      <c r="E1390" s="8" t="n">
        <v>45412</v>
      </c>
      <c r="F1390" s="2" t="s">
        <v>15</v>
      </c>
      <c r="G1390" s="7" t="str">
        <f aca="false">HYPERLINK("https://mncourtfraud.com/file/MCRO_27-CR-21-13146_Order-Evaluation for Competency to Proceed (Rule 20.01)_2024-04-30_20251126183404.pdf","MCRO_27-CR-21-13146_Order-Evaluation for Competency to Proceed (Rule 20.01)_2024-04-30_20251126183404.pdf")</f>
        <v>MCRO_27-CR-21-13146_Order-Evaluation for Competency to Proceed (Rule 20.01)_2024-04-30_20251126183404.pdf</v>
      </c>
      <c r="H1390" s="7" t="str">
        <f aca="false">HYPERLINK("https://mncourtfraud.com/file/4db7d2599119dc45c08adba3b9b2ba67e6a3d697261d3f95ca4c5b01777bcfbe.ttf","4db7d2599119dc45c08adba3b9b2ba67e6a3d697261d3f95ca4c5b01777bcfbe")</f>
        <v>4db7d2599119dc45c08adba3b9b2ba67e6a3d697261d3f95ca4c5b01777bcfbe</v>
      </c>
      <c r="I1390" s="1" t="s">
        <v>3413</v>
      </c>
      <c r="L1390" s="2" t="s">
        <v>3415</v>
      </c>
      <c r="M1390" s="2" t="n">
        <v>333576</v>
      </c>
    </row>
    <row r="1391" customFormat="false" ht="18.7" hidden="false" customHeight="true" outlineLevel="0" collapsed="false">
      <c r="A1391" s="1" t="n">
        <v>1390</v>
      </c>
      <c r="B1391" s="7" t="str">
        <f aca="false">HYPERLINK("https://mncourtfraud.com/file/27-CR-21-13146.pdf","27-CR-21-13146")</f>
        <v>27-CR-21-13146</v>
      </c>
      <c r="C1391" s="1" t="n">
        <v>1</v>
      </c>
      <c r="D1391" s="2" t="s">
        <v>12</v>
      </c>
      <c r="E1391" s="8" t="n">
        <v>45412</v>
      </c>
      <c r="F1391" s="2" t="s">
        <v>15</v>
      </c>
      <c r="G1391" s="7" t="str">
        <f aca="false">HYPERLINK("https://mncourtfraud.com/file/MCRO_27-CR-21-13146_Order-Evaluation for Competency to Proceed (Rule 20.01)_2024-04-30_20251126183404.pdf","MCRO_27-CR-21-13146_Order-Evaluation for Competency to Proceed (Rule 20.01)_2024-04-30_20251126183404.pdf")</f>
        <v>MCRO_27-CR-21-13146_Order-Evaluation for Competency to Proceed (Rule 20.01)_2024-04-30_20251126183404.pdf</v>
      </c>
      <c r="H1391" s="7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1391" s="1" t="s">
        <v>3406</v>
      </c>
      <c r="L1391" s="2" t="s">
        <v>3412</v>
      </c>
      <c r="M1391" s="2" t="n">
        <v>71271</v>
      </c>
      <c r="S1391" s="2" t="n">
        <v>2560</v>
      </c>
      <c r="T1391" s="2" t="n">
        <v>3300</v>
      </c>
    </row>
    <row r="1392" customFormat="false" ht="18.7" hidden="false" customHeight="true" outlineLevel="0" collapsed="false">
      <c r="A1392" s="1" t="n">
        <v>1391</v>
      </c>
      <c r="B1392" s="7" t="str">
        <f aca="false">HYPERLINK("https://mncourtfraud.com/file/27-CR-21-13146.pdf","27-CR-21-13146")</f>
        <v>27-CR-21-13146</v>
      </c>
      <c r="C1392" s="1" t="n">
        <v>1</v>
      </c>
      <c r="D1392" s="2" t="s">
        <v>12</v>
      </c>
      <c r="E1392" s="8" t="n">
        <v>45412</v>
      </c>
      <c r="F1392" s="2" t="s">
        <v>24</v>
      </c>
      <c r="G1392" s="7" t="str">
        <f aca="false">HYPERLINK("https://mncourtfraud.com/file/MCRO_27-CR-21-13146_Order for Conditional Release_2024-04-30_20251126183251.pdf","MCRO_27-CR-21-13146_Order for Conditional Release_2024-04-30_20251126183251.pdf")</f>
        <v>MCRO_27-CR-21-13146_Order for Conditional Release_2024-04-30_20251126183251.pdf</v>
      </c>
      <c r="H1392" s="7" t="str">
        <f aca="false">HYPERLINK("https://mncourtfraud.com/file/d5cf4f06aaee8f372e6af86dab12d75d131a3ba68ba6baeac4b7b514ef3e0b85.ttf","d5cf4f06aaee8f372e6af86dab12d75d131a3ba68ba6baeac4b7b514ef3e0b85")</f>
        <v>d5cf4f06aaee8f372e6af86dab12d75d131a3ba68ba6baeac4b7b514ef3e0b85</v>
      </c>
      <c r="I1392" s="1" t="s">
        <v>3413</v>
      </c>
      <c r="L1392" s="2" t="s">
        <v>3415</v>
      </c>
      <c r="M1392" s="2" t="n">
        <v>333576</v>
      </c>
    </row>
    <row r="1393" customFormat="false" ht="18.7" hidden="false" customHeight="true" outlineLevel="0" collapsed="false">
      <c r="A1393" s="1" t="n">
        <v>1392</v>
      </c>
      <c r="B1393" s="7" t="str">
        <f aca="false">HYPERLINK("https://mncourtfraud.com/file/27-CR-21-13146.pdf","27-CR-21-13146")</f>
        <v>27-CR-21-13146</v>
      </c>
      <c r="C1393" s="1" t="n">
        <v>1</v>
      </c>
      <c r="D1393" s="2" t="s">
        <v>12</v>
      </c>
      <c r="E1393" s="8" t="n">
        <v>45412</v>
      </c>
      <c r="F1393" s="2" t="s">
        <v>24</v>
      </c>
      <c r="G1393" s="7" t="str">
        <f aca="false">HYPERLINK("https://mncourtfraud.com/file/MCRO_27-CR-21-13146_Order for Conditional Release_2024-04-30_20251126183251.pdf","MCRO_27-CR-21-13146_Order for Conditional Release_2024-04-30_20251126183251.pdf")</f>
        <v>MCRO_27-CR-21-13146_Order for Conditional Release_2024-04-30_20251126183251.pdf</v>
      </c>
      <c r="H1393" s="7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1393" s="1" t="s">
        <v>3406</v>
      </c>
      <c r="L1393" s="2" t="s">
        <v>3412</v>
      </c>
      <c r="M1393" s="2" t="n">
        <v>195018</v>
      </c>
      <c r="S1393" s="2" t="n">
        <v>2560</v>
      </c>
      <c r="T1393" s="2" t="n">
        <v>3300</v>
      </c>
    </row>
    <row r="1394" customFormat="false" ht="18.7" hidden="false" customHeight="true" outlineLevel="0" collapsed="false">
      <c r="A1394" s="1" t="n">
        <v>1393</v>
      </c>
      <c r="B1394" s="7" t="str">
        <f aca="false">HYPERLINK("https://mncourtfraud.com/file/27-CR-21-13147.pdf","27-CR-21-13147")</f>
        <v>27-CR-21-13147</v>
      </c>
      <c r="C1394" s="1" t="n">
        <v>1</v>
      </c>
      <c r="D1394" s="2" t="s">
        <v>12</v>
      </c>
      <c r="E1394" s="8" t="n">
        <v>44396</v>
      </c>
      <c r="F1394" s="2" t="s">
        <v>15</v>
      </c>
      <c r="G1394" s="7" t="str">
        <f aca="false">HYPERLINK("https://mncourtfraud.com/file/MCRO_27-CR-21-13147_Order-Evaluation for Competency to Proceed (Rule 20.01)_2021-07-19_20251126183607.pdf","MCRO_27-CR-21-13147_Order-Evaluation for Competency to Proceed (Rule 20.01)_2021-07-19_20251126183607.pdf")</f>
        <v>MCRO_27-CR-21-13147_Order-Evaluation for Competency to Proceed (Rule 20.01)_2021-07-19_20251126183607.pdf</v>
      </c>
      <c r="H1394" s="7" t="str">
        <f aca="false">HYPERLINK("https://mncourtfraud.com/file/39142f9ef5f6726d88f90bfde4cee804ea14c6b96096a753abed2d1513925427.png","39142f9ef5f6726d88f90bfde4cee804ea14c6b96096a753abed2d1513925427")</f>
        <v>39142f9ef5f6726d88f90bfde4cee804ea14c6b96096a753abed2d1513925427</v>
      </c>
      <c r="I1394" s="1" t="s">
        <v>3406</v>
      </c>
      <c r="L1394" s="2" t="s">
        <v>3412</v>
      </c>
      <c r="M1394" s="2" t="n">
        <v>155282</v>
      </c>
      <c r="S1394" s="2" t="n">
        <v>2550</v>
      </c>
      <c r="T1394" s="2" t="n">
        <v>3300</v>
      </c>
    </row>
    <row r="1395" customFormat="false" ht="18.7" hidden="false" customHeight="true" outlineLevel="0" collapsed="false">
      <c r="A1395" s="1" t="n">
        <v>1394</v>
      </c>
      <c r="B1395" s="7" t="str">
        <f aca="false">HYPERLINK("https://mncourtfraud.com/file/27-CR-21-13147.pdf","27-CR-21-13147")</f>
        <v>27-CR-21-13147</v>
      </c>
      <c r="C1395" s="1" t="n">
        <v>1</v>
      </c>
      <c r="D1395" s="2" t="s">
        <v>12</v>
      </c>
      <c r="E1395" s="8" t="n">
        <v>44396</v>
      </c>
      <c r="F1395" s="2" t="s">
        <v>15</v>
      </c>
      <c r="G1395" s="7" t="str">
        <f aca="false">HYPERLINK("https://mncourtfraud.com/file/MCRO_27-CR-21-13147_Order-Evaluation for Competency to Proceed (Rule 20.01)_2021-07-19_20251126183607.pdf","MCRO_27-CR-21-13147_Order-Evaluation for Competency to Proceed (Rule 20.01)_2021-07-19_20251126183607.pdf")</f>
        <v>MCRO_27-CR-21-13147_Order-Evaluation for Competency to Proceed (Rule 20.01)_2021-07-19_20251126183607.pdf</v>
      </c>
      <c r="H1395" s="7" t="str">
        <f aca="false">HYPERLINK("https://mncourtfraud.com/file/558e15c173547ae5ac4c50466e1909289b54deec21a64a1d327c366145b32089.png","558e15c173547ae5ac4c50466e1909289b54deec21a64a1d327c366145b32089")</f>
        <v>558e15c173547ae5ac4c50466e1909289b54deec21a64a1d327c366145b32089</v>
      </c>
      <c r="I1395" s="1" t="s">
        <v>3406</v>
      </c>
      <c r="L1395" s="2" t="s">
        <v>3412</v>
      </c>
      <c r="M1395" s="2" t="n">
        <v>145854</v>
      </c>
      <c r="S1395" s="2" t="n">
        <v>2550</v>
      </c>
      <c r="T1395" s="2" t="n">
        <v>3300</v>
      </c>
    </row>
    <row r="1396" customFormat="false" ht="18.7" hidden="false" customHeight="true" outlineLevel="0" collapsed="false">
      <c r="A1396" s="1" t="n">
        <v>1395</v>
      </c>
      <c r="B1396" s="7" t="str">
        <f aca="false">HYPERLINK("https://mncourtfraud.com/file/27-CR-21-13147.pdf","27-CR-21-13147")</f>
        <v>27-CR-21-13147</v>
      </c>
      <c r="C1396" s="1" t="n">
        <v>1</v>
      </c>
      <c r="D1396" s="2" t="s">
        <v>12</v>
      </c>
      <c r="E1396" s="8" t="n">
        <v>44396</v>
      </c>
      <c r="F1396" s="2" t="s">
        <v>15</v>
      </c>
      <c r="G1396" s="7" t="str">
        <f aca="false">HYPERLINK("https://mncourtfraud.com/file/MCRO_27-CR-21-13147_Order-Evaluation for Competency to Proceed (Rule 20.01)_2021-07-19_20251126183607.pdf","MCRO_27-CR-21-13147_Order-Evaluation for Competency to Proceed (Rule 20.01)_2021-07-19_20251126183607.pdf")</f>
        <v>MCRO_27-CR-21-13147_Order-Evaluation for Competency to Proceed (Rule 20.01)_2021-07-19_20251126183607.pdf</v>
      </c>
      <c r="H1396" s="7" t="str">
        <f aca="false">HYPERLINK("https://mncourtfraud.com/file/6a43080ebfd31328240de01e818a4c5876e337f9c667c1e6bfa51c517099391e.ttf","6a43080ebfd31328240de01e818a4c5876e337f9c667c1e6bfa51c517099391e")</f>
        <v>6a43080ebfd31328240de01e818a4c5876e337f9c667c1e6bfa51c517099391e</v>
      </c>
      <c r="I1396" s="1" t="s">
        <v>3413</v>
      </c>
      <c r="L1396" s="2" t="s">
        <v>3415</v>
      </c>
      <c r="M1396" s="2" t="n">
        <v>333576</v>
      </c>
    </row>
    <row r="1397" customFormat="false" ht="18.7" hidden="false" customHeight="true" outlineLevel="0" collapsed="false">
      <c r="A1397" s="1" t="n">
        <v>1396</v>
      </c>
      <c r="B1397" s="7" t="str">
        <f aca="false">HYPERLINK("https://mncourtfraud.com/file/27-CR-21-13147.pdf","27-CR-21-13147")</f>
        <v>27-CR-21-13147</v>
      </c>
      <c r="C1397" s="1" t="n">
        <v>1</v>
      </c>
      <c r="D1397" s="2" t="s">
        <v>12</v>
      </c>
      <c r="E1397" s="8" t="n">
        <v>44405</v>
      </c>
      <c r="F1397" s="2" t="s">
        <v>145</v>
      </c>
      <c r="G1397" s="7" t="str">
        <f aca="false">HYPERLINK("https://mncourtfraud.com/file/MCRO_27-CR-21-13147_Demand or Request for Discovery_2021-07-28_20251126183447.pdf","MCRO_27-CR-21-13147_Demand or Request for Discovery_2021-07-28_20251126183447.pdf")</f>
        <v>MCRO_27-CR-21-13147_Demand or Request for Discovery_2021-07-28_20251126183447.pdf</v>
      </c>
      <c r="H1397" s="7" t="str">
        <f aca="false">HYPERLINK("https://mncourtfraud.com/file/130cb9fefd4af69e32f44122719eac3ec00804fd1f225925a809ee54ddc08588.ttf","130cb9fefd4af69e32f44122719eac3ec00804fd1f225925a809ee54ddc08588")</f>
        <v>130cb9fefd4af69e32f44122719eac3ec00804fd1f225925a809ee54ddc08588</v>
      </c>
      <c r="I1397" s="1" t="s">
        <v>3413</v>
      </c>
      <c r="J1397" s="2" t="s">
        <v>3513</v>
      </c>
      <c r="K1397" s="2" t="s">
        <v>3513</v>
      </c>
      <c r="L1397" s="2" t="s">
        <v>3415</v>
      </c>
      <c r="M1397" s="2" t="n">
        <v>77492</v>
      </c>
      <c r="N1397" s="2" t="s">
        <v>3514</v>
      </c>
    </row>
    <row r="1398" customFormat="false" ht="18.7" hidden="false" customHeight="true" outlineLevel="0" collapsed="false">
      <c r="A1398" s="1" t="n">
        <v>1397</v>
      </c>
      <c r="B1398" s="7" t="str">
        <f aca="false">HYPERLINK("https://mncourtfraud.com/file/27-CR-21-13147.pdf","27-CR-21-13147")</f>
        <v>27-CR-21-13147</v>
      </c>
      <c r="C1398" s="1" t="n">
        <v>1</v>
      </c>
      <c r="D1398" s="2" t="s">
        <v>12</v>
      </c>
      <c r="E1398" s="8" t="n">
        <v>44405</v>
      </c>
      <c r="F1398" s="2" t="s">
        <v>145</v>
      </c>
      <c r="G1398" s="7" t="str">
        <f aca="false">HYPERLINK("https://mncourtfraud.com/file/MCRO_27-CR-21-13147_Demand or Request for Discovery_2021-07-28_20251126183447.pdf","MCRO_27-CR-21-13147_Demand or Request for Discovery_2021-07-28_20251126183447.pdf")</f>
        <v>MCRO_27-CR-21-13147_Demand or Request for Discovery_2021-07-28_20251126183447.pdf</v>
      </c>
      <c r="H1398" s="7" t="str">
        <f aca="false">HYPERLINK("https://mncourtfraud.com/file/8e40ca2a5ac77977aa3b642b92a249e39edf67d48ca9ce948ae8ac657b3ccd3c.ttf","8e40ca2a5ac77977aa3b642b92a249e39edf67d48ca9ce948ae8ac657b3ccd3c")</f>
        <v>8e40ca2a5ac77977aa3b642b92a249e39edf67d48ca9ce948ae8ac657b3ccd3c</v>
      </c>
      <c r="I1398" s="1" t="s">
        <v>3413</v>
      </c>
      <c r="J1398" s="2" t="s">
        <v>3515</v>
      </c>
      <c r="K1398" s="2" t="s">
        <v>3515</v>
      </c>
      <c r="L1398" s="2" t="s">
        <v>3415</v>
      </c>
      <c r="M1398" s="2" t="n">
        <v>51515</v>
      </c>
      <c r="N1398" s="2" t="s">
        <v>3516</v>
      </c>
    </row>
    <row r="1399" customFormat="false" ht="18.7" hidden="false" customHeight="true" outlineLevel="0" collapsed="false">
      <c r="A1399" s="1" t="n">
        <v>1398</v>
      </c>
      <c r="B1399" s="7" t="str">
        <f aca="false">HYPERLINK("https://mncourtfraud.com/file/27-CR-21-13147.pdf","27-CR-21-13147")</f>
        <v>27-CR-21-13147</v>
      </c>
      <c r="C1399" s="1" t="n">
        <v>1</v>
      </c>
      <c r="D1399" s="2" t="s">
        <v>12</v>
      </c>
      <c r="E1399" s="8" t="n">
        <v>44405</v>
      </c>
      <c r="F1399" s="2" t="s">
        <v>145</v>
      </c>
      <c r="G1399" s="7" t="str">
        <f aca="false">HYPERLINK("https://mncourtfraud.com/file/MCRO_27-CR-21-13147_Demand or Request for Discovery_2021-07-28_20251126183447.pdf","MCRO_27-CR-21-13147_Demand or Request for Discovery_2021-07-28_20251126183447.pdf")</f>
        <v>MCRO_27-CR-21-13147_Demand or Request for Discovery_2021-07-28_20251126183447.pdf</v>
      </c>
      <c r="H1399" s="7" t="str">
        <f aca="false">HYPERLINK("https://mncourtfraud.com/file/cbd4e600a6a5ee04d055648e5354c96b8496c3883d092cfbd7ba82a139bd3ffd.ttf","cbd4e600a6a5ee04d055648e5354c96b8496c3883d092cfbd7ba82a139bd3ffd")</f>
        <v>cbd4e600a6a5ee04d055648e5354c96b8496c3883d092cfbd7ba82a139bd3ffd</v>
      </c>
      <c r="I1399" s="1" t="s">
        <v>3413</v>
      </c>
      <c r="J1399" s="2" t="s">
        <v>3517</v>
      </c>
      <c r="K1399" s="2" t="s">
        <v>3517</v>
      </c>
      <c r="L1399" s="2" t="s">
        <v>3415</v>
      </c>
      <c r="M1399" s="2" t="n">
        <v>98894</v>
      </c>
      <c r="N1399" s="2" t="s">
        <v>3518</v>
      </c>
    </row>
    <row r="1400" customFormat="false" ht="18.7" hidden="false" customHeight="true" outlineLevel="0" collapsed="false">
      <c r="A1400" s="1" t="n">
        <v>1399</v>
      </c>
      <c r="B1400" s="7" t="str">
        <f aca="false">HYPERLINK("https://mncourtfraud.com/file/27-CR-21-13147.pdf","27-CR-21-13147")</f>
        <v>27-CR-21-13147</v>
      </c>
      <c r="C1400" s="1" t="n">
        <v>1</v>
      </c>
      <c r="D1400" s="2" t="s">
        <v>12</v>
      </c>
      <c r="E1400" s="8" t="n">
        <v>44405</v>
      </c>
      <c r="F1400" s="2" t="s">
        <v>145</v>
      </c>
      <c r="G1400" s="7" t="str">
        <f aca="false">HYPERLINK("https://mncourtfraud.com/file/MCRO_27-CR-21-13147_Demand or Request for Discovery_2021-07-28_20251126183447.pdf","MCRO_27-CR-21-13147_Demand or Request for Discovery_2021-07-28_20251126183447.pdf")</f>
        <v>MCRO_27-CR-21-13147_Demand or Request for Discovery_2021-07-28_20251126183447.pdf</v>
      </c>
      <c r="H1400" s="7" t="str">
        <f aca="false">HYPERLINK("https://mncourtfraud.com/file/e41d0f219f565dc3f105384d732efcfb5064b054c678448247309a3f3d5641ed.ttf","e41d0f219f565dc3f105384d732efcfb5064b054c678448247309a3f3d5641ed")</f>
        <v>e41d0f219f565dc3f105384d732efcfb5064b054c678448247309a3f3d5641ed</v>
      </c>
      <c r="I1400" s="1" t="s">
        <v>3413</v>
      </c>
      <c r="J1400" s="2" t="s">
        <v>3519</v>
      </c>
      <c r="K1400" s="2" t="s">
        <v>3519</v>
      </c>
      <c r="L1400" s="2" t="s">
        <v>3415</v>
      </c>
      <c r="M1400" s="2" t="n">
        <v>38978</v>
      </c>
      <c r="N1400" s="2" t="s">
        <v>3520</v>
      </c>
    </row>
    <row r="1401" customFormat="false" ht="18.7" hidden="false" customHeight="true" outlineLevel="0" collapsed="false">
      <c r="A1401" s="1" t="n">
        <v>1400</v>
      </c>
      <c r="B1401" s="7" t="str">
        <f aca="false">HYPERLINK("https://mncourtfraud.com/file/27-CR-21-13147.pdf","27-CR-21-13147")</f>
        <v>27-CR-21-13147</v>
      </c>
      <c r="C1401" s="1" t="n">
        <v>1</v>
      </c>
      <c r="D1401" s="2" t="s">
        <v>12</v>
      </c>
      <c r="E1401" s="8" t="n">
        <v>44439</v>
      </c>
      <c r="F1401" s="2" t="s">
        <v>19</v>
      </c>
      <c r="G1401" s="7" t="str">
        <f aca="false">HYPERLINK("https://mncourtfraud.com/file/MCRO_27-CR-21-13147_Findings and Order_2021-08-31_20251126183518.pdf","MCRO_27-CR-21-13147_Findings and Order_2021-08-31_20251126183518.pdf")</f>
        <v>MCRO_27-CR-21-13147_Findings and Order_2021-08-31_20251126183518.pdf</v>
      </c>
      <c r="H1401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1401" s="1" t="s">
        <v>3413</v>
      </c>
      <c r="J1401" s="2" t="s">
        <v>3426</v>
      </c>
      <c r="K1401" s="2" t="s">
        <v>3426</v>
      </c>
      <c r="L1401" s="2" t="s">
        <v>3415</v>
      </c>
      <c r="M1401" s="2" t="n">
        <v>74997</v>
      </c>
      <c r="N1401" s="2" t="s">
        <v>3427</v>
      </c>
    </row>
    <row r="1402" customFormat="false" ht="18.7" hidden="false" customHeight="true" outlineLevel="0" collapsed="false">
      <c r="A1402" s="1" t="n">
        <v>1401</v>
      </c>
      <c r="B1402" s="7" t="str">
        <f aca="false">HYPERLINK("https://mncourtfraud.com/file/27-CR-21-13147.pdf","27-CR-21-13147")</f>
        <v>27-CR-21-13147</v>
      </c>
      <c r="C1402" s="1" t="n">
        <v>1</v>
      </c>
      <c r="D1402" s="2" t="s">
        <v>12</v>
      </c>
      <c r="E1402" s="8" t="n">
        <v>44439</v>
      </c>
      <c r="F1402" s="2" t="s">
        <v>19</v>
      </c>
      <c r="G1402" s="7" t="str">
        <f aca="false">HYPERLINK("https://mncourtfraud.com/file/MCRO_27-CR-21-13147_Findings and Order_2021-08-31_20251126183518.pdf","MCRO_27-CR-21-13147_Findings and Order_2021-08-31_20251126183518.pdf")</f>
        <v>MCRO_27-CR-21-13147_Findings and Order_2021-08-31_20251126183518.pdf</v>
      </c>
      <c r="H1402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1402" s="1" t="s">
        <v>3413</v>
      </c>
      <c r="J1402" s="2" t="s">
        <v>3414</v>
      </c>
      <c r="K1402" s="2" t="s">
        <v>3414</v>
      </c>
      <c r="L1402" s="2" t="s">
        <v>3415</v>
      </c>
      <c r="M1402" s="2" t="n">
        <v>65384</v>
      </c>
    </row>
    <row r="1403" customFormat="false" ht="18.7" hidden="false" customHeight="true" outlineLevel="0" collapsed="false">
      <c r="A1403" s="1" t="n">
        <v>1402</v>
      </c>
      <c r="B1403" s="7" t="str">
        <f aca="false">HYPERLINK("https://mncourtfraud.com/file/27-CR-21-13147.pdf","27-CR-21-13147")</f>
        <v>27-CR-21-13147</v>
      </c>
      <c r="C1403" s="1" t="n">
        <v>1</v>
      </c>
      <c r="D1403" s="2" t="s">
        <v>12</v>
      </c>
      <c r="E1403" s="8" t="n">
        <v>44439</v>
      </c>
      <c r="F1403" s="2" t="s">
        <v>19</v>
      </c>
      <c r="G1403" s="7" t="str">
        <f aca="false">HYPERLINK("https://mncourtfraud.com/file/MCRO_27-CR-21-13147_Findings and Order_2021-08-31_20251126183518.pdf","MCRO_27-CR-21-13147_Findings and Order_2021-08-31_20251126183518.pdf")</f>
        <v>MCRO_27-CR-21-13147_Findings and Order_2021-08-31_20251126183518.pdf</v>
      </c>
      <c r="H1403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1403" s="1" t="s">
        <v>3413</v>
      </c>
      <c r="J1403" s="2" t="s">
        <v>3414</v>
      </c>
      <c r="K1403" s="2" t="s">
        <v>3414</v>
      </c>
      <c r="L1403" s="2" t="s">
        <v>3415</v>
      </c>
      <c r="M1403" s="2" t="n">
        <v>65384</v>
      </c>
    </row>
    <row r="1404" customFormat="false" ht="18.7" hidden="false" customHeight="true" outlineLevel="0" collapsed="false">
      <c r="A1404" s="1" t="n">
        <v>1403</v>
      </c>
      <c r="B1404" s="7" t="str">
        <f aca="false">HYPERLINK("https://mncourtfraud.com/file/27-CR-21-13147.pdf","27-CR-21-13147")</f>
        <v>27-CR-21-13147</v>
      </c>
      <c r="C1404" s="1" t="n">
        <v>1</v>
      </c>
      <c r="D1404" s="2" t="s">
        <v>12</v>
      </c>
      <c r="E1404" s="8" t="n">
        <v>44439</v>
      </c>
      <c r="F1404" s="2" t="s">
        <v>19</v>
      </c>
      <c r="G1404" s="7" t="str">
        <f aca="false">HYPERLINK("https://mncourtfraud.com/file/MCRO_27-CR-21-13147_Findings and Order_2021-08-31_20251126183518.pdf","MCRO_27-CR-21-13147_Findings and Order_2021-08-31_20251126183518.pdf")</f>
        <v>MCRO_27-CR-21-13147_Findings and Order_2021-08-31_20251126183518.pdf</v>
      </c>
      <c r="H1404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1404" s="1" t="s">
        <v>3428</v>
      </c>
      <c r="J1404" s="2" t="s">
        <v>3429</v>
      </c>
      <c r="K1404" s="2" t="s">
        <v>3429</v>
      </c>
      <c r="L1404" s="2" t="s">
        <v>3415</v>
      </c>
      <c r="M1404" s="2" t="n">
        <v>86093</v>
      </c>
    </row>
    <row r="1405" customFormat="false" ht="18.7" hidden="false" customHeight="true" outlineLevel="0" collapsed="false">
      <c r="A1405" s="1" t="n">
        <v>1404</v>
      </c>
      <c r="B1405" s="7" t="str">
        <f aca="false">HYPERLINK("https://mncourtfraud.com/file/27-CR-21-13147.pdf","27-CR-21-13147")</f>
        <v>27-CR-21-13147</v>
      </c>
      <c r="C1405" s="1" t="n">
        <v>1</v>
      </c>
      <c r="D1405" s="2" t="s">
        <v>12</v>
      </c>
      <c r="E1405" s="8" t="n">
        <v>44439</v>
      </c>
      <c r="F1405" s="2" t="s">
        <v>19</v>
      </c>
      <c r="G1405" s="7" t="str">
        <f aca="false">HYPERLINK("https://mncourtfraud.com/file/MCRO_27-CR-21-13147_Findings and Order_2021-08-31_20251126183518.pdf","MCRO_27-CR-21-13147_Findings and Order_2021-08-31_20251126183518.pdf")</f>
        <v>MCRO_27-CR-21-13147_Findings and Order_2021-08-31_20251126183518.pdf</v>
      </c>
      <c r="H1405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1405" s="1" t="s">
        <v>3406</v>
      </c>
      <c r="K1405" s="2" t="s">
        <v>3430</v>
      </c>
      <c r="L1405" s="2" t="s">
        <v>3408</v>
      </c>
      <c r="M1405" s="2" t="n">
        <v>28069</v>
      </c>
      <c r="O1405" s="2" t="s">
        <v>3409</v>
      </c>
      <c r="P1405" s="2" t="s">
        <v>3410</v>
      </c>
      <c r="S1405" s="2" t="n">
        <v>448</v>
      </c>
      <c r="T1405" s="2" t="n">
        <v>128</v>
      </c>
    </row>
    <row r="1406" customFormat="false" ht="18.7" hidden="false" customHeight="true" outlineLevel="0" collapsed="false">
      <c r="A1406" s="1" t="n">
        <v>1405</v>
      </c>
      <c r="B1406" s="7" t="str">
        <f aca="false">HYPERLINK("https://mncourtfraud.com/file/27-CR-21-13147.pdf","27-CR-21-13147")</f>
        <v>27-CR-21-13147</v>
      </c>
      <c r="C1406" s="1" t="n">
        <v>1</v>
      </c>
      <c r="D1406" s="2" t="s">
        <v>12</v>
      </c>
      <c r="E1406" s="8" t="n">
        <v>44439</v>
      </c>
      <c r="F1406" s="2" t="s">
        <v>19</v>
      </c>
      <c r="G1406" s="7" t="str">
        <f aca="false">HYPERLINK("https://mncourtfraud.com/file/MCRO_27-CR-21-13147_Findings and Order_2021-08-31_20251126183518.pdf","MCRO_27-CR-21-13147_Findings and Order_2021-08-31_20251126183518.pdf")</f>
        <v>MCRO_27-CR-21-13147_Findings and Order_2021-08-31_20251126183518.pdf</v>
      </c>
      <c r="H1406" s="7" t="str">
        <f aca="false">HYPERLINK("https://mncourtfraud.com/file/d85226137c53579f37f2c87321a4ff209a309a82330591d9457774d7d697befc.ttf","d85226137c53579f37f2c87321a4ff209a309a82330591d9457774d7d697befc")</f>
        <v>d85226137c53579f37f2c87321a4ff209a309a82330591d9457774d7d697befc</v>
      </c>
      <c r="I1406" s="1" t="s">
        <v>3413</v>
      </c>
      <c r="J1406" s="2" t="s">
        <v>3414</v>
      </c>
      <c r="K1406" s="2" t="s">
        <v>3416</v>
      </c>
      <c r="L1406" s="2" t="s">
        <v>3415</v>
      </c>
      <c r="M1406" s="2" t="n">
        <v>49992</v>
      </c>
    </row>
    <row r="1407" customFormat="false" ht="18.7" hidden="false" customHeight="true" outlineLevel="0" collapsed="false">
      <c r="A1407" s="1" t="n">
        <v>1406</v>
      </c>
      <c r="B1407" s="7" t="str">
        <f aca="false">HYPERLINK("https://mncourtfraud.com/file/27-CR-21-13147.pdf","27-CR-21-13147")</f>
        <v>27-CR-21-13147</v>
      </c>
      <c r="C1407" s="1" t="n">
        <v>1</v>
      </c>
      <c r="D1407" s="2" t="s">
        <v>12</v>
      </c>
      <c r="E1407" s="8" t="n">
        <v>44460</v>
      </c>
      <c r="F1407" s="2" t="s">
        <v>24</v>
      </c>
      <c r="G1407" s="7" t="str">
        <f aca="false">HYPERLINK("https://mncourtfraud.com/file/MCRO_27-CR-21-13147_Order for Conditional Release_2021-09-21_20251126183551.pdf","MCRO_27-CR-21-13147_Order for Conditional Release_2021-09-21_20251126183551.pdf")</f>
        <v>MCRO_27-CR-21-13147_Order for Conditional Release_2021-09-21_20251126183551.pdf</v>
      </c>
      <c r="H1407" s="7" t="str">
        <f aca="false">HYPERLINK("https://mncourtfraud.com/file/02dfb6e08fd11b3563d1b9b621b56dbf2dc11acbd85e42bfd83f728fb300bef2.ttf","02dfb6e08fd11b3563d1b9b621b56dbf2dc11acbd85e42bfd83f728fb300bef2")</f>
        <v>02dfb6e08fd11b3563d1b9b621b56dbf2dc11acbd85e42bfd83f728fb300bef2</v>
      </c>
      <c r="I1407" s="1" t="s">
        <v>3413</v>
      </c>
      <c r="L1407" s="2" t="s">
        <v>3415</v>
      </c>
      <c r="M1407" s="2" t="n">
        <v>333576</v>
      </c>
    </row>
    <row r="1408" customFormat="false" ht="18.7" hidden="false" customHeight="true" outlineLevel="0" collapsed="false">
      <c r="A1408" s="1" t="n">
        <v>1407</v>
      </c>
      <c r="B1408" s="7" t="str">
        <f aca="false">HYPERLINK("https://mncourtfraud.com/file/27-CR-21-13147.pdf","27-CR-21-13147")</f>
        <v>27-CR-21-13147</v>
      </c>
      <c r="C1408" s="1" t="n">
        <v>1</v>
      </c>
      <c r="D1408" s="2" t="s">
        <v>12</v>
      </c>
      <c r="E1408" s="8" t="n">
        <v>44460</v>
      </c>
      <c r="F1408" s="2" t="s">
        <v>24</v>
      </c>
      <c r="G1408" s="7" t="str">
        <f aca="false">HYPERLINK("https://mncourtfraud.com/file/MCRO_27-CR-21-13147_Order for Conditional Release_2021-09-21_20251126183551.pdf","MCRO_27-CR-21-13147_Order for Conditional Release_2021-09-21_20251126183551.pdf")</f>
        <v>MCRO_27-CR-21-13147_Order for Conditional Release_2021-09-21_20251126183551.pdf</v>
      </c>
      <c r="H1408" s="7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1408" s="1" t="s">
        <v>3406</v>
      </c>
      <c r="L1408" s="2" t="s">
        <v>3412</v>
      </c>
      <c r="M1408" s="2" t="n">
        <v>152962</v>
      </c>
      <c r="S1408" s="2" t="n">
        <v>2560</v>
      </c>
      <c r="T1408" s="2" t="n">
        <v>3300</v>
      </c>
    </row>
    <row r="1409" customFormat="false" ht="18.7" hidden="false" customHeight="true" outlineLevel="0" collapsed="false">
      <c r="A1409" s="1" t="n">
        <v>1408</v>
      </c>
      <c r="B1409" s="7" t="str">
        <f aca="false">HYPERLINK("https://mncourtfraud.com/file/27-CR-21-13147.pdf","27-CR-21-13147")</f>
        <v>27-CR-21-13147</v>
      </c>
      <c r="C1409" s="1" t="n">
        <v>1</v>
      </c>
      <c r="D1409" s="2" t="s">
        <v>12</v>
      </c>
      <c r="E1409" s="8" t="n">
        <v>44468</v>
      </c>
      <c r="F1409" s="2" t="s">
        <v>24</v>
      </c>
      <c r="G1409" s="7" t="str">
        <f aca="false">HYPERLINK("https://mncourtfraud.com/file/MCRO_27-CR-21-13147_Order for Conditional Release_2021-09-29_20251126183556.pdf","MCRO_27-CR-21-13147_Order for Conditional Release_2021-09-29_20251126183556.pdf")</f>
        <v>MCRO_27-CR-21-13147_Order for Conditional Release_2021-09-29_20251126183556.pdf</v>
      </c>
      <c r="H1409" s="7" t="str">
        <f aca="false">HYPERLINK("https://mncourtfraud.com/file/29d541cb6920f2a0815a72232c8164e19ffda7ff89f025261d343aef97d55c23.png","29d541cb6920f2a0815a72232c8164e19ffda7ff89f025261d343aef97d55c23")</f>
        <v>29d541cb6920f2a0815a72232c8164e19ffda7ff89f025261d343aef97d55c23</v>
      </c>
      <c r="I1409" s="1" t="s">
        <v>3406</v>
      </c>
      <c r="L1409" s="2" t="s">
        <v>3412</v>
      </c>
      <c r="M1409" s="2" t="n">
        <v>104</v>
      </c>
      <c r="S1409" s="2" t="n">
        <v>5</v>
      </c>
      <c r="T1409" s="2" t="n">
        <v>75</v>
      </c>
    </row>
    <row r="1410" customFormat="false" ht="18.7" hidden="false" customHeight="true" outlineLevel="0" collapsed="false">
      <c r="A1410" s="1" t="n">
        <v>1409</v>
      </c>
      <c r="B1410" s="7" t="str">
        <f aca="false">HYPERLINK("https://mncourtfraud.com/file/27-CR-21-13147.pdf","27-CR-21-13147")</f>
        <v>27-CR-21-13147</v>
      </c>
      <c r="C1410" s="1" t="n">
        <v>1</v>
      </c>
      <c r="D1410" s="2" t="s">
        <v>12</v>
      </c>
      <c r="E1410" s="8" t="n">
        <v>44468</v>
      </c>
      <c r="F1410" s="2" t="s">
        <v>24</v>
      </c>
      <c r="G1410" s="7" t="str">
        <f aca="false">HYPERLINK("https://mncourtfraud.com/file/MCRO_27-CR-21-13147_Order for Conditional Release_2021-09-29_20251126183556.pdf","MCRO_27-CR-21-13147_Order for Conditional Release_2021-09-29_20251126183556.pdf")</f>
        <v>MCRO_27-CR-21-13147_Order for Conditional Release_2021-09-29_20251126183556.pdf</v>
      </c>
      <c r="H1410" s="7" t="str">
        <f aca="false">HYPERLINK("https://mncourtfraud.com/file/3d978c70f8a4a91fd25d0f653c2931516767fdd837fcadff75a8c3cd2ba3a28e.png","3d978c70f8a4a91fd25d0f653c2931516767fdd837fcadff75a8c3cd2ba3a28e")</f>
        <v>3d978c70f8a4a91fd25d0f653c2931516767fdd837fcadff75a8c3cd2ba3a28e</v>
      </c>
      <c r="I1410" s="1" t="s">
        <v>3406</v>
      </c>
      <c r="L1410" s="2" t="s">
        <v>3412</v>
      </c>
      <c r="M1410" s="2" t="n">
        <v>2435</v>
      </c>
      <c r="S1410" s="2" t="n">
        <v>1069</v>
      </c>
      <c r="T1410" s="2" t="n">
        <v>679</v>
      </c>
    </row>
    <row r="1411" customFormat="false" ht="18.7" hidden="false" customHeight="true" outlineLevel="0" collapsed="false">
      <c r="A1411" s="1" t="n">
        <v>1410</v>
      </c>
      <c r="B1411" s="7" t="str">
        <f aca="false">HYPERLINK("https://mncourtfraud.com/file/27-CR-21-13147.pdf","27-CR-21-13147")</f>
        <v>27-CR-21-13147</v>
      </c>
      <c r="C1411" s="1" t="n">
        <v>1</v>
      </c>
      <c r="D1411" s="2" t="s">
        <v>12</v>
      </c>
      <c r="E1411" s="8" t="n">
        <v>44468</v>
      </c>
      <c r="F1411" s="2" t="s">
        <v>24</v>
      </c>
      <c r="G1411" s="7" t="str">
        <f aca="false">HYPERLINK("https://mncourtfraud.com/file/MCRO_27-CR-21-13147_Order for Conditional Release_2021-09-29_20251126183556.pdf","MCRO_27-CR-21-13147_Order for Conditional Release_2021-09-29_20251126183556.pdf")</f>
        <v>MCRO_27-CR-21-13147_Order for Conditional Release_2021-09-29_20251126183556.pdf</v>
      </c>
      <c r="H1411" s="7" t="str">
        <f aca="false">HYPERLINK("https://mncourtfraud.com/file/3f202249d41f264cabf7a4fd2c634829df7886c25cb759658f06c1a8bca28360.cid","3f202249d41f264cabf7a4fd2c634829df7886c25cb759658f06c1a8bca28360")</f>
        <v>3f202249d41f264cabf7a4fd2c634829df7886c25cb759658f06c1a8bca28360</v>
      </c>
      <c r="I1411" s="1" t="s">
        <v>3431</v>
      </c>
      <c r="L1411" s="2" t="s">
        <v>3415</v>
      </c>
      <c r="M1411" s="2" t="n">
        <v>1397</v>
      </c>
    </row>
    <row r="1412" customFormat="false" ht="18.7" hidden="false" customHeight="true" outlineLevel="0" collapsed="false">
      <c r="A1412" s="1" t="n">
        <v>1411</v>
      </c>
      <c r="B1412" s="7" t="str">
        <f aca="false">HYPERLINK("https://mncourtfraud.com/file/27-CR-21-13147.pdf","27-CR-21-13147")</f>
        <v>27-CR-21-13147</v>
      </c>
      <c r="C1412" s="1" t="n">
        <v>1</v>
      </c>
      <c r="D1412" s="2" t="s">
        <v>12</v>
      </c>
      <c r="E1412" s="8" t="n">
        <v>44468</v>
      </c>
      <c r="F1412" s="2" t="s">
        <v>24</v>
      </c>
      <c r="G1412" s="7" t="str">
        <f aca="false">HYPERLINK("https://mncourtfraud.com/file/MCRO_27-CR-21-13147_Order for Conditional Release_2021-09-29_20251126183556.pdf","MCRO_27-CR-21-13147_Order for Conditional Release_2021-09-29_20251126183556.pdf")</f>
        <v>MCRO_27-CR-21-13147_Order for Conditional Release_2021-09-29_20251126183556.pdf</v>
      </c>
      <c r="H1412" s="7" t="str">
        <f aca="false">HYPERLINK("https://mncourtfraud.com/file/425a64ecdc19aa0c86b927b2be8980d179c92ac4af2a49d3c3ad0aa278728c52.png","425a64ecdc19aa0c86b927b2be8980d179c92ac4af2a49d3c3ad0aa278728c52")</f>
        <v>425a64ecdc19aa0c86b927b2be8980d179c92ac4af2a49d3c3ad0aa278728c52</v>
      </c>
      <c r="I1412" s="1" t="s">
        <v>3406</v>
      </c>
      <c r="L1412" s="2" t="s">
        <v>3412</v>
      </c>
      <c r="M1412" s="2" t="n">
        <v>520</v>
      </c>
      <c r="S1412" s="2" t="n">
        <v>126</v>
      </c>
      <c r="T1412" s="2" t="n">
        <v>150</v>
      </c>
    </row>
    <row r="1413" customFormat="false" ht="18.7" hidden="false" customHeight="true" outlineLevel="0" collapsed="false">
      <c r="A1413" s="1" t="n">
        <v>1412</v>
      </c>
      <c r="B1413" s="7" t="str">
        <f aca="false">HYPERLINK("https://mncourtfraud.com/file/27-CR-21-13147.pdf","27-CR-21-13147")</f>
        <v>27-CR-21-13147</v>
      </c>
      <c r="C1413" s="1" t="n">
        <v>1</v>
      </c>
      <c r="D1413" s="2" t="s">
        <v>12</v>
      </c>
      <c r="E1413" s="8" t="n">
        <v>44468</v>
      </c>
      <c r="F1413" s="2" t="s">
        <v>24</v>
      </c>
      <c r="G1413" s="7" t="str">
        <f aca="false">HYPERLINK("https://mncourtfraud.com/file/MCRO_27-CR-21-13147_Order for Conditional Release_2021-09-29_20251126183556.pdf","MCRO_27-CR-21-13147_Order for Conditional Release_2021-09-29_20251126183556.pdf")</f>
        <v>MCRO_27-CR-21-13147_Order for Conditional Release_2021-09-29_20251126183556.pdf</v>
      </c>
      <c r="H1413" s="7" t="str">
        <f aca="false">HYPERLINK("https://mncourtfraud.com/file/4458a2b033c8132fd890227750c1df180ec4563b9dc0a6394b3691240425c9b3.cid","4458a2b033c8132fd890227750c1df180ec4563b9dc0a6394b3691240425c9b3")</f>
        <v>4458a2b033c8132fd890227750c1df180ec4563b9dc0a6394b3691240425c9b3</v>
      </c>
      <c r="I1413" s="1" t="s">
        <v>3431</v>
      </c>
      <c r="L1413" s="2" t="s">
        <v>3415</v>
      </c>
      <c r="M1413" s="2" t="n">
        <v>3580</v>
      </c>
    </row>
    <row r="1414" customFormat="false" ht="18.7" hidden="false" customHeight="true" outlineLevel="0" collapsed="false">
      <c r="A1414" s="1" t="n">
        <v>1413</v>
      </c>
      <c r="B1414" s="7" t="str">
        <f aca="false">HYPERLINK("https://mncourtfraud.com/file/27-CR-21-13147.pdf","27-CR-21-13147")</f>
        <v>27-CR-21-13147</v>
      </c>
      <c r="C1414" s="1" t="n">
        <v>1</v>
      </c>
      <c r="D1414" s="2" t="s">
        <v>12</v>
      </c>
      <c r="E1414" s="8" t="n">
        <v>44468</v>
      </c>
      <c r="F1414" s="2" t="s">
        <v>24</v>
      </c>
      <c r="G1414" s="7" t="str">
        <f aca="false">HYPERLINK("https://mncourtfraud.com/file/MCRO_27-CR-21-13147_Order for Conditional Release_2021-09-29_20251126183556.pdf","MCRO_27-CR-21-13147_Order for Conditional Release_2021-09-29_20251126183556.pdf")</f>
        <v>MCRO_27-CR-21-13147_Order for Conditional Release_2021-09-29_20251126183556.pdf</v>
      </c>
      <c r="H1414" s="7" t="str">
        <f aca="false">HYPERLINK("https://mncourtfraud.com/file/45a9f49ddf96d4a4dcf4561d2702204f448986045babf3fdd52fa18200557e31.png","45a9f49ddf96d4a4dcf4561d2702204f448986045babf3fdd52fa18200557e31")</f>
        <v>45a9f49ddf96d4a4dcf4561d2702204f448986045babf3fdd52fa18200557e31</v>
      </c>
      <c r="I1414" s="1" t="s">
        <v>3406</v>
      </c>
      <c r="L1414" s="2" t="s">
        <v>3412</v>
      </c>
      <c r="M1414" s="2" t="n">
        <v>97</v>
      </c>
      <c r="S1414" s="2" t="n">
        <v>3</v>
      </c>
      <c r="T1414" s="2" t="n">
        <v>4</v>
      </c>
    </row>
    <row r="1415" customFormat="false" ht="18.7" hidden="false" customHeight="true" outlineLevel="0" collapsed="false">
      <c r="A1415" s="1" t="n">
        <v>1414</v>
      </c>
      <c r="B1415" s="7" t="str">
        <f aca="false">HYPERLINK("https://mncourtfraud.com/file/27-CR-21-13147.pdf","27-CR-21-13147")</f>
        <v>27-CR-21-13147</v>
      </c>
      <c r="C1415" s="1" t="n">
        <v>1</v>
      </c>
      <c r="D1415" s="2" t="s">
        <v>12</v>
      </c>
      <c r="E1415" s="8" t="n">
        <v>44468</v>
      </c>
      <c r="F1415" s="2" t="s">
        <v>24</v>
      </c>
      <c r="G1415" s="7" t="str">
        <f aca="false">HYPERLINK("https://mncourtfraud.com/file/MCRO_27-CR-21-13147_Order for Conditional Release_2021-09-29_20251126183556.pdf","MCRO_27-CR-21-13147_Order for Conditional Release_2021-09-29_20251126183556.pdf")</f>
        <v>MCRO_27-CR-21-13147_Order for Conditional Release_2021-09-29_20251126183556.pdf</v>
      </c>
      <c r="H1415" s="7" t="str">
        <f aca="false">HYPERLINK("https://mncourtfraud.com/file/50457dc3e0bb6204f128f3222c76884dffaf132a86395902e3967a44a5d511ed.cid","50457dc3e0bb6204f128f3222c76884dffaf132a86395902e3967a44a5d511ed")</f>
        <v>50457dc3e0bb6204f128f3222c76884dffaf132a86395902e3967a44a5d511ed</v>
      </c>
      <c r="I1415" s="1" t="s">
        <v>3431</v>
      </c>
      <c r="L1415" s="2" t="s">
        <v>3415</v>
      </c>
      <c r="M1415" s="2" t="n">
        <v>2839</v>
      </c>
    </row>
    <row r="1416" customFormat="false" ht="18.7" hidden="false" customHeight="true" outlineLevel="0" collapsed="false">
      <c r="A1416" s="1" t="n">
        <v>1415</v>
      </c>
      <c r="B1416" s="7" t="str">
        <f aca="false">HYPERLINK("https://mncourtfraud.com/file/27-CR-21-13147.pdf","27-CR-21-13147")</f>
        <v>27-CR-21-13147</v>
      </c>
      <c r="C1416" s="1" t="n">
        <v>1</v>
      </c>
      <c r="D1416" s="2" t="s">
        <v>12</v>
      </c>
      <c r="E1416" s="8" t="n">
        <v>44468</v>
      </c>
      <c r="F1416" s="2" t="s">
        <v>24</v>
      </c>
      <c r="G1416" s="7" t="str">
        <f aca="false">HYPERLINK("https://mncourtfraud.com/file/MCRO_27-CR-21-13147_Order for Conditional Release_2021-09-29_20251126183556.pdf","MCRO_27-CR-21-13147_Order for Conditional Release_2021-09-29_20251126183556.pdf")</f>
        <v>MCRO_27-CR-21-13147_Order for Conditional Release_2021-09-29_20251126183556.pdf</v>
      </c>
      <c r="H1416" s="7" t="str">
        <f aca="false">HYPERLINK("https://mncourtfraud.com/file/52f2827f81e9a21813e5089396a7afa6accf4023998e877d3b9460283e0bb9a5.cid","52f2827f81e9a21813e5089396a7afa6accf4023998e877d3b9460283e0bb9a5")</f>
        <v>52f2827f81e9a21813e5089396a7afa6accf4023998e877d3b9460283e0bb9a5</v>
      </c>
      <c r="I1416" s="1" t="s">
        <v>3431</v>
      </c>
      <c r="L1416" s="2" t="s">
        <v>3415</v>
      </c>
      <c r="M1416" s="2" t="n">
        <v>381</v>
      </c>
    </row>
    <row r="1417" customFormat="false" ht="18.7" hidden="false" customHeight="true" outlineLevel="0" collapsed="false">
      <c r="A1417" s="1" t="n">
        <v>1416</v>
      </c>
      <c r="B1417" s="7" t="str">
        <f aca="false">HYPERLINK("https://mncourtfraud.com/file/27-CR-21-13147.pdf","27-CR-21-13147")</f>
        <v>27-CR-21-13147</v>
      </c>
      <c r="C1417" s="1" t="n">
        <v>1</v>
      </c>
      <c r="D1417" s="2" t="s">
        <v>12</v>
      </c>
      <c r="E1417" s="8" t="n">
        <v>44468</v>
      </c>
      <c r="F1417" s="2" t="s">
        <v>24</v>
      </c>
      <c r="G1417" s="7" t="str">
        <f aca="false">HYPERLINK("https://mncourtfraud.com/file/MCRO_27-CR-21-13147_Order for Conditional Release_2021-09-29_20251126183556.pdf","MCRO_27-CR-21-13147_Order for Conditional Release_2021-09-29_20251126183556.pdf")</f>
        <v>MCRO_27-CR-21-13147_Order for Conditional Release_2021-09-29_20251126183556.pdf</v>
      </c>
      <c r="H1417" s="7" t="str">
        <f aca="false">HYPERLINK("https://mncourtfraud.com/file/5bf127b8427f0831bc8864aa549643604be6b63d8ca96ff1ba7182ccec9bc2ad.cid","5bf127b8427f0831bc8864aa549643604be6b63d8ca96ff1ba7182ccec9bc2ad")</f>
        <v>5bf127b8427f0831bc8864aa549643604be6b63d8ca96ff1ba7182ccec9bc2ad</v>
      </c>
      <c r="I1417" s="1" t="s">
        <v>3431</v>
      </c>
      <c r="L1417" s="2" t="s">
        <v>3415</v>
      </c>
      <c r="M1417" s="2" t="n">
        <v>7990</v>
      </c>
    </row>
    <row r="1418" customFormat="false" ht="18.7" hidden="false" customHeight="true" outlineLevel="0" collapsed="false">
      <c r="A1418" s="1" t="n">
        <v>1417</v>
      </c>
      <c r="B1418" s="7" t="str">
        <f aca="false">HYPERLINK("https://mncourtfraud.com/file/27-CR-21-13147.pdf","27-CR-21-13147")</f>
        <v>27-CR-21-13147</v>
      </c>
      <c r="C1418" s="1" t="n">
        <v>1</v>
      </c>
      <c r="D1418" s="2" t="s">
        <v>12</v>
      </c>
      <c r="E1418" s="8" t="n">
        <v>44468</v>
      </c>
      <c r="F1418" s="2" t="s">
        <v>24</v>
      </c>
      <c r="G1418" s="7" t="str">
        <f aca="false">HYPERLINK("https://mncourtfraud.com/file/MCRO_27-CR-21-13147_Order for Conditional Release_2021-09-29_20251126183556.pdf","MCRO_27-CR-21-13147_Order for Conditional Release_2021-09-29_20251126183556.pdf")</f>
        <v>MCRO_27-CR-21-13147_Order for Conditional Release_2021-09-29_20251126183556.pdf</v>
      </c>
      <c r="H1418" s="7" t="str">
        <f aca="false">HYPERLINK("https://mncourtfraud.com/file/614121b29b009262816a5b70532c1a04ec73c5d83786c4500719e9e7d614a562.cid","614121b29b009262816a5b70532c1a04ec73c5d83786c4500719e9e7d614a562")</f>
        <v>614121b29b009262816a5b70532c1a04ec73c5d83786c4500719e9e7d614a562</v>
      </c>
      <c r="I1418" s="1" t="s">
        <v>3431</v>
      </c>
      <c r="L1418" s="2" t="s">
        <v>3415</v>
      </c>
      <c r="M1418" s="2" t="n">
        <v>5970</v>
      </c>
    </row>
    <row r="1419" customFormat="false" ht="18.7" hidden="false" customHeight="true" outlineLevel="0" collapsed="false">
      <c r="A1419" s="1" t="n">
        <v>1418</v>
      </c>
      <c r="B1419" s="7" t="str">
        <f aca="false">HYPERLINK("https://mncourtfraud.com/file/27-CR-21-13147.pdf","27-CR-21-13147")</f>
        <v>27-CR-21-13147</v>
      </c>
      <c r="C1419" s="1" t="n">
        <v>1</v>
      </c>
      <c r="D1419" s="2" t="s">
        <v>12</v>
      </c>
      <c r="E1419" s="8" t="n">
        <v>44468</v>
      </c>
      <c r="F1419" s="2" t="s">
        <v>24</v>
      </c>
      <c r="G1419" s="7" t="str">
        <f aca="false">HYPERLINK("https://mncourtfraud.com/file/MCRO_27-CR-21-13147_Order for Conditional Release_2021-09-29_20251126183556.pdf","MCRO_27-CR-21-13147_Order for Conditional Release_2021-09-29_20251126183556.pdf")</f>
        <v>MCRO_27-CR-21-13147_Order for Conditional Release_2021-09-29_20251126183556.pdf</v>
      </c>
      <c r="H1419" s="7" t="str">
        <f aca="false">HYPERLINK("https://mncourtfraud.com/file/7e14169e8fd6eddddd43bc2fc14557202f527587078dd29e867ad63570714e07.png","7e14169e8fd6eddddd43bc2fc14557202f527587078dd29e867ad63570714e07")</f>
        <v>7e14169e8fd6eddddd43bc2fc14557202f527587078dd29e867ad63570714e07</v>
      </c>
      <c r="I1419" s="1" t="s">
        <v>3406</v>
      </c>
      <c r="L1419" s="2" t="s">
        <v>3412</v>
      </c>
      <c r="M1419" s="2" t="n">
        <v>100</v>
      </c>
      <c r="S1419" s="2" t="n">
        <v>5</v>
      </c>
      <c r="T1419" s="2" t="n">
        <v>5</v>
      </c>
    </row>
    <row r="1420" customFormat="false" ht="18.7" hidden="false" customHeight="true" outlineLevel="0" collapsed="false">
      <c r="A1420" s="1" t="n">
        <v>1419</v>
      </c>
      <c r="B1420" s="7" t="str">
        <f aca="false">HYPERLINK("https://mncourtfraud.com/file/27-CR-21-13147.pdf","27-CR-21-13147")</f>
        <v>27-CR-21-13147</v>
      </c>
      <c r="C1420" s="1" t="n">
        <v>1</v>
      </c>
      <c r="D1420" s="2" t="s">
        <v>12</v>
      </c>
      <c r="E1420" s="8" t="n">
        <v>44468</v>
      </c>
      <c r="F1420" s="2" t="s">
        <v>24</v>
      </c>
      <c r="G1420" s="7" t="str">
        <f aca="false">HYPERLINK("https://mncourtfraud.com/file/MCRO_27-CR-21-13147_Order for Conditional Release_2021-09-29_20251126183556.pdf","MCRO_27-CR-21-13147_Order for Conditional Release_2021-09-29_20251126183556.pdf")</f>
        <v>MCRO_27-CR-21-13147_Order for Conditional Release_2021-09-29_20251126183556.pdf</v>
      </c>
      <c r="H1420" s="7" t="str">
        <f aca="false">HYPERLINK("https://mncourtfraud.com/file/8198df5372238cac138bb64883627cf42bfc08ac483ff14b35858ae098fa3e09.cid","8198df5372238cac138bb64883627cf42bfc08ac483ff14b35858ae098fa3e09")</f>
        <v>8198df5372238cac138bb64883627cf42bfc08ac483ff14b35858ae098fa3e09</v>
      </c>
      <c r="I1420" s="1" t="s">
        <v>3431</v>
      </c>
      <c r="L1420" s="2" t="s">
        <v>3415</v>
      </c>
      <c r="M1420" s="2" t="n">
        <v>3966</v>
      </c>
    </row>
    <row r="1421" customFormat="false" ht="18.7" hidden="false" customHeight="true" outlineLevel="0" collapsed="false">
      <c r="A1421" s="1" t="n">
        <v>1420</v>
      </c>
      <c r="B1421" s="7" t="str">
        <f aca="false">HYPERLINK("https://mncourtfraud.com/file/27-CR-21-13147.pdf","27-CR-21-13147")</f>
        <v>27-CR-21-13147</v>
      </c>
      <c r="C1421" s="1" t="n">
        <v>1</v>
      </c>
      <c r="D1421" s="2" t="s">
        <v>12</v>
      </c>
      <c r="E1421" s="8" t="n">
        <v>44468</v>
      </c>
      <c r="F1421" s="2" t="s">
        <v>24</v>
      </c>
      <c r="G1421" s="7" t="str">
        <f aca="false">HYPERLINK("https://mncourtfraud.com/file/MCRO_27-CR-21-13147_Order for Conditional Release_2021-09-29_20251126183556.pdf","MCRO_27-CR-21-13147_Order for Conditional Release_2021-09-29_20251126183556.pdf")</f>
        <v>MCRO_27-CR-21-13147_Order for Conditional Release_2021-09-29_20251126183556.pdf</v>
      </c>
      <c r="H1421" s="7" t="str">
        <f aca="false">HYPERLINK("https://mncourtfraud.com/file/8793bfb8eeebb59de729b22461b75a010eda532097214bf8285117449fae5b3c.png","8793bfb8eeebb59de729b22461b75a010eda532097214bf8285117449fae5b3c")</f>
        <v>8793bfb8eeebb59de729b22461b75a010eda532097214bf8285117449fae5b3c</v>
      </c>
      <c r="I1421" s="1" t="s">
        <v>3406</v>
      </c>
      <c r="L1421" s="2" t="s">
        <v>3412</v>
      </c>
      <c r="M1421" s="2" t="n">
        <v>104</v>
      </c>
      <c r="S1421" s="2" t="n">
        <v>6</v>
      </c>
      <c r="T1421" s="2" t="n">
        <v>4</v>
      </c>
    </row>
    <row r="1422" customFormat="false" ht="18.7" hidden="false" customHeight="true" outlineLevel="0" collapsed="false">
      <c r="A1422" s="1" t="n">
        <v>1421</v>
      </c>
      <c r="B1422" s="7" t="str">
        <f aca="false">HYPERLINK("https://mncourtfraud.com/file/27-CR-21-13147.pdf","27-CR-21-13147")</f>
        <v>27-CR-21-13147</v>
      </c>
      <c r="C1422" s="1" t="n">
        <v>1</v>
      </c>
      <c r="D1422" s="2" t="s">
        <v>12</v>
      </c>
      <c r="E1422" s="8" t="n">
        <v>44468</v>
      </c>
      <c r="F1422" s="2" t="s">
        <v>24</v>
      </c>
      <c r="G1422" s="7" t="str">
        <f aca="false">HYPERLINK("https://mncourtfraud.com/file/MCRO_27-CR-21-13147_Order for Conditional Release_2021-09-29_20251126183556.pdf","MCRO_27-CR-21-13147_Order for Conditional Release_2021-09-29_20251126183556.pdf")</f>
        <v>MCRO_27-CR-21-13147_Order for Conditional Release_2021-09-29_20251126183556.pdf</v>
      </c>
      <c r="H1422" s="7" t="str">
        <f aca="false">HYPERLINK("https://mncourtfraud.com/file/8c2e00c7a4e8974eff73eba397a59d5f5f25d249433535298973d70a9f79dec8.png","8c2e00c7a4e8974eff73eba397a59d5f5f25d249433535298973d70a9f79dec8")</f>
        <v>8c2e00c7a4e8974eff73eba397a59d5f5f25d249433535298973d70a9f79dec8</v>
      </c>
      <c r="I1422" s="1" t="s">
        <v>3406</v>
      </c>
      <c r="L1422" s="2" t="s">
        <v>3412</v>
      </c>
      <c r="M1422" s="2" t="n">
        <v>810</v>
      </c>
      <c r="S1422" s="2" t="n">
        <v>519</v>
      </c>
      <c r="T1422" s="2" t="n">
        <v>231</v>
      </c>
    </row>
    <row r="1423" customFormat="false" ht="18.7" hidden="false" customHeight="true" outlineLevel="0" collapsed="false">
      <c r="A1423" s="1" t="n">
        <v>1422</v>
      </c>
      <c r="B1423" s="7" t="str">
        <f aca="false">HYPERLINK("https://mncourtfraud.com/file/27-CR-21-13147.pdf","27-CR-21-13147")</f>
        <v>27-CR-21-13147</v>
      </c>
      <c r="C1423" s="1" t="n">
        <v>1</v>
      </c>
      <c r="D1423" s="2" t="s">
        <v>12</v>
      </c>
      <c r="E1423" s="8" t="n">
        <v>44468</v>
      </c>
      <c r="F1423" s="2" t="s">
        <v>24</v>
      </c>
      <c r="G1423" s="7" t="str">
        <f aca="false">HYPERLINK("https://mncourtfraud.com/file/MCRO_27-CR-21-13147_Order for Conditional Release_2021-09-29_20251126183556.pdf","MCRO_27-CR-21-13147_Order for Conditional Release_2021-09-29_20251126183556.pdf")</f>
        <v>MCRO_27-CR-21-13147_Order for Conditional Release_2021-09-29_20251126183556.pdf</v>
      </c>
      <c r="H1423" s="7" t="str">
        <f aca="false">HYPERLINK("https://mncourtfraud.com/file/a431b1b5f48186b4c98851d84352c1573e22c0e9b97117edbc0ad8603da3c307.png","a431b1b5f48186b4c98851d84352c1573e22c0e9b97117edbc0ad8603da3c307")</f>
        <v>a431b1b5f48186b4c98851d84352c1573e22c0e9b97117edbc0ad8603da3c307</v>
      </c>
      <c r="I1423" s="1" t="s">
        <v>3406</v>
      </c>
      <c r="L1423" s="2" t="s">
        <v>3412</v>
      </c>
      <c r="M1423" s="2" t="n">
        <v>157</v>
      </c>
      <c r="S1423" s="2" t="n">
        <v>7</v>
      </c>
      <c r="T1423" s="2" t="n">
        <v>284</v>
      </c>
    </row>
    <row r="1424" customFormat="false" ht="18.7" hidden="false" customHeight="true" outlineLevel="0" collapsed="false">
      <c r="A1424" s="1" t="n">
        <v>1423</v>
      </c>
      <c r="B1424" s="7" t="str">
        <f aca="false">HYPERLINK("https://mncourtfraud.com/file/27-CR-21-13147.pdf","27-CR-21-13147")</f>
        <v>27-CR-21-13147</v>
      </c>
      <c r="C1424" s="1" t="n">
        <v>1</v>
      </c>
      <c r="D1424" s="2" t="s">
        <v>12</v>
      </c>
      <c r="E1424" s="8" t="n">
        <v>44468</v>
      </c>
      <c r="F1424" s="2" t="s">
        <v>24</v>
      </c>
      <c r="G1424" s="7" t="str">
        <f aca="false">HYPERLINK("https://mncourtfraud.com/file/MCRO_27-CR-21-13147_Order for Conditional Release_2021-09-29_20251126183556.pdf","MCRO_27-CR-21-13147_Order for Conditional Release_2021-09-29_20251126183556.pdf")</f>
        <v>MCRO_27-CR-21-13147_Order for Conditional Release_2021-09-29_20251126183556.pdf</v>
      </c>
      <c r="H1424" s="7" t="str">
        <f aca="false">HYPERLINK("https://mncourtfraud.com/file/ac369f378e3fbed88e7c1c71d7e27d3af59d79c8d2f8338a6182f69d0e17a2ef.cid","ac369f378e3fbed88e7c1c71d7e27d3af59d79c8d2f8338a6182f69d0e17a2ef")</f>
        <v>ac369f378e3fbed88e7c1c71d7e27d3af59d79c8d2f8338a6182f69d0e17a2ef</v>
      </c>
      <c r="I1424" s="1" t="s">
        <v>3431</v>
      </c>
      <c r="L1424" s="2" t="s">
        <v>3415</v>
      </c>
      <c r="M1424" s="2" t="n">
        <v>14113</v>
      </c>
    </row>
    <row r="1425" customFormat="false" ht="18.7" hidden="false" customHeight="true" outlineLevel="0" collapsed="false">
      <c r="A1425" s="1" t="n">
        <v>1424</v>
      </c>
      <c r="B1425" s="7" t="str">
        <f aca="false">HYPERLINK("https://mncourtfraud.com/file/27-CR-21-13147.pdf","27-CR-21-13147")</f>
        <v>27-CR-21-13147</v>
      </c>
      <c r="C1425" s="1" t="n">
        <v>1</v>
      </c>
      <c r="D1425" s="2" t="s">
        <v>12</v>
      </c>
      <c r="E1425" s="8" t="n">
        <v>44468</v>
      </c>
      <c r="F1425" s="2" t="s">
        <v>24</v>
      </c>
      <c r="G1425" s="7" t="str">
        <f aca="false">HYPERLINK("https://mncourtfraud.com/file/MCRO_27-CR-21-13147_Order for Conditional Release_2021-09-29_20251126183556.pdf","MCRO_27-CR-21-13147_Order for Conditional Release_2021-09-29_20251126183556.pdf")</f>
        <v>MCRO_27-CR-21-13147_Order for Conditional Release_2021-09-29_20251126183556.pdf</v>
      </c>
      <c r="H1425" s="7" t="str">
        <f aca="false">HYPERLINK("https://mncourtfraud.com/file/b1c38e97038ce898a189d377f1fa9f4b673ae497ef07cd779e6d54764f350895.cid","b1c38e97038ce898a189d377f1fa9f4b673ae497ef07cd779e6d54764f350895")</f>
        <v>b1c38e97038ce898a189d377f1fa9f4b673ae497ef07cd779e6d54764f350895</v>
      </c>
      <c r="I1425" s="1" t="s">
        <v>3431</v>
      </c>
      <c r="L1425" s="2" t="s">
        <v>3415</v>
      </c>
      <c r="M1425" s="2" t="n">
        <v>3783</v>
      </c>
    </row>
    <row r="1426" customFormat="false" ht="18.7" hidden="false" customHeight="true" outlineLevel="0" collapsed="false">
      <c r="A1426" s="1" t="n">
        <v>1425</v>
      </c>
      <c r="B1426" s="7" t="str">
        <f aca="false">HYPERLINK("https://mncourtfraud.com/file/27-CR-21-13147.pdf","27-CR-21-13147")</f>
        <v>27-CR-21-13147</v>
      </c>
      <c r="C1426" s="1" t="n">
        <v>1</v>
      </c>
      <c r="D1426" s="2" t="s">
        <v>12</v>
      </c>
      <c r="E1426" s="8" t="n">
        <v>44468</v>
      </c>
      <c r="F1426" s="2" t="s">
        <v>24</v>
      </c>
      <c r="G1426" s="7" t="str">
        <f aca="false">HYPERLINK("https://mncourtfraud.com/file/MCRO_27-CR-21-13147_Order for Conditional Release_2021-09-29_20251126183556.pdf","MCRO_27-CR-21-13147_Order for Conditional Release_2021-09-29_20251126183556.pdf")</f>
        <v>MCRO_27-CR-21-13147_Order for Conditional Release_2021-09-29_20251126183556.pdf</v>
      </c>
      <c r="H1426" s="7" t="str">
        <f aca="false">HYPERLINK("https://mncourtfraud.com/file/ba989ca65f54d43887ebbc930462a840e60360223cb0c16c223e7e9ed46afecb.cid","ba989ca65f54d43887ebbc930462a840e60360223cb0c16c223e7e9ed46afecb")</f>
        <v>ba989ca65f54d43887ebbc930462a840e60360223cb0c16c223e7e9ed46afecb</v>
      </c>
      <c r="I1426" s="1" t="s">
        <v>3431</v>
      </c>
      <c r="L1426" s="2" t="s">
        <v>3415</v>
      </c>
      <c r="M1426" s="2" t="n">
        <v>444</v>
      </c>
    </row>
    <row r="1427" customFormat="false" ht="18.7" hidden="false" customHeight="true" outlineLevel="0" collapsed="false">
      <c r="A1427" s="1" t="n">
        <v>1426</v>
      </c>
      <c r="B1427" s="7" t="str">
        <f aca="false">HYPERLINK("https://mncourtfraud.com/file/27-CR-21-13147.pdf","27-CR-21-13147")</f>
        <v>27-CR-21-13147</v>
      </c>
      <c r="C1427" s="1" t="n">
        <v>1</v>
      </c>
      <c r="D1427" s="2" t="s">
        <v>12</v>
      </c>
      <c r="E1427" s="8" t="n">
        <v>44468</v>
      </c>
      <c r="F1427" s="2" t="s">
        <v>24</v>
      </c>
      <c r="G1427" s="7" t="str">
        <f aca="false">HYPERLINK("https://mncourtfraud.com/file/MCRO_27-CR-21-13147_Order for Conditional Release_2021-09-29_20251126183556.pdf","MCRO_27-CR-21-13147_Order for Conditional Release_2021-09-29_20251126183556.pdf")</f>
        <v>MCRO_27-CR-21-13147_Order for Conditional Release_2021-09-29_20251126183556.pdf</v>
      </c>
      <c r="H1427" s="7" t="str">
        <f aca="false">HYPERLINK("https://mncourtfraud.com/file/db9c8118091788c7a0a30157e363f5dd281f7a35fb525fad58599ee6371079a5.cid","db9c8118091788c7a0a30157e363f5dd281f7a35fb525fad58599ee6371079a5")</f>
        <v>db9c8118091788c7a0a30157e363f5dd281f7a35fb525fad58599ee6371079a5</v>
      </c>
      <c r="I1427" s="1" t="s">
        <v>3431</v>
      </c>
      <c r="L1427" s="2" t="s">
        <v>3415</v>
      </c>
      <c r="M1427" s="2" t="n">
        <v>848</v>
      </c>
    </row>
    <row r="1428" customFormat="false" ht="18.7" hidden="false" customHeight="true" outlineLevel="0" collapsed="false">
      <c r="A1428" s="1" t="n">
        <v>1427</v>
      </c>
      <c r="B1428" s="7" t="str">
        <f aca="false">HYPERLINK("https://mncourtfraud.com/file/27-CR-21-13147.pdf","27-CR-21-13147")</f>
        <v>27-CR-21-13147</v>
      </c>
      <c r="C1428" s="1" t="n">
        <v>1</v>
      </c>
      <c r="D1428" s="2" t="s">
        <v>12</v>
      </c>
      <c r="E1428" s="8" t="n">
        <v>44468</v>
      </c>
      <c r="F1428" s="2" t="s">
        <v>24</v>
      </c>
      <c r="G1428" s="7" t="str">
        <f aca="false">HYPERLINK("https://mncourtfraud.com/file/MCRO_27-CR-21-13147_Order for Conditional Release_2021-09-29_20251126183556.pdf","MCRO_27-CR-21-13147_Order for Conditional Release_2021-09-29_20251126183556.pdf")</f>
        <v>MCRO_27-CR-21-13147_Order for Conditional Release_2021-09-29_20251126183556.pdf</v>
      </c>
      <c r="H1428" s="7" t="str">
        <f aca="false">HYPERLINK("https://mncourtfraud.com/file/e04b4db843c4bf02679b586bdc06323c2777cf59091b22718210a1dd2a0badc7.png","e04b4db843c4bf02679b586bdc06323c2777cf59091b22718210a1dd2a0badc7")</f>
        <v>e04b4db843c4bf02679b586bdc06323c2777cf59091b22718210a1dd2a0badc7</v>
      </c>
      <c r="I1428" s="1" t="s">
        <v>3406</v>
      </c>
      <c r="L1428" s="2" t="s">
        <v>3412</v>
      </c>
      <c r="M1428" s="2" t="n">
        <v>199</v>
      </c>
      <c r="S1428" s="2" t="n">
        <v>7</v>
      </c>
      <c r="T1428" s="2" t="n">
        <v>347</v>
      </c>
    </row>
    <row r="1429" customFormat="false" ht="18.7" hidden="false" customHeight="true" outlineLevel="0" collapsed="false">
      <c r="A1429" s="1" t="n">
        <v>1428</v>
      </c>
      <c r="B1429" s="7" t="str">
        <f aca="false">HYPERLINK("https://mncourtfraud.com/file/27-CR-21-13147.pdf","27-CR-21-13147")</f>
        <v>27-CR-21-13147</v>
      </c>
      <c r="C1429" s="1" t="n">
        <v>1</v>
      </c>
      <c r="D1429" s="2" t="s">
        <v>12</v>
      </c>
      <c r="E1429" s="8" t="n">
        <v>44468</v>
      </c>
      <c r="F1429" s="2" t="s">
        <v>24</v>
      </c>
      <c r="G1429" s="7" t="str">
        <f aca="false">HYPERLINK("https://mncourtfraud.com/file/MCRO_27-CR-21-13147_Order for Conditional Release_2021-09-29_20251126183556.pdf","MCRO_27-CR-21-13147_Order for Conditional Release_2021-09-29_20251126183556.pdf")</f>
        <v>MCRO_27-CR-21-13147_Order for Conditional Release_2021-09-29_20251126183556.pdf</v>
      </c>
      <c r="H1429" s="7" t="str">
        <f aca="false">HYPERLINK("https://mncourtfraud.com/file/edbae421bba147262ba26ef60780ca6dfd5bedce23be39a1f883da7c23dae35f.cid","edbae421bba147262ba26ef60780ca6dfd5bedce23be39a1f883da7c23dae35f")</f>
        <v>edbae421bba147262ba26ef60780ca6dfd5bedce23be39a1f883da7c23dae35f</v>
      </c>
      <c r="I1429" s="1" t="s">
        <v>3431</v>
      </c>
      <c r="L1429" s="2" t="s">
        <v>3415</v>
      </c>
      <c r="M1429" s="2" t="n">
        <v>21348</v>
      </c>
    </row>
    <row r="1430" customFormat="false" ht="18.7" hidden="false" customHeight="true" outlineLevel="0" collapsed="false">
      <c r="A1430" s="1" t="n">
        <v>1429</v>
      </c>
      <c r="B1430" s="7" t="str">
        <f aca="false">HYPERLINK("https://mncourtfraud.com/file/27-CR-21-13147.pdf","27-CR-21-13147")</f>
        <v>27-CR-21-13147</v>
      </c>
      <c r="C1430" s="1" t="n">
        <v>1</v>
      </c>
      <c r="D1430" s="2" t="s">
        <v>12</v>
      </c>
      <c r="E1430" s="8" t="n">
        <v>44468</v>
      </c>
      <c r="F1430" s="2" t="s">
        <v>24</v>
      </c>
      <c r="G1430" s="7" t="str">
        <f aca="false">HYPERLINK("https://mncourtfraud.com/file/MCRO_27-CR-21-13147_Order for Conditional Release_2021-09-29_20251126183556.pdf","MCRO_27-CR-21-13147_Order for Conditional Release_2021-09-29_20251126183556.pdf")</f>
        <v>MCRO_27-CR-21-13147_Order for Conditional Release_2021-09-29_20251126183556.pdf</v>
      </c>
      <c r="H1430" s="7" t="str">
        <f aca="false">HYPERLINK("https://mncourtfraud.com/file/efd944d517e9b552a77a910c5203f04540cf1249b7304a04f4907f542ec53c17.cid","efd944d517e9b552a77a910c5203f04540cf1249b7304a04f4907f542ec53c17")</f>
        <v>efd944d517e9b552a77a910c5203f04540cf1249b7304a04f4907f542ec53c17</v>
      </c>
      <c r="I1430" s="1" t="s">
        <v>3431</v>
      </c>
      <c r="L1430" s="2" t="s">
        <v>3415</v>
      </c>
      <c r="M1430" s="2" t="n">
        <v>5521</v>
      </c>
    </row>
    <row r="1431" customFormat="false" ht="18.7" hidden="false" customHeight="true" outlineLevel="0" collapsed="false">
      <c r="A1431" s="1" t="n">
        <v>1430</v>
      </c>
      <c r="B1431" s="7" t="str">
        <f aca="false">HYPERLINK("https://mncourtfraud.com/file/27-CR-21-13147.pdf","27-CR-21-13147")</f>
        <v>27-CR-21-13147</v>
      </c>
      <c r="C1431" s="1" t="n">
        <v>1</v>
      </c>
      <c r="D1431" s="2" t="s">
        <v>12</v>
      </c>
      <c r="E1431" s="8" t="n">
        <v>44468</v>
      </c>
      <c r="F1431" s="2" t="s">
        <v>24</v>
      </c>
      <c r="G1431" s="7" t="str">
        <f aca="false">HYPERLINK("https://mncourtfraud.com/file/MCRO_27-CR-21-13147_Order for Conditional Release_2021-09-29_20251126183556.pdf","MCRO_27-CR-21-13147_Order for Conditional Release_2021-09-29_20251126183556.pdf")</f>
        <v>MCRO_27-CR-21-13147_Order for Conditional Release_2021-09-29_20251126183556.pdf</v>
      </c>
      <c r="H1431" s="7" t="str">
        <f aca="false">HYPERLINK("https://mncourtfraud.com/file/fe1965a60cba51fe144ad80b55474d56106539ec2835ed039f2e68d2691deed0.cid","fe1965a60cba51fe144ad80b55474d56106539ec2835ed039f2e68d2691deed0")</f>
        <v>fe1965a60cba51fe144ad80b55474d56106539ec2835ed039f2e68d2691deed0</v>
      </c>
      <c r="I1431" s="1" t="s">
        <v>3431</v>
      </c>
      <c r="L1431" s="2" t="s">
        <v>3415</v>
      </c>
      <c r="M1431" s="2" t="n">
        <v>4323</v>
      </c>
    </row>
    <row r="1432" customFormat="false" ht="18.7" hidden="false" customHeight="true" outlineLevel="0" collapsed="false">
      <c r="A1432" s="1" t="n">
        <v>1431</v>
      </c>
      <c r="B1432" s="7" t="str">
        <f aca="false">HYPERLINK("https://mncourtfraud.com/file/27-CR-21-13147.pdf","27-CR-21-13147")</f>
        <v>27-CR-21-13147</v>
      </c>
      <c r="C1432" s="1" t="n">
        <v>1</v>
      </c>
      <c r="D1432" s="2" t="s">
        <v>12</v>
      </c>
      <c r="E1432" s="8" t="n">
        <v>44468</v>
      </c>
      <c r="F1432" s="2" t="s">
        <v>24</v>
      </c>
      <c r="G1432" s="7" t="str">
        <f aca="false">HYPERLINK("https://mncourtfraud.com/file/MCRO_27-CR-21-13147_Order for Conditional Release_2021-09-29_20251126183556.pdf","MCRO_27-CR-21-13147_Order for Conditional Release_2021-09-29_20251126183556.pdf")</f>
        <v>MCRO_27-CR-21-13147_Order for Conditional Release_2021-09-29_20251126183556.pdf</v>
      </c>
      <c r="H1432" s="7" t="str">
        <f aca="false">HYPERLINK("https://mncourtfraud.com/file/ff78f82f1ff3b9436a8d65df586b0bef19dd8fcf1b27941145ca7e723b37620b.cid","ff78f82f1ff3b9436a8d65df586b0bef19dd8fcf1b27941145ca7e723b37620b")</f>
        <v>ff78f82f1ff3b9436a8d65df586b0bef19dd8fcf1b27941145ca7e723b37620b</v>
      </c>
      <c r="I1432" s="1" t="s">
        <v>3431</v>
      </c>
      <c r="L1432" s="2" t="s">
        <v>3415</v>
      </c>
      <c r="M1432" s="2" t="n">
        <v>339</v>
      </c>
    </row>
    <row r="1433" customFormat="false" ht="18.7" hidden="false" customHeight="true" outlineLevel="0" collapsed="false">
      <c r="A1433" s="1" t="n">
        <v>1432</v>
      </c>
      <c r="B1433" s="7" t="str">
        <f aca="false">HYPERLINK("https://mncourtfraud.com/file/27-CR-21-13147.pdf","27-CR-21-13147")</f>
        <v>27-CR-21-13147</v>
      </c>
      <c r="C1433" s="1" t="n">
        <v>1</v>
      </c>
      <c r="D1433" s="2" t="s">
        <v>12</v>
      </c>
      <c r="E1433" s="8" t="n">
        <v>44543</v>
      </c>
      <c r="F1433" s="2" t="s">
        <v>15</v>
      </c>
      <c r="G1433" s="7" t="str">
        <f aca="false">HYPERLINK("https://mncourtfraud.com/file/MCRO_27-CR-21-13147_Order-Evaluation for Competency to Proceed (Rule 20.01)_2021-12-13_20251126183615.pdf","MCRO_27-CR-21-13147_Order-Evaluation for Competency to Proceed (Rule 20.01)_2021-12-13_20251126183615.pdf")</f>
        <v>MCRO_27-CR-21-13147_Order-Evaluation for Competency to Proceed (Rule 20.01)_2021-12-13_20251126183615.pdf</v>
      </c>
      <c r="H1433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1433" s="1" t="s">
        <v>3413</v>
      </c>
      <c r="J1433" s="2" t="s">
        <v>3423</v>
      </c>
      <c r="K1433" s="2" t="s">
        <v>3423</v>
      </c>
      <c r="L1433" s="2" t="s">
        <v>3415</v>
      </c>
      <c r="M1433" s="2" t="n">
        <v>11088</v>
      </c>
    </row>
    <row r="1434" customFormat="false" ht="18.7" hidden="false" customHeight="true" outlineLevel="0" collapsed="false">
      <c r="A1434" s="1" t="n">
        <v>1433</v>
      </c>
      <c r="B1434" s="7" t="str">
        <f aca="false">HYPERLINK("https://mncourtfraud.com/file/27-CR-21-13147.pdf","27-CR-21-13147")</f>
        <v>27-CR-21-13147</v>
      </c>
      <c r="C1434" s="1" t="n">
        <v>1</v>
      </c>
      <c r="D1434" s="2" t="s">
        <v>12</v>
      </c>
      <c r="E1434" s="8" t="n">
        <v>44543</v>
      </c>
      <c r="F1434" s="2" t="s">
        <v>15</v>
      </c>
      <c r="G1434" s="7" t="str">
        <f aca="false">HYPERLINK("https://mncourtfraud.com/file/MCRO_27-CR-21-13147_Order-Evaluation for Competency to Proceed (Rule 20.01)_2021-12-13_20251126183615.pdf","MCRO_27-CR-21-13147_Order-Evaluation for Competency to Proceed (Rule 20.01)_2021-12-13_20251126183615.pdf")</f>
        <v>MCRO_27-CR-21-13147_Order-Evaluation for Competency to Proceed (Rule 20.01)_2021-12-13_20251126183615.pdf</v>
      </c>
      <c r="H1434" s="7" t="str">
        <f aca="false">HYPERLINK("https://mncourtfraud.com/file/22be6394304ce5b678311fefb19c39c8cb0a49d25f23150f1efe21ad14b99c7b.ttf","22be6394304ce5b678311fefb19c39c8cb0a49d25f23150f1efe21ad14b99c7b")</f>
        <v>22be6394304ce5b678311fefb19c39c8cb0a49d25f23150f1efe21ad14b99c7b</v>
      </c>
      <c r="I1434" s="1" t="s">
        <v>3413</v>
      </c>
      <c r="J1434" s="2" t="s">
        <v>3421</v>
      </c>
      <c r="K1434" s="2" t="s">
        <v>3421</v>
      </c>
      <c r="L1434" s="2" t="s">
        <v>3415</v>
      </c>
      <c r="M1434" s="2" t="n">
        <v>117192</v>
      </c>
    </row>
    <row r="1435" customFormat="false" ht="18.7" hidden="false" customHeight="true" outlineLevel="0" collapsed="false">
      <c r="A1435" s="1" t="n">
        <v>1434</v>
      </c>
      <c r="B1435" s="7" t="str">
        <f aca="false">HYPERLINK("https://mncourtfraud.com/file/27-CR-21-13147.pdf","27-CR-21-13147")</f>
        <v>27-CR-21-13147</v>
      </c>
      <c r="C1435" s="1" t="n">
        <v>1</v>
      </c>
      <c r="D1435" s="2" t="s">
        <v>12</v>
      </c>
      <c r="E1435" s="8" t="n">
        <v>44543</v>
      </c>
      <c r="F1435" s="2" t="s">
        <v>15</v>
      </c>
      <c r="G1435" s="7" t="str">
        <f aca="false">HYPERLINK("https://mncourtfraud.com/file/MCRO_27-CR-21-13147_Order-Evaluation for Competency to Proceed (Rule 20.01)_2021-12-13_20251126183615.pdf","MCRO_27-CR-21-13147_Order-Evaluation for Competency to Proceed (Rule 20.01)_2021-12-13_20251126183615.pdf")</f>
        <v>MCRO_27-CR-21-13147_Order-Evaluation for Competency to Proceed (Rule 20.01)_2021-12-13_20251126183615.pdf</v>
      </c>
      <c r="H1435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1435" s="1" t="s">
        <v>3413</v>
      </c>
      <c r="J1435" s="2" t="s">
        <v>3424</v>
      </c>
      <c r="K1435" s="2" t="s">
        <v>3424</v>
      </c>
      <c r="L1435" s="2" t="s">
        <v>3415</v>
      </c>
      <c r="M1435" s="2" t="n">
        <v>14252</v>
      </c>
    </row>
    <row r="1436" customFormat="false" ht="18.7" hidden="false" customHeight="true" outlineLevel="0" collapsed="false">
      <c r="A1436" s="1" t="n">
        <v>1435</v>
      </c>
      <c r="B1436" s="7" t="str">
        <f aca="false">HYPERLINK("https://mncourtfraud.com/file/27-CR-21-13147.pdf","27-CR-21-13147")</f>
        <v>27-CR-21-13147</v>
      </c>
      <c r="C1436" s="1" t="n">
        <v>1</v>
      </c>
      <c r="D1436" s="2" t="s">
        <v>12</v>
      </c>
      <c r="E1436" s="8" t="n">
        <v>44543</v>
      </c>
      <c r="F1436" s="2" t="s">
        <v>15</v>
      </c>
      <c r="G1436" s="7" t="str">
        <f aca="false">HYPERLINK("https://mncourtfraud.com/file/MCRO_27-CR-21-13147_Order-Evaluation for Competency to Proceed (Rule 20.01)_2021-12-13_20251126183615.pdf","MCRO_27-CR-21-13147_Order-Evaluation for Competency to Proceed (Rule 20.01)_2021-12-13_20251126183615.pdf")</f>
        <v>MCRO_27-CR-21-13147_Order-Evaluation for Competency to Proceed (Rule 20.01)_2021-12-13_20251126183615.pdf</v>
      </c>
      <c r="H1436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436" s="1" t="s">
        <v>3406</v>
      </c>
      <c r="K1436" s="2" t="s">
        <v>3420</v>
      </c>
      <c r="L1436" s="2" t="s">
        <v>3408</v>
      </c>
      <c r="M1436" s="2" t="n">
        <v>7306</v>
      </c>
      <c r="O1436" s="2" t="s">
        <v>3409</v>
      </c>
      <c r="P1436" s="2" t="s">
        <v>3410</v>
      </c>
      <c r="S1436" s="2" t="n">
        <v>319</v>
      </c>
      <c r="T1436" s="2" t="n">
        <v>105</v>
      </c>
    </row>
    <row r="1437" customFormat="false" ht="18.7" hidden="false" customHeight="true" outlineLevel="0" collapsed="false">
      <c r="A1437" s="1" t="n">
        <v>1436</v>
      </c>
      <c r="B1437" s="7" t="str">
        <f aca="false">HYPERLINK("https://mncourtfraud.com/file/27-CR-21-13147.pdf","27-CR-21-13147")</f>
        <v>27-CR-21-13147</v>
      </c>
      <c r="C1437" s="1" t="n">
        <v>1</v>
      </c>
      <c r="D1437" s="2" t="s">
        <v>12</v>
      </c>
      <c r="E1437" s="8" t="n">
        <v>44543</v>
      </c>
      <c r="F1437" s="2" t="s">
        <v>15</v>
      </c>
      <c r="G1437" s="7" t="str">
        <f aca="false">HYPERLINK("https://mncourtfraud.com/file/MCRO_27-CR-21-13147_Order-Evaluation for Competency to Proceed (Rule 20.01)_2021-12-13_20251126183615.pdf","MCRO_27-CR-21-13147_Order-Evaluation for Competency to Proceed (Rule 20.01)_2021-12-13_20251126183615.pdf")</f>
        <v>MCRO_27-CR-21-13147_Order-Evaluation for Competency to Proceed (Rule 20.01)_2021-12-13_20251126183615.pdf</v>
      </c>
      <c r="H1437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437" s="1" t="s">
        <v>3406</v>
      </c>
      <c r="K1437" s="2" t="s">
        <v>3425</v>
      </c>
      <c r="L1437" s="2" t="s">
        <v>3408</v>
      </c>
      <c r="M1437" s="2" t="n">
        <v>21225</v>
      </c>
      <c r="O1437" s="2" t="s">
        <v>3409</v>
      </c>
      <c r="P1437" s="2" t="s">
        <v>3410</v>
      </c>
      <c r="S1437" s="2" t="n">
        <v>319</v>
      </c>
      <c r="T1437" s="2" t="n">
        <v>105</v>
      </c>
    </row>
    <row r="1438" customFormat="false" ht="18.7" hidden="false" customHeight="true" outlineLevel="0" collapsed="false">
      <c r="A1438" s="1" t="n">
        <v>1437</v>
      </c>
      <c r="B1438" s="7" t="str">
        <f aca="false">HYPERLINK("https://mncourtfraud.com/file/27-CR-21-13147.pdf","27-CR-21-13147")</f>
        <v>27-CR-21-13147</v>
      </c>
      <c r="C1438" s="1" t="n">
        <v>1</v>
      </c>
      <c r="D1438" s="2" t="s">
        <v>12</v>
      </c>
      <c r="E1438" s="8" t="n">
        <v>44543</v>
      </c>
      <c r="F1438" s="2" t="s">
        <v>15</v>
      </c>
      <c r="G1438" s="7" t="str">
        <f aca="false">HYPERLINK("https://mncourtfraud.com/file/MCRO_27-CR-21-13147_Order-Evaluation for Competency to Proceed (Rule 20.01)_2021-12-13_20251126183615.pdf","MCRO_27-CR-21-13147_Order-Evaluation for Competency to Proceed (Rule 20.01)_2021-12-13_20251126183615.pdf")</f>
        <v>MCRO_27-CR-21-13147_Order-Evaluation for Competency to Proceed (Rule 20.01)_2021-12-13_20251126183615.pdf</v>
      </c>
      <c r="H1438" s="7" t="str">
        <f aca="false">HYPERLINK("https://mncourtfraud.com/file/f942eca43ffd6bdbf3ee942fee873a73c8baea7707298295b91918b6d8b6d6ee.ttf","f942eca43ffd6bdbf3ee942fee873a73c8baea7707298295b91918b6d8b6d6ee")</f>
        <v>f942eca43ffd6bdbf3ee942fee873a73c8baea7707298295b91918b6d8b6d6ee</v>
      </c>
      <c r="I1438" s="1" t="s">
        <v>3413</v>
      </c>
      <c r="J1438" s="2" t="s">
        <v>3422</v>
      </c>
      <c r="K1438" s="2" t="s">
        <v>3422</v>
      </c>
      <c r="L1438" s="2" t="s">
        <v>3415</v>
      </c>
      <c r="M1438" s="2" t="n">
        <v>125444</v>
      </c>
    </row>
    <row r="1439" customFormat="false" ht="18.7" hidden="false" customHeight="true" outlineLevel="0" collapsed="false">
      <c r="A1439" s="1" t="n">
        <v>1438</v>
      </c>
      <c r="B1439" s="7" t="str">
        <f aca="false">HYPERLINK("https://mncourtfraud.com/file/27-CR-21-13147.pdf","27-CR-21-13147")</f>
        <v>27-CR-21-13147</v>
      </c>
      <c r="C1439" s="1" t="n">
        <v>1</v>
      </c>
      <c r="D1439" s="2" t="s">
        <v>12</v>
      </c>
      <c r="E1439" s="8" t="n">
        <v>44558</v>
      </c>
      <c r="F1439" s="2" t="s">
        <v>15</v>
      </c>
      <c r="G1439" s="7" t="str">
        <f aca="false">HYPERLINK("https://mncourtfraud.com/file/MCRO_27-CR-21-13147_Order-Evaluation for Competency to Proceed (Rule 20.01)_2021-12-28_20251126183624.pdf","MCRO_27-CR-21-13147_Order-Evaluation for Competency to Proceed (Rule 20.01)_2021-12-28_20251126183624.pdf")</f>
        <v>MCRO_27-CR-21-13147_Order-Evaluation for Competency to Proceed (Rule 20.01)_2021-12-28_20251126183624.pdf</v>
      </c>
      <c r="H1439" s="7" t="str">
        <f aca="false">HYPERLINK("https://mncourtfraud.com/file/996fc3eef7f77dabd5cc5cbc4cb356101690597283ebd9d04094e165a625111c.png","996fc3eef7f77dabd5cc5cbc4cb356101690597283ebd9d04094e165a625111c")</f>
        <v>996fc3eef7f77dabd5cc5cbc4cb356101690597283ebd9d04094e165a625111c</v>
      </c>
      <c r="I1439" s="1" t="s">
        <v>3406</v>
      </c>
      <c r="L1439" s="2" t="s">
        <v>3412</v>
      </c>
      <c r="M1439" s="2" t="n">
        <v>98447</v>
      </c>
      <c r="S1439" s="2" t="n">
        <v>2550</v>
      </c>
      <c r="T1439" s="2" t="n">
        <v>3300</v>
      </c>
    </row>
    <row r="1440" customFormat="false" ht="18.7" hidden="false" customHeight="true" outlineLevel="0" collapsed="false">
      <c r="A1440" s="1" t="n">
        <v>1439</v>
      </c>
      <c r="B1440" s="7" t="str">
        <f aca="false">HYPERLINK("https://mncourtfraud.com/file/27-CR-21-13147.pdf","27-CR-21-13147")</f>
        <v>27-CR-21-13147</v>
      </c>
      <c r="C1440" s="1" t="n">
        <v>1</v>
      </c>
      <c r="D1440" s="2" t="s">
        <v>12</v>
      </c>
      <c r="E1440" s="8" t="n">
        <v>44558</v>
      </c>
      <c r="F1440" s="2" t="s">
        <v>15</v>
      </c>
      <c r="G1440" s="7" t="str">
        <f aca="false">HYPERLINK("https://mncourtfraud.com/file/MCRO_27-CR-21-13147_Order-Evaluation for Competency to Proceed (Rule 20.01)_2021-12-28_20251126183624.pdf","MCRO_27-CR-21-13147_Order-Evaluation for Competency to Proceed (Rule 20.01)_2021-12-28_20251126183624.pdf")</f>
        <v>MCRO_27-CR-21-13147_Order-Evaluation for Competency to Proceed (Rule 20.01)_2021-12-28_20251126183624.pdf</v>
      </c>
      <c r="H1440" s="7" t="str">
        <f aca="false">HYPERLINK("https://mncourtfraud.com/file/e576a0d6179c3264c2019901550748cd15d2fa834a0b828ede31a2b8c7837a22.png","e576a0d6179c3264c2019901550748cd15d2fa834a0b828ede31a2b8c7837a22")</f>
        <v>e576a0d6179c3264c2019901550748cd15d2fa834a0b828ede31a2b8c7837a22</v>
      </c>
      <c r="I1440" s="1" t="s">
        <v>3406</v>
      </c>
      <c r="L1440" s="2" t="s">
        <v>3412</v>
      </c>
      <c r="M1440" s="2" t="n">
        <v>155795</v>
      </c>
      <c r="S1440" s="2" t="n">
        <v>2550</v>
      </c>
      <c r="T1440" s="2" t="n">
        <v>3300</v>
      </c>
    </row>
    <row r="1441" customFormat="false" ht="18.7" hidden="false" customHeight="true" outlineLevel="0" collapsed="false">
      <c r="A1441" s="1" t="n">
        <v>1440</v>
      </c>
      <c r="B1441" s="7" t="str">
        <f aca="false">HYPERLINK("https://mncourtfraud.com/file/27-CR-21-13147.pdf","27-CR-21-13147")</f>
        <v>27-CR-21-13147</v>
      </c>
      <c r="C1441" s="1" t="n">
        <v>1</v>
      </c>
      <c r="D1441" s="2" t="s">
        <v>12</v>
      </c>
      <c r="E1441" s="8" t="n">
        <v>44558</v>
      </c>
      <c r="F1441" s="2" t="s">
        <v>15</v>
      </c>
      <c r="G1441" s="7" t="str">
        <f aca="false">HYPERLINK("https://mncourtfraud.com/file/MCRO_27-CR-21-13147_Order-Evaluation for Competency to Proceed (Rule 20.01)_2021-12-28_20251126183624.pdf","MCRO_27-CR-21-13147_Order-Evaluation for Competency to Proceed (Rule 20.01)_2021-12-28_20251126183624.pdf")</f>
        <v>MCRO_27-CR-21-13147_Order-Evaluation for Competency to Proceed (Rule 20.01)_2021-12-28_20251126183624.pdf</v>
      </c>
      <c r="H1441" s="7" t="str">
        <f aca="false">HYPERLINK("https://mncourtfraud.com/file/eb70f4d82c2b43968c61e4df52345d7256eae0623381a7afaf0b6d6294441c16.ttf","eb70f4d82c2b43968c61e4df52345d7256eae0623381a7afaf0b6d6294441c16")</f>
        <v>eb70f4d82c2b43968c61e4df52345d7256eae0623381a7afaf0b6d6294441c16</v>
      </c>
      <c r="I1441" s="1" t="s">
        <v>3413</v>
      </c>
      <c r="L1441" s="2" t="s">
        <v>3415</v>
      </c>
      <c r="M1441" s="2" t="n">
        <v>333576</v>
      </c>
    </row>
    <row r="1442" customFormat="false" ht="18.7" hidden="false" customHeight="true" outlineLevel="0" collapsed="false">
      <c r="A1442" s="1" t="n">
        <v>1441</v>
      </c>
      <c r="B1442" s="7" t="str">
        <f aca="false">HYPERLINK("https://mncourtfraud.com/file/27-CR-21-13147.pdf","27-CR-21-13147")</f>
        <v>27-CR-21-13147</v>
      </c>
      <c r="C1442" s="1" t="n">
        <v>1</v>
      </c>
      <c r="D1442" s="2" t="s">
        <v>12</v>
      </c>
      <c r="E1442" s="8" t="n">
        <v>44558</v>
      </c>
      <c r="F1442" s="2" t="s">
        <v>15</v>
      </c>
      <c r="G1442" s="7" t="str">
        <f aca="false">HYPERLINK("https://mncourtfraud.com/file/MCRO_27-CR-21-13147_Order-Evaluation for Competency to Proceed (Rule 20.01)_2021-12-28_20251126183624.pdf","MCRO_27-CR-21-13147_Order-Evaluation for Competency to Proceed (Rule 20.01)_2021-12-28_20251126183624.pdf")</f>
        <v>MCRO_27-CR-21-13147_Order-Evaluation for Competency to Proceed (Rule 20.01)_2021-12-28_20251126183624.pdf</v>
      </c>
      <c r="H1442" s="7" t="str">
        <f aca="false">HYPERLINK("https://mncourtfraud.com/file/f005b32d598ce3f1f55f4e093c5d53614321e1511974e5cbb85549ccf1f8e8b6.png","f005b32d598ce3f1f55f4e093c5d53614321e1511974e5cbb85549ccf1f8e8b6")</f>
        <v>f005b32d598ce3f1f55f4e093c5d53614321e1511974e5cbb85549ccf1f8e8b6</v>
      </c>
      <c r="I1442" s="1" t="s">
        <v>3406</v>
      </c>
      <c r="L1442" s="2" t="s">
        <v>3412</v>
      </c>
      <c r="M1442" s="2" t="n">
        <v>130067</v>
      </c>
      <c r="S1442" s="2" t="n">
        <v>2550</v>
      </c>
      <c r="T1442" s="2" t="n">
        <v>3300</v>
      </c>
    </row>
    <row r="1443" customFormat="false" ht="18.7" hidden="false" customHeight="true" outlineLevel="0" collapsed="false">
      <c r="A1443" s="1" t="n">
        <v>1442</v>
      </c>
      <c r="B1443" s="7" t="str">
        <f aca="false">HYPERLINK("https://mncourtfraud.com/file/27-CR-21-13147.pdf","27-CR-21-13147")</f>
        <v>27-CR-21-13147</v>
      </c>
      <c r="C1443" s="1" t="n">
        <v>1</v>
      </c>
      <c r="D1443" s="2" t="s">
        <v>12</v>
      </c>
      <c r="E1443" s="8" t="n">
        <v>44593</v>
      </c>
      <c r="F1443" s="2" t="s">
        <v>19</v>
      </c>
      <c r="G1443" s="7" t="str">
        <f aca="false">HYPERLINK("https://mncourtfraud.com/file/MCRO_27-CR-21-13147_Findings and Order_2022-02-01_20251126183510.pdf","MCRO_27-CR-21-13147_Findings and Order_2022-02-01_20251126183510.pdf")</f>
        <v>MCRO_27-CR-21-13147_Findings and Order_2022-02-01_20251126183510.pdf</v>
      </c>
      <c r="H1443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1443" s="1" t="s">
        <v>3413</v>
      </c>
      <c r="J1443" s="2" t="s">
        <v>3426</v>
      </c>
      <c r="K1443" s="2" t="s">
        <v>3426</v>
      </c>
      <c r="L1443" s="2" t="s">
        <v>3415</v>
      </c>
      <c r="M1443" s="2" t="n">
        <v>74997</v>
      </c>
      <c r="N1443" s="2" t="s">
        <v>3427</v>
      </c>
    </row>
    <row r="1444" customFormat="false" ht="18.7" hidden="false" customHeight="true" outlineLevel="0" collapsed="false">
      <c r="A1444" s="1" t="n">
        <v>1443</v>
      </c>
      <c r="B1444" s="7" t="str">
        <f aca="false">HYPERLINK("https://mncourtfraud.com/file/27-CR-21-13147.pdf","27-CR-21-13147")</f>
        <v>27-CR-21-13147</v>
      </c>
      <c r="C1444" s="1" t="n">
        <v>1</v>
      </c>
      <c r="D1444" s="2" t="s">
        <v>12</v>
      </c>
      <c r="E1444" s="8" t="n">
        <v>44593</v>
      </c>
      <c r="F1444" s="2" t="s">
        <v>19</v>
      </c>
      <c r="G1444" s="7" t="str">
        <f aca="false">HYPERLINK("https://mncourtfraud.com/file/MCRO_27-CR-21-13147_Findings and Order_2022-02-01_20251126183510.pdf","MCRO_27-CR-21-13147_Findings and Order_2022-02-01_20251126183510.pdf")</f>
        <v>MCRO_27-CR-21-13147_Findings and Order_2022-02-01_20251126183510.pdf</v>
      </c>
      <c r="H1444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1444" s="1" t="s">
        <v>3428</v>
      </c>
      <c r="J1444" s="2" t="s">
        <v>3429</v>
      </c>
      <c r="K1444" s="2" t="s">
        <v>3429</v>
      </c>
      <c r="L1444" s="2" t="s">
        <v>3415</v>
      </c>
      <c r="M1444" s="2" t="n">
        <v>86093</v>
      </c>
    </row>
    <row r="1445" customFormat="false" ht="18.7" hidden="false" customHeight="true" outlineLevel="0" collapsed="false">
      <c r="A1445" s="1" t="n">
        <v>1444</v>
      </c>
      <c r="B1445" s="7" t="str">
        <f aca="false">HYPERLINK("https://mncourtfraud.com/file/27-CR-21-13147.pdf","27-CR-21-13147")</f>
        <v>27-CR-21-13147</v>
      </c>
      <c r="C1445" s="1" t="n">
        <v>1</v>
      </c>
      <c r="D1445" s="2" t="s">
        <v>12</v>
      </c>
      <c r="E1445" s="8" t="n">
        <v>44593</v>
      </c>
      <c r="F1445" s="2" t="s">
        <v>19</v>
      </c>
      <c r="G1445" s="7" t="str">
        <f aca="false">HYPERLINK("https://mncourtfraud.com/file/MCRO_27-CR-21-13147_Findings and Order_2022-02-01_20251126183510.pdf","MCRO_27-CR-21-13147_Findings and Order_2022-02-01_20251126183510.pdf")</f>
        <v>MCRO_27-CR-21-13147_Findings and Order_2022-02-01_20251126183510.pdf</v>
      </c>
      <c r="H1445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1445" s="1" t="s">
        <v>3413</v>
      </c>
      <c r="J1445" s="2" t="s">
        <v>3414</v>
      </c>
      <c r="K1445" s="2" t="s">
        <v>3414</v>
      </c>
      <c r="L1445" s="2" t="s">
        <v>3415</v>
      </c>
      <c r="M1445" s="2" t="n">
        <v>42332</v>
      </c>
    </row>
    <row r="1446" customFormat="false" ht="18.7" hidden="false" customHeight="true" outlineLevel="0" collapsed="false">
      <c r="A1446" s="1" t="n">
        <v>1445</v>
      </c>
      <c r="B1446" s="7" t="str">
        <f aca="false">HYPERLINK("https://mncourtfraud.com/file/27-CR-21-13147.pdf","27-CR-21-13147")</f>
        <v>27-CR-21-13147</v>
      </c>
      <c r="C1446" s="1" t="n">
        <v>1</v>
      </c>
      <c r="D1446" s="2" t="s">
        <v>12</v>
      </c>
      <c r="E1446" s="8" t="n">
        <v>44593</v>
      </c>
      <c r="F1446" s="2" t="s">
        <v>19</v>
      </c>
      <c r="G1446" s="7" t="str">
        <f aca="false">HYPERLINK("https://mncourtfraud.com/file/MCRO_27-CR-21-13147_Findings and Order_2022-02-01_20251126183510.pdf","MCRO_27-CR-21-13147_Findings and Order_2022-02-01_20251126183510.pdf")</f>
        <v>MCRO_27-CR-21-13147_Findings and Order_2022-02-01_20251126183510.pdf</v>
      </c>
      <c r="H1446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1446" s="1" t="s">
        <v>3413</v>
      </c>
      <c r="J1446" s="2" t="s">
        <v>3414</v>
      </c>
      <c r="K1446" s="2" t="s">
        <v>3414</v>
      </c>
      <c r="L1446" s="2" t="s">
        <v>3415</v>
      </c>
      <c r="M1446" s="2" t="n">
        <v>42332</v>
      </c>
    </row>
    <row r="1447" customFormat="false" ht="18.7" hidden="false" customHeight="true" outlineLevel="0" collapsed="false">
      <c r="A1447" s="1" t="n">
        <v>1446</v>
      </c>
      <c r="B1447" s="7" t="str">
        <f aca="false">HYPERLINK("https://mncourtfraud.com/file/27-CR-21-13147.pdf","27-CR-21-13147")</f>
        <v>27-CR-21-13147</v>
      </c>
      <c r="C1447" s="1" t="n">
        <v>1</v>
      </c>
      <c r="D1447" s="2" t="s">
        <v>12</v>
      </c>
      <c r="E1447" s="8" t="n">
        <v>44593</v>
      </c>
      <c r="F1447" s="2" t="s">
        <v>19</v>
      </c>
      <c r="G1447" s="7" t="str">
        <f aca="false">HYPERLINK("https://mncourtfraud.com/file/MCRO_27-CR-21-13147_Findings and Order_2022-02-01_20251126183510.pdf","MCRO_27-CR-21-13147_Findings and Order_2022-02-01_20251126183510.pdf")</f>
        <v>MCRO_27-CR-21-13147_Findings and Order_2022-02-01_20251126183510.pdf</v>
      </c>
      <c r="H1447" s="7" t="str">
        <f aca="false">HYPERLINK("https://mncourtfraud.com/file/d1e06f7a12c8d4ae1de62861dbfeadf4f6b52b1cfd6801e548bc1d08782c1451.ttf","d1e06f7a12c8d4ae1de62861dbfeadf4f6b52b1cfd6801e548bc1d08782c1451")</f>
        <v>d1e06f7a12c8d4ae1de62861dbfeadf4f6b52b1cfd6801e548bc1d08782c1451</v>
      </c>
      <c r="I1447" s="1" t="s">
        <v>3413</v>
      </c>
      <c r="J1447" s="2" t="s">
        <v>3414</v>
      </c>
      <c r="K1447" s="2" t="s">
        <v>3416</v>
      </c>
      <c r="L1447" s="2" t="s">
        <v>3415</v>
      </c>
      <c r="M1447" s="2" t="n">
        <v>28584</v>
      </c>
    </row>
    <row r="1448" customFormat="false" ht="18.7" hidden="false" customHeight="true" outlineLevel="0" collapsed="false">
      <c r="A1448" s="1" t="n">
        <v>1447</v>
      </c>
      <c r="B1448" s="7" t="str">
        <f aca="false">HYPERLINK("https://mncourtfraud.com/file/27-CR-21-13147.pdf","27-CR-21-13147")</f>
        <v>27-CR-21-13147</v>
      </c>
      <c r="C1448" s="1" t="n">
        <v>1</v>
      </c>
      <c r="D1448" s="2" t="s">
        <v>12</v>
      </c>
      <c r="E1448" s="8" t="n">
        <v>44593</v>
      </c>
      <c r="F1448" s="2" t="s">
        <v>19</v>
      </c>
      <c r="G1448" s="7" t="str">
        <f aca="false">HYPERLINK("https://mncourtfraud.com/file/MCRO_27-CR-21-13147_Findings and Order_2022-02-01_20251126183510.pdf","MCRO_27-CR-21-13147_Findings and Order_2022-02-01_20251126183510.pdf")</f>
        <v>MCRO_27-CR-21-13147_Findings and Order_2022-02-01_20251126183510.pdf</v>
      </c>
      <c r="H1448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1448" s="1" t="s">
        <v>3406</v>
      </c>
      <c r="K1448" s="2" t="s">
        <v>3430</v>
      </c>
      <c r="L1448" s="2" t="s">
        <v>3408</v>
      </c>
      <c r="M1448" s="2" t="n">
        <v>28069</v>
      </c>
      <c r="O1448" s="2" t="s">
        <v>3409</v>
      </c>
      <c r="P1448" s="2" t="s">
        <v>3410</v>
      </c>
      <c r="S1448" s="2" t="n">
        <v>448</v>
      </c>
      <c r="T1448" s="2" t="n">
        <v>128</v>
      </c>
    </row>
    <row r="1449" customFormat="false" ht="18.7" hidden="false" customHeight="true" outlineLevel="0" collapsed="false">
      <c r="A1449" s="1" t="n">
        <v>1448</v>
      </c>
      <c r="B1449" s="7" t="str">
        <f aca="false">HYPERLINK("https://mncourtfraud.com/file/27-CR-21-13147.pdf","27-CR-21-13147")</f>
        <v>27-CR-21-13147</v>
      </c>
      <c r="C1449" s="1" t="n">
        <v>1</v>
      </c>
      <c r="D1449" s="2" t="s">
        <v>12</v>
      </c>
      <c r="E1449" s="8" t="n">
        <v>44692</v>
      </c>
      <c r="F1449" s="2" t="s">
        <v>15</v>
      </c>
      <c r="G1449" s="7" t="str">
        <f aca="false">HYPERLINK("https://mncourtfraud.com/file/MCRO_27-CR-21-13147_Order-Evaluation for Competency to Proceed (Rule 20.01)_2022-05-11_20251126183632.pdf","MCRO_27-CR-21-13147_Order-Evaluation for Competency to Proceed (Rule 20.01)_2022-05-11_20251126183632.pdf")</f>
        <v>MCRO_27-CR-21-13147_Order-Evaluation for Competency to Proceed (Rule 20.01)_2022-05-11_20251126183632.pdf</v>
      </c>
      <c r="H1449" s="7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1449" s="1" t="s">
        <v>3406</v>
      </c>
      <c r="K1449" s="2" t="s">
        <v>3432</v>
      </c>
      <c r="L1449" s="2" t="s">
        <v>3408</v>
      </c>
      <c r="M1449" s="2" t="n">
        <v>21121</v>
      </c>
      <c r="O1449" s="2" t="s">
        <v>3409</v>
      </c>
      <c r="P1449" s="2" t="s">
        <v>3410</v>
      </c>
      <c r="S1449" s="2" t="n">
        <v>695</v>
      </c>
      <c r="T1449" s="2" t="n">
        <v>233</v>
      </c>
    </row>
    <row r="1450" customFormat="false" ht="18.7" hidden="false" customHeight="true" outlineLevel="0" collapsed="false">
      <c r="A1450" s="1" t="n">
        <v>1449</v>
      </c>
      <c r="B1450" s="7" t="str">
        <f aca="false">HYPERLINK("https://mncourtfraud.com/file/27-CR-21-13147.pdf","27-CR-21-13147")</f>
        <v>27-CR-21-13147</v>
      </c>
      <c r="C1450" s="1" t="n">
        <v>1</v>
      </c>
      <c r="D1450" s="2" t="s">
        <v>12</v>
      </c>
      <c r="E1450" s="8" t="n">
        <v>44692</v>
      </c>
      <c r="F1450" s="2" t="s">
        <v>15</v>
      </c>
      <c r="G1450" s="7" t="str">
        <f aca="false">HYPERLINK("https://mncourtfraud.com/file/MCRO_27-CR-21-13147_Order-Evaluation for Competency to Proceed (Rule 20.01)_2022-05-11_20251126183632.pdf","MCRO_27-CR-21-13147_Order-Evaluation for Competency to Proceed (Rule 20.01)_2022-05-11_20251126183632.pdf")</f>
        <v>MCRO_27-CR-21-13147_Order-Evaluation for Competency to Proceed (Rule 20.01)_2022-05-11_20251126183632.pdf</v>
      </c>
      <c r="H1450" s="7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1450" s="1" t="s">
        <v>3406</v>
      </c>
      <c r="K1450" s="2" t="s">
        <v>3433</v>
      </c>
      <c r="L1450" s="2" t="s">
        <v>3408</v>
      </c>
      <c r="M1450" s="2" t="n">
        <v>53838</v>
      </c>
      <c r="O1450" s="2" t="s">
        <v>3409</v>
      </c>
      <c r="P1450" s="2" t="s">
        <v>3410</v>
      </c>
      <c r="S1450" s="2" t="n">
        <v>695</v>
      </c>
      <c r="T1450" s="2" t="n">
        <v>233</v>
      </c>
    </row>
    <row r="1451" customFormat="false" ht="18.7" hidden="false" customHeight="true" outlineLevel="0" collapsed="false">
      <c r="A1451" s="1" t="n">
        <v>1450</v>
      </c>
      <c r="B1451" s="7" t="str">
        <f aca="false">HYPERLINK("https://mncourtfraud.com/file/27-CR-21-13147.pdf","27-CR-21-13147")</f>
        <v>27-CR-21-13147</v>
      </c>
      <c r="C1451" s="1" t="n">
        <v>1</v>
      </c>
      <c r="D1451" s="2" t="s">
        <v>12</v>
      </c>
      <c r="E1451" s="8" t="n">
        <v>44692</v>
      </c>
      <c r="F1451" s="2" t="s">
        <v>15</v>
      </c>
      <c r="G1451" s="7" t="str">
        <f aca="false">HYPERLINK("https://mncourtfraud.com/file/MCRO_27-CR-21-13147_Order-Evaluation for Competency to Proceed (Rule 20.01)_2022-05-11_20251126183632.pdf","MCRO_27-CR-21-13147_Order-Evaluation for Competency to Proceed (Rule 20.01)_2022-05-11_20251126183632.pdf")</f>
        <v>MCRO_27-CR-21-13147_Order-Evaluation for Competency to Proceed (Rule 20.01)_2022-05-11_20251126183632.pdf</v>
      </c>
      <c r="H1451" s="7" t="str">
        <f aca="false">HYPERLINK("https://mncourtfraud.com/file/322fe0e9595a4df4693edf307e5f8a42a470721d59f006a7b0e86def92125a58.ttf","322fe0e9595a4df4693edf307e5f8a42a470721d59f006a7b0e86def92125a58")</f>
        <v>322fe0e9595a4df4693edf307e5f8a42a470721d59f006a7b0e86def92125a58</v>
      </c>
      <c r="I1451" s="1" t="s">
        <v>3413</v>
      </c>
      <c r="J1451" s="2" t="s">
        <v>3434</v>
      </c>
      <c r="K1451" s="2" t="s">
        <v>3434</v>
      </c>
      <c r="L1451" s="2" t="s">
        <v>3415</v>
      </c>
      <c r="M1451" s="2" t="n">
        <v>46736</v>
      </c>
      <c r="N1451" s="2" t="s">
        <v>3435</v>
      </c>
    </row>
    <row r="1452" customFormat="false" ht="18.7" hidden="false" customHeight="true" outlineLevel="0" collapsed="false">
      <c r="A1452" s="1" t="n">
        <v>1451</v>
      </c>
      <c r="B1452" s="7" t="str">
        <f aca="false">HYPERLINK("https://mncourtfraud.com/file/27-CR-21-13147.pdf","27-CR-21-13147")</f>
        <v>27-CR-21-13147</v>
      </c>
      <c r="C1452" s="1" t="n">
        <v>1</v>
      </c>
      <c r="D1452" s="2" t="s">
        <v>12</v>
      </c>
      <c r="E1452" s="8" t="n">
        <v>44692</v>
      </c>
      <c r="F1452" s="2" t="s">
        <v>15</v>
      </c>
      <c r="G1452" s="7" t="str">
        <f aca="false">HYPERLINK("https://mncourtfraud.com/file/MCRO_27-CR-21-13147_Order-Evaluation for Competency to Proceed (Rule 20.01)_2022-05-11_20251126183632.pdf","MCRO_27-CR-21-13147_Order-Evaluation for Competency to Proceed (Rule 20.01)_2022-05-11_20251126183632.pdf")</f>
        <v>MCRO_27-CR-21-13147_Order-Evaluation for Competency to Proceed (Rule 20.01)_2022-05-11_20251126183632.pdf</v>
      </c>
      <c r="H1452" s="7" t="str">
        <f aca="false">HYPERLINK("https://mncourtfraud.com/file/32ebada21768d6238e03c647b5e5acdf6ce656f0735d59c3fb698ce40418a709.ttf","32ebada21768d6238e03c647b5e5acdf6ce656f0735d59c3fb698ce40418a709")</f>
        <v>32ebada21768d6238e03c647b5e5acdf6ce656f0735d59c3fb698ce40418a709</v>
      </c>
      <c r="I1452" s="1" t="s">
        <v>3413</v>
      </c>
      <c r="J1452" s="2" t="s">
        <v>3436</v>
      </c>
      <c r="K1452" s="2" t="s">
        <v>3436</v>
      </c>
      <c r="L1452" s="2" t="s">
        <v>3415</v>
      </c>
      <c r="M1452" s="2" t="n">
        <v>65744</v>
      </c>
      <c r="N1452" s="2" t="s">
        <v>3437</v>
      </c>
    </row>
    <row r="1453" customFormat="false" ht="18.7" hidden="false" customHeight="true" outlineLevel="0" collapsed="false">
      <c r="A1453" s="1" t="n">
        <v>1452</v>
      </c>
      <c r="B1453" s="7" t="str">
        <f aca="false">HYPERLINK("https://mncourtfraud.com/file/27-CR-21-13147.pdf","27-CR-21-13147")</f>
        <v>27-CR-21-13147</v>
      </c>
      <c r="C1453" s="1" t="n">
        <v>1</v>
      </c>
      <c r="D1453" s="2" t="s">
        <v>12</v>
      </c>
      <c r="E1453" s="8" t="n">
        <v>44692</v>
      </c>
      <c r="F1453" s="2" t="s">
        <v>15</v>
      </c>
      <c r="G1453" s="7" t="str">
        <f aca="false">HYPERLINK("https://mncourtfraud.com/file/MCRO_27-CR-21-13147_Order-Evaluation for Competency to Proceed (Rule 20.01)_2022-05-11_20251126183632.pdf","MCRO_27-CR-21-13147_Order-Evaluation for Competency to Proceed (Rule 20.01)_2022-05-11_20251126183632.pdf")</f>
        <v>MCRO_27-CR-21-13147_Order-Evaluation for Competency to Proceed (Rule 20.01)_2022-05-11_20251126183632.pdf</v>
      </c>
      <c r="H1453" s="7" t="str">
        <f aca="false">HYPERLINK("https://mncourtfraud.com/file/694dcb82a5515430b7fddfbf16881b942820c8c41fee3eea3505a20c7d4e41e6.ttf","694dcb82a5515430b7fddfbf16881b942820c8c41fee3eea3505a20c7d4e41e6")</f>
        <v>694dcb82a5515430b7fddfbf16881b942820c8c41fee3eea3505a20c7d4e41e6</v>
      </c>
      <c r="I1453" s="1" t="s">
        <v>3413</v>
      </c>
      <c r="J1453" s="2" t="s">
        <v>3438</v>
      </c>
      <c r="K1453" s="2" t="s">
        <v>3438</v>
      </c>
      <c r="L1453" s="2" t="s">
        <v>3415</v>
      </c>
      <c r="M1453" s="2" t="n">
        <v>72828</v>
      </c>
      <c r="N1453" s="2" t="s">
        <v>3439</v>
      </c>
    </row>
    <row r="1454" customFormat="false" ht="18.7" hidden="false" customHeight="true" outlineLevel="0" collapsed="false">
      <c r="A1454" s="1" t="n">
        <v>1453</v>
      </c>
      <c r="B1454" s="7" t="str">
        <f aca="false">HYPERLINK("https://mncourtfraud.com/file/27-CR-21-13147.pdf","27-CR-21-13147")</f>
        <v>27-CR-21-13147</v>
      </c>
      <c r="C1454" s="1" t="n">
        <v>1</v>
      </c>
      <c r="D1454" s="2" t="s">
        <v>12</v>
      </c>
      <c r="E1454" s="8" t="n">
        <v>44692</v>
      </c>
      <c r="F1454" s="2" t="s">
        <v>15</v>
      </c>
      <c r="G1454" s="7" t="str">
        <f aca="false">HYPERLINK("https://mncourtfraud.com/file/MCRO_27-CR-21-13147_Order-Evaluation for Competency to Proceed (Rule 20.01)_2022-05-11_20251126183632.pdf","MCRO_27-CR-21-13147_Order-Evaluation for Competency to Proceed (Rule 20.01)_2022-05-11_20251126183632.pdf")</f>
        <v>MCRO_27-CR-21-13147_Order-Evaluation for Competency to Proceed (Rule 20.01)_2022-05-11_20251126183632.pdf</v>
      </c>
      <c r="H1454" s="7" t="str">
        <f aca="false">HYPERLINK("https://mncourtfraud.com/file/87764021d6d62f7c396208d3f1fa8113e5ad5f90bd03c35e7200536389af4e6a.ttf","87764021d6d62f7c396208d3f1fa8113e5ad5f90bd03c35e7200536389af4e6a")</f>
        <v>87764021d6d62f7c396208d3f1fa8113e5ad5f90bd03c35e7200536389af4e6a</v>
      </c>
      <c r="I1454" s="1" t="s">
        <v>3413</v>
      </c>
      <c r="J1454" s="2" t="s">
        <v>3440</v>
      </c>
      <c r="K1454" s="2" t="s">
        <v>3440</v>
      </c>
      <c r="L1454" s="2" t="s">
        <v>3415</v>
      </c>
      <c r="M1454" s="2" t="n">
        <v>6280</v>
      </c>
      <c r="N1454" s="2" t="s">
        <v>3441</v>
      </c>
    </row>
    <row r="1455" customFormat="false" ht="18.7" hidden="false" customHeight="true" outlineLevel="0" collapsed="false">
      <c r="A1455" s="1" t="n">
        <v>1454</v>
      </c>
      <c r="B1455" s="7" t="str">
        <f aca="false">HYPERLINK("https://mncourtfraud.com/file/27-CR-21-13147.pdf","27-CR-21-13147")</f>
        <v>27-CR-21-13147</v>
      </c>
      <c r="C1455" s="1" t="n">
        <v>1</v>
      </c>
      <c r="D1455" s="2" t="s">
        <v>12</v>
      </c>
      <c r="E1455" s="8" t="n">
        <v>44692</v>
      </c>
      <c r="F1455" s="2" t="s">
        <v>15</v>
      </c>
      <c r="G1455" s="7" t="str">
        <f aca="false">HYPERLINK("https://mncourtfraud.com/file/MCRO_27-CR-21-13147_Order-Evaluation for Competency to Proceed (Rule 20.01)_2022-05-11_20251126183632.pdf","MCRO_27-CR-21-13147_Order-Evaluation for Competency to Proceed (Rule 20.01)_2022-05-11_20251126183632.pdf")</f>
        <v>MCRO_27-CR-21-13147_Order-Evaluation for Competency to Proceed (Rule 20.01)_2022-05-11_20251126183632.pdf</v>
      </c>
      <c r="H1455" s="7" t="str">
        <f aca="false">HYPERLINK("https://mncourtfraud.com/file/a1ad71f465be26cf6bb430c59ae6133d3c381ada339ba3c6b2eadf32a9b4096b.ttf","a1ad71f465be26cf6bb430c59ae6133d3c381ada339ba3c6b2eadf32a9b4096b")</f>
        <v>a1ad71f465be26cf6bb430c59ae6133d3c381ada339ba3c6b2eadf32a9b4096b</v>
      </c>
      <c r="I1455" s="1" t="s">
        <v>3413</v>
      </c>
      <c r="J1455" s="2" t="s">
        <v>3442</v>
      </c>
      <c r="K1455" s="2" t="s">
        <v>3442</v>
      </c>
      <c r="L1455" s="2" t="s">
        <v>3415</v>
      </c>
      <c r="M1455" s="2" t="n">
        <v>5988</v>
      </c>
      <c r="N1455" s="2" t="s">
        <v>3443</v>
      </c>
    </row>
    <row r="1456" customFormat="false" ht="18.7" hidden="false" customHeight="true" outlineLevel="0" collapsed="false">
      <c r="A1456" s="1" t="n">
        <v>1455</v>
      </c>
      <c r="B1456" s="7" t="str">
        <f aca="false">HYPERLINK("https://mncourtfraud.com/file/27-CR-21-13147.pdf","27-CR-21-13147")</f>
        <v>27-CR-21-13147</v>
      </c>
      <c r="C1456" s="1" t="n">
        <v>1</v>
      </c>
      <c r="D1456" s="2" t="s">
        <v>12</v>
      </c>
      <c r="E1456" s="8" t="n">
        <v>44692</v>
      </c>
      <c r="F1456" s="2" t="s">
        <v>15</v>
      </c>
      <c r="G1456" s="7" t="str">
        <f aca="false">HYPERLINK("https://mncourtfraud.com/file/MCRO_27-CR-21-13147_Order-Evaluation for Competency to Proceed (Rule 20.01)_2022-05-11_20251126183632.pdf","MCRO_27-CR-21-13147_Order-Evaluation for Competency to Proceed (Rule 20.01)_2022-05-11_20251126183632.pdf")</f>
        <v>MCRO_27-CR-21-13147_Order-Evaluation for Competency to Proceed (Rule 20.01)_2022-05-11_20251126183632.pdf</v>
      </c>
      <c r="H1456" s="7" t="str">
        <f aca="false">HYPERLINK("https://mncourtfraud.com/file/e1befe23dc5d05be4c8e965e6fc9e74e95400600e0da0c86dd389645355f3ad1.ttf","e1befe23dc5d05be4c8e965e6fc9e74e95400600e0da0c86dd389645355f3ad1")</f>
        <v>e1befe23dc5d05be4c8e965e6fc9e74e95400600e0da0c86dd389645355f3ad1</v>
      </c>
      <c r="I1456" s="1" t="s">
        <v>3413</v>
      </c>
      <c r="J1456" s="2" t="s">
        <v>3444</v>
      </c>
      <c r="K1456" s="2" t="s">
        <v>3444</v>
      </c>
      <c r="L1456" s="2" t="s">
        <v>3415</v>
      </c>
      <c r="M1456" s="2" t="n">
        <v>94308</v>
      </c>
      <c r="N1456" s="2" t="s">
        <v>3445</v>
      </c>
    </row>
    <row r="1457" customFormat="false" ht="18.7" hidden="false" customHeight="true" outlineLevel="0" collapsed="false">
      <c r="A1457" s="1" t="n">
        <v>1456</v>
      </c>
      <c r="B1457" s="7" t="str">
        <f aca="false">HYPERLINK("https://mncourtfraud.com/file/27-CR-21-13147.pdf","27-CR-21-13147")</f>
        <v>27-CR-21-13147</v>
      </c>
      <c r="C1457" s="1" t="n">
        <v>1</v>
      </c>
      <c r="D1457" s="2" t="s">
        <v>12</v>
      </c>
      <c r="E1457" s="8" t="n">
        <v>44895</v>
      </c>
      <c r="F1457" s="2" t="s">
        <v>15</v>
      </c>
      <c r="G1457" s="7" t="str">
        <f aca="false">HYPERLINK("https://mncourtfraud.com/file/MCRO_27-CR-21-13147_Order-Evaluation for Competency to Proceed (Rule 20.01)_2022-11-30_20251126183640.pdf","MCRO_27-CR-21-13147_Order-Evaluation for Competency to Proceed (Rule 20.01)_2022-11-30_20251126183640.pdf")</f>
        <v>MCRO_27-CR-21-13147_Order-Evaluation for Competency to Proceed (Rule 20.01)_2022-11-30_20251126183640.pdf</v>
      </c>
      <c r="H1457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1457" s="1" t="s">
        <v>3413</v>
      </c>
      <c r="J1457" s="2" t="s">
        <v>3423</v>
      </c>
      <c r="K1457" s="2" t="s">
        <v>3423</v>
      </c>
      <c r="L1457" s="2" t="s">
        <v>3415</v>
      </c>
      <c r="M1457" s="2" t="n">
        <v>11088</v>
      </c>
    </row>
    <row r="1458" customFormat="false" ht="18.7" hidden="false" customHeight="true" outlineLevel="0" collapsed="false">
      <c r="A1458" s="1" t="n">
        <v>1457</v>
      </c>
      <c r="B1458" s="7" t="str">
        <f aca="false">HYPERLINK("https://mncourtfraud.com/file/27-CR-21-13147.pdf","27-CR-21-13147")</f>
        <v>27-CR-21-13147</v>
      </c>
      <c r="C1458" s="1" t="n">
        <v>1</v>
      </c>
      <c r="D1458" s="2" t="s">
        <v>12</v>
      </c>
      <c r="E1458" s="8" t="n">
        <v>44895</v>
      </c>
      <c r="F1458" s="2" t="s">
        <v>15</v>
      </c>
      <c r="G1458" s="7" t="str">
        <f aca="false">HYPERLINK("https://mncourtfraud.com/file/MCRO_27-CR-21-13147_Order-Evaluation for Competency to Proceed (Rule 20.01)_2022-11-30_20251126183640.pdf","MCRO_27-CR-21-13147_Order-Evaluation for Competency to Proceed (Rule 20.01)_2022-11-30_20251126183640.pdf")</f>
        <v>MCRO_27-CR-21-13147_Order-Evaluation for Competency to Proceed (Rule 20.01)_2022-11-30_20251126183640.pdf</v>
      </c>
      <c r="H1458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1458" s="1" t="s">
        <v>3413</v>
      </c>
      <c r="J1458" s="2" t="s">
        <v>3446</v>
      </c>
      <c r="K1458" s="2" t="s">
        <v>3446</v>
      </c>
      <c r="L1458" s="2" t="s">
        <v>3415</v>
      </c>
      <c r="M1458" s="2" t="n">
        <v>55072</v>
      </c>
      <c r="N1458" s="2" t="s">
        <v>3447</v>
      </c>
    </row>
    <row r="1459" customFormat="false" ht="18.7" hidden="false" customHeight="true" outlineLevel="0" collapsed="false">
      <c r="A1459" s="1" t="n">
        <v>1458</v>
      </c>
      <c r="B1459" s="7" t="str">
        <f aca="false">HYPERLINK("https://mncourtfraud.com/file/27-CR-21-13147.pdf","27-CR-21-13147")</f>
        <v>27-CR-21-13147</v>
      </c>
      <c r="C1459" s="1" t="n">
        <v>1</v>
      </c>
      <c r="D1459" s="2" t="s">
        <v>12</v>
      </c>
      <c r="E1459" s="8" t="n">
        <v>44895</v>
      </c>
      <c r="F1459" s="2" t="s">
        <v>15</v>
      </c>
      <c r="G1459" s="7" t="str">
        <f aca="false">HYPERLINK("https://mncourtfraud.com/file/MCRO_27-CR-21-13147_Order-Evaluation for Competency to Proceed (Rule 20.01)_2022-11-30_20251126183640.pdf","MCRO_27-CR-21-13147_Order-Evaluation for Competency to Proceed (Rule 20.01)_2022-11-30_20251126183640.pdf")</f>
        <v>MCRO_27-CR-21-13147_Order-Evaluation for Competency to Proceed (Rule 20.01)_2022-11-30_20251126183640.pdf</v>
      </c>
      <c r="H1459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1459" s="1" t="s">
        <v>3413</v>
      </c>
      <c r="J1459" s="2" t="s">
        <v>3424</v>
      </c>
      <c r="K1459" s="2" t="s">
        <v>3424</v>
      </c>
      <c r="L1459" s="2" t="s">
        <v>3415</v>
      </c>
      <c r="M1459" s="2" t="n">
        <v>14252</v>
      </c>
    </row>
    <row r="1460" customFormat="false" ht="18.7" hidden="false" customHeight="true" outlineLevel="0" collapsed="false">
      <c r="A1460" s="1" t="n">
        <v>1459</v>
      </c>
      <c r="B1460" s="7" t="str">
        <f aca="false">HYPERLINK("https://mncourtfraud.com/file/27-CR-21-13147.pdf","27-CR-21-13147")</f>
        <v>27-CR-21-13147</v>
      </c>
      <c r="C1460" s="1" t="n">
        <v>1</v>
      </c>
      <c r="D1460" s="2" t="s">
        <v>12</v>
      </c>
      <c r="E1460" s="8" t="n">
        <v>44895</v>
      </c>
      <c r="F1460" s="2" t="s">
        <v>15</v>
      </c>
      <c r="G1460" s="7" t="str">
        <f aca="false">HYPERLINK("https://mncourtfraud.com/file/MCRO_27-CR-21-13147_Order-Evaluation for Competency to Proceed (Rule 20.01)_2022-11-30_20251126183640.pdf","MCRO_27-CR-21-13147_Order-Evaluation for Competency to Proceed (Rule 20.01)_2022-11-30_20251126183640.pdf")</f>
        <v>MCRO_27-CR-21-13147_Order-Evaluation for Competency to Proceed (Rule 20.01)_2022-11-30_20251126183640.pdf</v>
      </c>
      <c r="H1460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460" s="1" t="s">
        <v>3406</v>
      </c>
      <c r="K1460" s="2" t="s">
        <v>3420</v>
      </c>
      <c r="L1460" s="2" t="s">
        <v>3408</v>
      </c>
      <c r="M1460" s="2" t="n">
        <v>7306</v>
      </c>
      <c r="O1460" s="2" t="s">
        <v>3409</v>
      </c>
      <c r="P1460" s="2" t="s">
        <v>3410</v>
      </c>
      <c r="S1460" s="2" t="n">
        <v>319</v>
      </c>
      <c r="T1460" s="2" t="n">
        <v>105</v>
      </c>
    </row>
    <row r="1461" customFormat="false" ht="18.7" hidden="false" customHeight="true" outlineLevel="0" collapsed="false">
      <c r="A1461" s="1" t="n">
        <v>1460</v>
      </c>
      <c r="B1461" s="7" t="str">
        <f aca="false">HYPERLINK("https://mncourtfraud.com/file/27-CR-21-13147.pdf","27-CR-21-13147")</f>
        <v>27-CR-21-13147</v>
      </c>
      <c r="C1461" s="1" t="n">
        <v>1</v>
      </c>
      <c r="D1461" s="2" t="s">
        <v>12</v>
      </c>
      <c r="E1461" s="8" t="n">
        <v>44895</v>
      </c>
      <c r="F1461" s="2" t="s">
        <v>15</v>
      </c>
      <c r="G1461" s="7" t="str">
        <f aca="false">HYPERLINK("https://mncourtfraud.com/file/MCRO_27-CR-21-13147_Order-Evaluation for Competency to Proceed (Rule 20.01)_2022-11-30_20251126183640.pdf","MCRO_27-CR-21-13147_Order-Evaluation for Competency to Proceed (Rule 20.01)_2022-11-30_20251126183640.pdf")</f>
        <v>MCRO_27-CR-21-13147_Order-Evaluation for Competency to Proceed (Rule 20.01)_2022-11-30_20251126183640.pdf</v>
      </c>
      <c r="H1461" s="7" t="str">
        <f aca="false">HYPERLINK("https://mncourtfraud.com/file/677e52a3b8403ce87e338b0a2e31e6f8e5ddf03fb0ca7043a341135cf0255eaa.ttf","677e52a3b8403ce87e338b0a2e31e6f8e5ddf03fb0ca7043a341135cf0255eaa")</f>
        <v>677e52a3b8403ce87e338b0a2e31e6f8e5ddf03fb0ca7043a341135cf0255eaa</v>
      </c>
      <c r="I1461" s="1" t="s">
        <v>3413</v>
      </c>
      <c r="J1461" s="2" t="s">
        <v>3422</v>
      </c>
      <c r="K1461" s="2" t="s">
        <v>3422</v>
      </c>
      <c r="L1461" s="2" t="s">
        <v>3415</v>
      </c>
      <c r="M1461" s="2" t="n">
        <v>149960</v>
      </c>
    </row>
    <row r="1462" customFormat="false" ht="18.7" hidden="false" customHeight="true" outlineLevel="0" collapsed="false">
      <c r="A1462" s="1" t="n">
        <v>1461</v>
      </c>
      <c r="B1462" s="7" t="str">
        <f aca="false">HYPERLINK("https://mncourtfraud.com/file/27-CR-21-13147.pdf","27-CR-21-13147")</f>
        <v>27-CR-21-13147</v>
      </c>
      <c r="C1462" s="1" t="n">
        <v>1</v>
      </c>
      <c r="D1462" s="2" t="s">
        <v>12</v>
      </c>
      <c r="E1462" s="8" t="n">
        <v>44895</v>
      </c>
      <c r="F1462" s="2" t="s">
        <v>15</v>
      </c>
      <c r="G1462" s="7" t="str">
        <f aca="false">HYPERLINK("https://mncourtfraud.com/file/MCRO_27-CR-21-13147_Order-Evaluation for Competency to Proceed (Rule 20.01)_2022-11-30_20251126183640.pdf","MCRO_27-CR-21-13147_Order-Evaluation for Competency to Proceed (Rule 20.01)_2022-11-30_20251126183640.pdf")</f>
        <v>MCRO_27-CR-21-13147_Order-Evaluation for Competency to Proceed (Rule 20.01)_2022-11-30_20251126183640.pdf</v>
      </c>
      <c r="H1462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1462" s="1" t="s">
        <v>3413</v>
      </c>
      <c r="J1462" s="2" t="s">
        <v>3448</v>
      </c>
      <c r="K1462" s="2" t="s">
        <v>3448</v>
      </c>
      <c r="L1462" s="2" t="s">
        <v>3415</v>
      </c>
      <c r="M1462" s="2" t="n">
        <v>916684</v>
      </c>
    </row>
    <row r="1463" customFormat="false" ht="18.7" hidden="false" customHeight="true" outlineLevel="0" collapsed="false">
      <c r="A1463" s="1" t="n">
        <v>1462</v>
      </c>
      <c r="B1463" s="7" t="str">
        <f aca="false">HYPERLINK("https://mncourtfraud.com/file/27-CR-21-13147.pdf","27-CR-21-13147")</f>
        <v>27-CR-21-13147</v>
      </c>
      <c r="C1463" s="1" t="n">
        <v>1</v>
      </c>
      <c r="D1463" s="2" t="s">
        <v>12</v>
      </c>
      <c r="E1463" s="8" t="n">
        <v>44895</v>
      </c>
      <c r="F1463" s="2" t="s">
        <v>15</v>
      </c>
      <c r="G1463" s="7" t="str">
        <f aca="false">HYPERLINK("https://mncourtfraud.com/file/MCRO_27-CR-21-13147_Order-Evaluation for Competency to Proceed (Rule 20.01)_2022-11-30_20251126183640.pdf","MCRO_27-CR-21-13147_Order-Evaluation for Competency to Proceed (Rule 20.01)_2022-11-30_20251126183640.pdf")</f>
        <v>MCRO_27-CR-21-13147_Order-Evaluation for Competency to Proceed (Rule 20.01)_2022-11-30_20251126183640.pdf</v>
      </c>
      <c r="H1463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463" s="1" t="s">
        <v>3406</v>
      </c>
      <c r="K1463" s="2" t="s">
        <v>3425</v>
      </c>
      <c r="L1463" s="2" t="s">
        <v>3408</v>
      </c>
      <c r="M1463" s="2" t="n">
        <v>21225</v>
      </c>
      <c r="O1463" s="2" t="s">
        <v>3409</v>
      </c>
      <c r="P1463" s="2" t="s">
        <v>3410</v>
      </c>
      <c r="S1463" s="2" t="n">
        <v>319</v>
      </c>
      <c r="T1463" s="2" t="n">
        <v>105</v>
      </c>
    </row>
    <row r="1464" customFormat="false" ht="18.7" hidden="false" customHeight="true" outlineLevel="0" collapsed="false">
      <c r="A1464" s="1" t="n">
        <v>1463</v>
      </c>
      <c r="B1464" s="7" t="str">
        <f aca="false">HYPERLINK("https://mncourtfraud.com/file/27-CR-21-13147.pdf","27-CR-21-13147")</f>
        <v>27-CR-21-13147</v>
      </c>
      <c r="C1464" s="1" t="n">
        <v>1</v>
      </c>
      <c r="D1464" s="2" t="s">
        <v>12</v>
      </c>
      <c r="E1464" s="8" t="n">
        <v>44895</v>
      </c>
      <c r="F1464" s="2" t="s">
        <v>15</v>
      </c>
      <c r="G1464" s="7" t="str">
        <f aca="false">HYPERLINK("https://mncourtfraud.com/file/MCRO_27-CR-21-13147_Order-Evaluation for Competency to Proceed (Rule 20.01)_2022-11-30_20251126183640.pdf","MCRO_27-CR-21-13147_Order-Evaluation for Competency to Proceed (Rule 20.01)_2022-11-30_20251126183640.pdf")</f>
        <v>MCRO_27-CR-21-13147_Order-Evaluation for Competency to Proceed (Rule 20.01)_2022-11-30_20251126183640.pdf</v>
      </c>
      <c r="H1464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1464" s="1" t="s">
        <v>3413</v>
      </c>
      <c r="J1464" s="2" t="s">
        <v>3449</v>
      </c>
      <c r="K1464" s="2" t="s">
        <v>3449</v>
      </c>
      <c r="L1464" s="2" t="s">
        <v>3415</v>
      </c>
      <c r="M1464" s="2" t="n">
        <v>124664</v>
      </c>
    </row>
    <row r="1465" customFormat="false" ht="18.7" hidden="false" customHeight="true" outlineLevel="0" collapsed="false">
      <c r="A1465" s="1" t="n">
        <v>1464</v>
      </c>
      <c r="B1465" s="7" t="str">
        <f aca="false">HYPERLINK("https://mncourtfraud.com/file/27-CR-21-13147.pdf","27-CR-21-13147")</f>
        <v>27-CR-21-13147</v>
      </c>
      <c r="C1465" s="1" t="n">
        <v>1</v>
      </c>
      <c r="D1465" s="2" t="s">
        <v>12</v>
      </c>
      <c r="E1465" s="8" t="n">
        <v>44895</v>
      </c>
      <c r="F1465" s="2" t="s">
        <v>15</v>
      </c>
      <c r="G1465" s="7" t="str">
        <f aca="false">HYPERLINK("https://mncourtfraud.com/file/MCRO_27-CR-21-13147_Order-Evaluation for Competency to Proceed (Rule 20.01)_2022-11-30_20251126183640.pdf","MCRO_27-CR-21-13147_Order-Evaluation for Competency to Proceed (Rule 20.01)_2022-11-30_20251126183640.pdf")</f>
        <v>MCRO_27-CR-21-13147_Order-Evaluation for Competency to Proceed (Rule 20.01)_2022-11-30_20251126183640.pdf</v>
      </c>
      <c r="H1465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1465" s="1" t="s">
        <v>3413</v>
      </c>
      <c r="J1465" s="2" t="s">
        <v>3449</v>
      </c>
      <c r="K1465" s="2" t="s">
        <v>3449</v>
      </c>
      <c r="L1465" s="2" t="s">
        <v>3415</v>
      </c>
      <c r="M1465" s="2" t="n">
        <v>124664</v>
      </c>
    </row>
    <row r="1466" customFormat="false" ht="18.7" hidden="false" customHeight="true" outlineLevel="0" collapsed="false">
      <c r="A1466" s="1" t="n">
        <v>1465</v>
      </c>
      <c r="B1466" s="7" t="str">
        <f aca="false">HYPERLINK("https://mncourtfraud.com/file/27-CR-21-13147.pdf","27-CR-21-13147")</f>
        <v>27-CR-21-13147</v>
      </c>
      <c r="C1466" s="1" t="n">
        <v>1</v>
      </c>
      <c r="D1466" s="2" t="s">
        <v>12</v>
      </c>
      <c r="E1466" s="8" t="n">
        <v>44999</v>
      </c>
      <c r="F1466" s="2" t="s">
        <v>17</v>
      </c>
      <c r="G1466" s="7" t="str">
        <f aca="false">HYPERLINK("https://mncourtfraud.com/file/MCRO_27-CR-21-13147_Returned Mail_2023-03-14_20251126183709.pdf","MCRO_27-CR-21-13147_Returned Mail_2023-03-14_20251126183709.pdf")</f>
        <v>MCRO_27-CR-21-13147_Returned Mail_2023-03-14_20251126183709.pdf</v>
      </c>
      <c r="H1466" s="7" t="str">
        <f aca="false">HYPERLINK("https://mncourtfraud.com/file/2141f40994f8da3f2df0b3ad58f1305c5ba1cc074223a7e9f5504e47a0c1c693.ttf","2141f40994f8da3f2df0b3ad58f1305c5ba1cc074223a7e9f5504e47a0c1c693")</f>
        <v>2141f40994f8da3f2df0b3ad58f1305c5ba1cc074223a7e9f5504e47a0c1c693</v>
      </c>
      <c r="I1466" s="1" t="s">
        <v>3413</v>
      </c>
      <c r="L1466" s="2" t="s">
        <v>3415</v>
      </c>
      <c r="M1466" s="2" t="n">
        <v>333576</v>
      </c>
    </row>
    <row r="1467" customFormat="false" ht="18.7" hidden="false" customHeight="true" outlineLevel="0" collapsed="false">
      <c r="A1467" s="1" t="n">
        <v>1466</v>
      </c>
      <c r="B1467" s="7" t="str">
        <f aca="false">HYPERLINK("https://mncourtfraud.com/file/27-CR-21-13147.pdf","27-CR-21-13147")</f>
        <v>27-CR-21-13147</v>
      </c>
      <c r="C1467" s="1" t="n">
        <v>1</v>
      </c>
      <c r="D1467" s="2" t="s">
        <v>12</v>
      </c>
      <c r="E1467" s="8" t="n">
        <v>44999</v>
      </c>
      <c r="F1467" s="2" t="s">
        <v>17</v>
      </c>
      <c r="G1467" s="7" t="str">
        <f aca="false">HYPERLINK("https://mncourtfraud.com/file/MCRO_27-CR-21-13147_Returned Mail_2023-03-14_20251126183709.pdf","MCRO_27-CR-21-13147_Returned Mail_2023-03-14_20251126183709.pdf")</f>
        <v>MCRO_27-CR-21-13147_Returned Mail_2023-03-14_20251126183709.pdf</v>
      </c>
      <c r="H1467" s="7" t="str">
        <f aca="false">HYPERLINK("https://mncourtfraud.com/file/8a00103f30a837eb97cef6ca99ff4175921aecad3db1f2f413787510a57566b9.jpg","8a00103f30a837eb97cef6ca99ff4175921aecad3db1f2f413787510a57566b9")</f>
        <v>8a00103f30a837eb97cef6ca99ff4175921aecad3db1f2f413787510a57566b9</v>
      </c>
      <c r="I1467" s="1" t="s">
        <v>3417</v>
      </c>
      <c r="L1467" s="2" t="s">
        <v>3419</v>
      </c>
      <c r="M1467" s="2" t="n">
        <v>259407</v>
      </c>
      <c r="S1467" s="2" t="n">
        <v>3300</v>
      </c>
      <c r="T1467" s="2" t="n">
        <v>2550</v>
      </c>
    </row>
    <row r="1468" customFormat="false" ht="18.7" hidden="false" customHeight="true" outlineLevel="0" collapsed="false">
      <c r="A1468" s="1" t="n">
        <v>1467</v>
      </c>
      <c r="B1468" s="7" t="str">
        <f aca="false">HYPERLINK("https://mncourtfraud.com/file/27-CR-21-13147.pdf","27-CR-21-13147")</f>
        <v>27-CR-21-13147</v>
      </c>
      <c r="C1468" s="1" t="n">
        <v>1</v>
      </c>
      <c r="D1468" s="2" t="s">
        <v>12</v>
      </c>
      <c r="E1468" s="8" t="n">
        <v>45048</v>
      </c>
      <c r="F1468" s="2" t="s">
        <v>80</v>
      </c>
      <c r="G1468" s="7" t="str">
        <f aca="false">HYPERLINK("https://mncourtfraud.com/file/MCRO_27-CR-21-13147_Finding of Incompetency and Order_2023-05-02_20251126183457.pdf","MCRO_27-CR-21-13147_Finding of Incompetency and Order_2023-05-02_20251126183457.pdf")</f>
        <v>MCRO_27-CR-21-13147_Finding of Incompetency and Order_2023-05-02_20251126183457.pdf</v>
      </c>
      <c r="H1468" s="7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1468" s="1" t="s">
        <v>3406</v>
      </c>
      <c r="L1468" s="2" t="s">
        <v>3412</v>
      </c>
      <c r="M1468" s="2" t="n">
        <v>3506</v>
      </c>
      <c r="S1468" s="2" t="n">
        <v>1410</v>
      </c>
      <c r="T1468" s="2" t="n">
        <v>150</v>
      </c>
    </row>
    <row r="1469" customFormat="false" ht="18.7" hidden="false" customHeight="true" outlineLevel="0" collapsed="false">
      <c r="A1469" s="1" t="n">
        <v>1468</v>
      </c>
      <c r="B1469" s="7" t="str">
        <f aca="false">HYPERLINK("https://mncourtfraud.com/file/27-CR-21-13147.pdf","27-CR-21-13147")</f>
        <v>27-CR-21-13147</v>
      </c>
      <c r="C1469" s="1" t="n">
        <v>1</v>
      </c>
      <c r="D1469" s="2" t="s">
        <v>12</v>
      </c>
      <c r="E1469" s="8" t="n">
        <v>45048</v>
      </c>
      <c r="F1469" s="2" t="s">
        <v>80</v>
      </c>
      <c r="G1469" s="7" t="str">
        <f aca="false">HYPERLINK("https://mncourtfraud.com/file/MCRO_27-CR-21-13147_Finding of Incompetency and Order_2023-05-02_20251126183457.pdf","MCRO_27-CR-21-13147_Finding of Incompetency and Order_2023-05-02_20251126183457.pdf")</f>
        <v>MCRO_27-CR-21-13147_Finding of Incompetency and Order_2023-05-02_20251126183457.pdf</v>
      </c>
      <c r="H1469" s="7" t="str">
        <f aca="false">HYPERLINK("https://mncourtfraud.com/file/18befca089509ee2fbaddf9c5b79bf5988523b22d2369743ed9a591b9fc3bdb6.ttf","18befca089509ee2fbaddf9c5b79bf5988523b22d2369743ed9a591b9fc3bdb6")</f>
        <v>18befca089509ee2fbaddf9c5b79bf5988523b22d2369743ed9a591b9fc3bdb6</v>
      </c>
      <c r="I1469" s="1" t="s">
        <v>3413</v>
      </c>
      <c r="J1469" s="2" t="s">
        <v>3421</v>
      </c>
      <c r="K1469" s="2" t="s">
        <v>3450</v>
      </c>
      <c r="L1469" s="2" t="s">
        <v>3415</v>
      </c>
      <c r="M1469" s="2" t="n">
        <v>115928</v>
      </c>
    </row>
    <row r="1470" customFormat="false" ht="18.7" hidden="false" customHeight="true" outlineLevel="0" collapsed="false">
      <c r="A1470" s="1" t="n">
        <v>1469</v>
      </c>
      <c r="B1470" s="7" t="str">
        <f aca="false">HYPERLINK("https://mncourtfraud.com/file/27-CR-21-13147.pdf","27-CR-21-13147")</f>
        <v>27-CR-21-13147</v>
      </c>
      <c r="C1470" s="1" t="n">
        <v>1</v>
      </c>
      <c r="D1470" s="2" t="s">
        <v>12</v>
      </c>
      <c r="E1470" s="8" t="n">
        <v>45048</v>
      </c>
      <c r="F1470" s="2" t="s">
        <v>80</v>
      </c>
      <c r="G1470" s="7" t="str">
        <f aca="false">HYPERLINK("https://mncourtfraud.com/file/MCRO_27-CR-21-13147_Finding of Incompetency and Order_2023-05-02_20251126183457.pdf","MCRO_27-CR-21-13147_Finding of Incompetency and Order_2023-05-02_20251126183457.pdf")</f>
        <v>MCRO_27-CR-21-13147_Finding of Incompetency and Order_2023-05-02_20251126183457.pdf</v>
      </c>
      <c r="H1470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1470" s="1" t="s">
        <v>3413</v>
      </c>
      <c r="J1470" s="2" t="s">
        <v>3446</v>
      </c>
      <c r="K1470" s="2" t="s">
        <v>3446</v>
      </c>
      <c r="L1470" s="2" t="s">
        <v>3415</v>
      </c>
      <c r="M1470" s="2" t="n">
        <v>55072</v>
      </c>
      <c r="N1470" s="2" t="s">
        <v>3447</v>
      </c>
    </row>
    <row r="1471" customFormat="false" ht="18.7" hidden="false" customHeight="true" outlineLevel="0" collapsed="false">
      <c r="A1471" s="1" t="n">
        <v>1470</v>
      </c>
      <c r="B1471" s="7" t="str">
        <f aca="false">HYPERLINK("https://mncourtfraud.com/file/27-CR-21-13147.pdf","27-CR-21-13147")</f>
        <v>27-CR-21-13147</v>
      </c>
      <c r="C1471" s="1" t="n">
        <v>1</v>
      </c>
      <c r="D1471" s="2" t="s">
        <v>12</v>
      </c>
      <c r="E1471" s="8" t="n">
        <v>45048</v>
      </c>
      <c r="F1471" s="2" t="s">
        <v>80</v>
      </c>
      <c r="G1471" s="7" t="str">
        <f aca="false">HYPERLINK("https://mncourtfraud.com/file/MCRO_27-CR-21-13147_Finding of Incompetency and Order_2023-05-02_20251126183457.pdf","MCRO_27-CR-21-13147_Finding of Incompetency and Order_2023-05-02_20251126183457.pdf")</f>
        <v>MCRO_27-CR-21-13147_Finding of Incompetency and Order_2023-05-02_20251126183457.pdf</v>
      </c>
      <c r="H1471" s="7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1471" s="1" t="s">
        <v>3406</v>
      </c>
      <c r="K1471" s="2" t="s">
        <v>3451</v>
      </c>
      <c r="L1471" s="2" t="s">
        <v>3408</v>
      </c>
      <c r="M1471" s="2" t="n">
        <v>5295</v>
      </c>
      <c r="O1471" s="2" t="s">
        <v>3452</v>
      </c>
      <c r="P1471" s="2" t="s">
        <v>3410</v>
      </c>
      <c r="S1471" s="2" t="n">
        <v>833</v>
      </c>
      <c r="T1471" s="2" t="n">
        <v>186</v>
      </c>
    </row>
    <row r="1472" customFormat="false" ht="18.7" hidden="false" customHeight="true" outlineLevel="0" collapsed="false">
      <c r="A1472" s="1" t="n">
        <v>1471</v>
      </c>
      <c r="B1472" s="7" t="str">
        <f aca="false">HYPERLINK("https://mncourtfraud.com/file/27-CR-21-13147.pdf","27-CR-21-13147")</f>
        <v>27-CR-21-13147</v>
      </c>
      <c r="C1472" s="1" t="n">
        <v>1</v>
      </c>
      <c r="D1472" s="2" t="s">
        <v>12</v>
      </c>
      <c r="E1472" s="8" t="n">
        <v>45048</v>
      </c>
      <c r="F1472" s="2" t="s">
        <v>80</v>
      </c>
      <c r="G1472" s="7" t="str">
        <f aca="false">HYPERLINK("https://mncourtfraud.com/file/MCRO_27-CR-21-13147_Finding of Incompetency and Order_2023-05-02_20251126183457.pdf","MCRO_27-CR-21-13147_Finding of Incompetency and Order_2023-05-02_20251126183457.pdf")</f>
        <v>MCRO_27-CR-21-13147_Finding of Incompetency and Order_2023-05-02_20251126183457.pdf</v>
      </c>
      <c r="H1472" s="7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1472" s="1" t="s">
        <v>3406</v>
      </c>
      <c r="K1472" s="2" t="s">
        <v>3453</v>
      </c>
      <c r="L1472" s="2" t="s">
        <v>3408</v>
      </c>
      <c r="M1472" s="2" t="n">
        <v>3442</v>
      </c>
      <c r="O1472" s="2" t="s">
        <v>3454</v>
      </c>
      <c r="P1472" s="2" t="s">
        <v>3410</v>
      </c>
      <c r="S1472" s="2" t="n">
        <v>857</v>
      </c>
      <c r="T1472" s="2" t="n">
        <v>184</v>
      </c>
    </row>
    <row r="1473" customFormat="false" ht="18.7" hidden="false" customHeight="true" outlineLevel="0" collapsed="false">
      <c r="A1473" s="1" t="n">
        <v>1472</v>
      </c>
      <c r="B1473" s="7" t="str">
        <f aca="false">HYPERLINK("https://mncourtfraud.com/file/27-CR-21-13147.pdf","27-CR-21-13147")</f>
        <v>27-CR-21-13147</v>
      </c>
      <c r="C1473" s="1" t="n">
        <v>1</v>
      </c>
      <c r="D1473" s="2" t="s">
        <v>12</v>
      </c>
      <c r="E1473" s="8" t="n">
        <v>45048</v>
      </c>
      <c r="F1473" s="2" t="s">
        <v>80</v>
      </c>
      <c r="G1473" s="7" t="str">
        <f aca="false">HYPERLINK("https://mncourtfraud.com/file/MCRO_27-CR-21-13147_Finding of Incompetency and Order_2023-05-02_20251126183457.pdf","MCRO_27-CR-21-13147_Finding of Incompetency and Order_2023-05-02_20251126183457.pdf")</f>
        <v>MCRO_27-CR-21-13147_Finding of Incompetency and Order_2023-05-02_20251126183457.pdf</v>
      </c>
      <c r="H1473" s="7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1473" s="1" t="s">
        <v>3406</v>
      </c>
      <c r="L1473" s="2" t="s">
        <v>3412</v>
      </c>
      <c r="M1473" s="2" t="n">
        <v>3824</v>
      </c>
      <c r="S1473" s="2" t="n">
        <v>1850</v>
      </c>
      <c r="T1473" s="2" t="n">
        <v>160</v>
      </c>
    </row>
    <row r="1474" customFormat="false" ht="18.7" hidden="false" customHeight="true" outlineLevel="0" collapsed="false">
      <c r="A1474" s="1" t="n">
        <v>1473</v>
      </c>
      <c r="B1474" s="7" t="str">
        <f aca="false">HYPERLINK("https://mncourtfraud.com/file/27-CR-21-13147.pdf","27-CR-21-13147")</f>
        <v>27-CR-21-13147</v>
      </c>
      <c r="C1474" s="1" t="n">
        <v>1</v>
      </c>
      <c r="D1474" s="2" t="s">
        <v>12</v>
      </c>
      <c r="E1474" s="8" t="n">
        <v>45048</v>
      </c>
      <c r="F1474" s="2" t="s">
        <v>80</v>
      </c>
      <c r="G1474" s="7" t="str">
        <f aca="false">HYPERLINK("https://mncourtfraud.com/file/MCRO_27-CR-21-13147_Finding of Incompetency and Order_2023-05-02_20251126183457.pdf","MCRO_27-CR-21-13147_Finding of Incompetency and Order_2023-05-02_20251126183457.pdf")</f>
        <v>MCRO_27-CR-21-13147_Finding of Incompetency and Order_2023-05-02_20251126183457.pdf</v>
      </c>
      <c r="H1474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1474" s="1" t="s">
        <v>3413</v>
      </c>
      <c r="J1474" s="2" t="s">
        <v>3448</v>
      </c>
      <c r="K1474" s="2" t="s">
        <v>3448</v>
      </c>
      <c r="L1474" s="2" t="s">
        <v>3415</v>
      </c>
      <c r="M1474" s="2" t="n">
        <v>916684</v>
      </c>
    </row>
    <row r="1475" customFormat="false" ht="18.7" hidden="false" customHeight="true" outlineLevel="0" collapsed="false">
      <c r="A1475" s="1" t="n">
        <v>1474</v>
      </c>
      <c r="B1475" s="7" t="str">
        <f aca="false">HYPERLINK("https://mncourtfraud.com/file/27-CR-21-13147.pdf","27-CR-21-13147")</f>
        <v>27-CR-21-13147</v>
      </c>
      <c r="C1475" s="1" t="n">
        <v>1</v>
      </c>
      <c r="D1475" s="2" t="s">
        <v>12</v>
      </c>
      <c r="E1475" s="8" t="n">
        <v>45093</v>
      </c>
      <c r="F1475" s="2" t="s">
        <v>82</v>
      </c>
      <c r="G1475" s="7" t="str">
        <f aca="false">HYPERLINK("https://mncourtfraud.com/file/MCRO_27-CR-21-13147_Notice of Case Reassignment_2023-06-16_20251126183529.pdf","MCRO_27-CR-21-13147_Notice of Case Reassignment_2023-06-16_20251126183529.pdf")</f>
        <v>MCRO_27-CR-21-13147_Notice of Case Reassignment_2023-06-16_20251126183529.pdf</v>
      </c>
      <c r="H1475" s="7" t="str">
        <f aca="false">HYPERLINK("https://mncourtfraud.com/file/1fd1136a5ae69c0e5068fedf111533c283fb06da71a1aebe96b41cad9a15bb33.ttf","1fd1136a5ae69c0e5068fedf111533c283fb06da71a1aebe96b41cad9a15bb33")</f>
        <v>1fd1136a5ae69c0e5068fedf111533c283fb06da71a1aebe96b41cad9a15bb33</v>
      </c>
      <c r="I1475" s="1" t="s">
        <v>3413</v>
      </c>
      <c r="J1475" s="2" t="s">
        <v>3455</v>
      </c>
      <c r="K1475" s="2" t="s">
        <v>3455</v>
      </c>
      <c r="L1475" s="2" t="s">
        <v>3415</v>
      </c>
      <c r="M1475" s="2" t="n">
        <v>96348</v>
      </c>
      <c r="N1475" s="2" t="s">
        <v>3456</v>
      </c>
    </row>
    <row r="1476" customFormat="false" ht="18.7" hidden="false" customHeight="true" outlineLevel="0" collapsed="false">
      <c r="A1476" s="1" t="n">
        <v>1475</v>
      </c>
      <c r="B1476" s="7" t="str">
        <f aca="false">HYPERLINK("https://mncourtfraud.com/file/27-CR-21-13147.pdf","27-CR-21-13147")</f>
        <v>27-CR-21-13147</v>
      </c>
      <c r="C1476" s="1" t="n">
        <v>1</v>
      </c>
      <c r="D1476" s="2" t="s">
        <v>12</v>
      </c>
      <c r="E1476" s="8" t="n">
        <v>45093</v>
      </c>
      <c r="F1476" s="2" t="s">
        <v>82</v>
      </c>
      <c r="G1476" s="7" t="str">
        <f aca="false">HYPERLINK("https://mncourtfraud.com/file/MCRO_27-CR-21-13147_Notice of Case Reassignment_2023-06-16_20251126183529.pdf","MCRO_27-CR-21-13147_Notice of Case Reassignment_2023-06-16_20251126183529.pdf")</f>
        <v>MCRO_27-CR-21-13147_Notice of Case Reassignment_2023-06-16_20251126183529.pdf</v>
      </c>
      <c r="H1476" s="7" t="str">
        <f aca="false">HYPERLINK("https://mncourtfraud.com/file/4b0b043cb476134a2e47a5f4c233d3d0f7a52a3b063b8831356383f89fcd1118.ttf","4b0b043cb476134a2e47a5f4c233d3d0f7a52a3b063b8831356383f89fcd1118")</f>
        <v>4b0b043cb476134a2e47a5f4c233d3d0f7a52a3b063b8831356383f89fcd1118</v>
      </c>
      <c r="I1476" s="1" t="s">
        <v>3413</v>
      </c>
      <c r="J1476" s="2" t="s">
        <v>3457</v>
      </c>
      <c r="K1476" s="2" t="s">
        <v>3457</v>
      </c>
      <c r="L1476" s="2" t="s">
        <v>3415</v>
      </c>
      <c r="M1476" s="2" t="n">
        <v>79764</v>
      </c>
      <c r="N1476" s="2" t="s">
        <v>3458</v>
      </c>
    </row>
    <row r="1477" customFormat="false" ht="18.7" hidden="false" customHeight="true" outlineLevel="0" collapsed="false">
      <c r="A1477" s="1" t="n">
        <v>1476</v>
      </c>
      <c r="B1477" s="7" t="str">
        <f aca="false">HYPERLINK("https://mncourtfraud.com/file/27-CR-21-13147.pdf","27-CR-21-13147")</f>
        <v>27-CR-21-13147</v>
      </c>
      <c r="C1477" s="1" t="n">
        <v>1</v>
      </c>
      <c r="D1477" s="2" t="s">
        <v>12</v>
      </c>
      <c r="E1477" s="8" t="n">
        <v>45160</v>
      </c>
      <c r="F1477" s="2" t="s">
        <v>15</v>
      </c>
      <c r="G1477" s="7" t="str">
        <f aca="false">HYPERLINK("https://mncourtfraud.com/file/MCRO_27-CR-21-13147_Order-Evaluation for Competency to Proceed (Rule 20.01)_2023-08-22_20251126183648.pdf","MCRO_27-CR-21-13147_Order-Evaluation for Competency to Proceed (Rule 20.01)_2023-08-22_20251126183648.pdf")</f>
        <v>MCRO_27-CR-21-13147_Order-Evaluation for Competency to Proceed (Rule 20.01)_2023-08-22_20251126183648.pdf</v>
      </c>
      <c r="H1477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1477" s="1" t="s">
        <v>3413</v>
      </c>
      <c r="J1477" s="2" t="s">
        <v>3449</v>
      </c>
      <c r="K1477" s="2" t="s">
        <v>3449</v>
      </c>
      <c r="L1477" s="2" t="s">
        <v>3415</v>
      </c>
      <c r="M1477" s="2" t="n">
        <v>125504</v>
      </c>
    </row>
    <row r="1478" customFormat="false" ht="18.7" hidden="false" customHeight="true" outlineLevel="0" collapsed="false">
      <c r="A1478" s="1" t="n">
        <v>1477</v>
      </c>
      <c r="B1478" s="7" t="str">
        <f aca="false">HYPERLINK("https://mncourtfraud.com/file/27-CR-21-13147.pdf","27-CR-21-13147")</f>
        <v>27-CR-21-13147</v>
      </c>
      <c r="C1478" s="1" t="n">
        <v>1</v>
      </c>
      <c r="D1478" s="2" t="s">
        <v>12</v>
      </c>
      <c r="E1478" s="8" t="n">
        <v>45160</v>
      </c>
      <c r="F1478" s="2" t="s">
        <v>15</v>
      </c>
      <c r="G1478" s="7" t="str">
        <f aca="false">HYPERLINK("https://mncourtfraud.com/file/MCRO_27-CR-21-13147_Order-Evaluation for Competency to Proceed (Rule 20.01)_2023-08-22_20251126183648.pdf","MCRO_27-CR-21-13147_Order-Evaluation for Competency to Proceed (Rule 20.01)_2023-08-22_20251126183648.pdf")</f>
        <v>MCRO_27-CR-21-13147_Order-Evaluation for Competency to Proceed (Rule 20.01)_2023-08-22_20251126183648.pdf</v>
      </c>
      <c r="H1478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1478" s="1" t="s">
        <v>3413</v>
      </c>
      <c r="J1478" s="2" t="s">
        <v>3449</v>
      </c>
      <c r="K1478" s="2" t="s">
        <v>3449</v>
      </c>
      <c r="L1478" s="2" t="s">
        <v>3415</v>
      </c>
      <c r="M1478" s="2" t="n">
        <v>125504</v>
      </c>
    </row>
    <row r="1479" customFormat="false" ht="18.7" hidden="false" customHeight="true" outlineLevel="0" collapsed="false">
      <c r="A1479" s="1" t="n">
        <v>1478</v>
      </c>
      <c r="B1479" s="7" t="str">
        <f aca="false">HYPERLINK("https://mncourtfraud.com/file/27-CR-21-13147.pdf","27-CR-21-13147")</f>
        <v>27-CR-21-13147</v>
      </c>
      <c r="C1479" s="1" t="n">
        <v>1</v>
      </c>
      <c r="D1479" s="2" t="s">
        <v>12</v>
      </c>
      <c r="E1479" s="8" t="n">
        <v>45160</v>
      </c>
      <c r="F1479" s="2" t="s">
        <v>15</v>
      </c>
      <c r="G1479" s="7" t="str">
        <f aca="false">HYPERLINK("https://mncourtfraud.com/file/MCRO_27-CR-21-13147_Order-Evaluation for Competency to Proceed (Rule 20.01)_2023-08-22_20251126183648.pdf","MCRO_27-CR-21-13147_Order-Evaluation for Competency to Proceed (Rule 20.01)_2023-08-22_20251126183648.pdf")</f>
        <v>MCRO_27-CR-21-13147_Order-Evaluation for Competency to Proceed (Rule 20.01)_2023-08-22_20251126183648.pdf</v>
      </c>
      <c r="H1479" s="7" t="str">
        <f aca="false">HYPERLINK("https://mncourtfraud.com/file/0174a154b1dd2c8824c0108a525fa6ced84bf8b7d2fc9696a847700a4f83bb3b.ttf","0174a154b1dd2c8824c0108a525fa6ced84bf8b7d2fc9696a847700a4f83bb3b")</f>
        <v>0174a154b1dd2c8824c0108a525fa6ced84bf8b7d2fc9696a847700a4f83bb3b</v>
      </c>
      <c r="I1479" s="1" t="s">
        <v>3413</v>
      </c>
      <c r="J1479" s="2" t="s">
        <v>3422</v>
      </c>
      <c r="K1479" s="2" t="s">
        <v>3422</v>
      </c>
      <c r="L1479" s="2" t="s">
        <v>3415</v>
      </c>
      <c r="M1479" s="2" t="n">
        <v>101216</v>
      </c>
    </row>
    <row r="1480" customFormat="false" ht="18.7" hidden="false" customHeight="true" outlineLevel="0" collapsed="false">
      <c r="A1480" s="1" t="n">
        <v>1479</v>
      </c>
      <c r="B1480" s="7" t="str">
        <f aca="false">HYPERLINK("https://mncourtfraud.com/file/27-CR-21-13147.pdf","27-CR-21-13147")</f>
        <v>27-CR-21-13147</v>
      </c>
      <c r="C1480" s="1" t="n">
        <v>1</v>
      </c>
      <c r="D1480" s="2" t="s">
        <v>12</v>
      </c>
      <c r="E1480" s="8" t="n">
        <v>45160</v>
      </c>
      <c r="F1480" s="2" t="s">
        <v>15</v>
      </c>
      <c r="G1480" s="7" t="str">
        <f aca="false">HYPERLINK("https://mncourtfraud.com/file/MCRO_27-CR-21-13147_Order-Evaluation for Competency to Proceed (Rule 20.01)_2023-08-22_20251126183648.pdf","MCRO_27-CR-21-13147_Order-Evaluation for Competency to Proceed (Rule 20.01)_2023-08-22_20251126183648.pdf")</f>
        <v>MCRO_27-CR-21-13147_Order-Evaluation for Competency to Proceed (Rule 20.01)_2023-08-22_20251126183648.pdf</v>
      </c>
      <c r="H1480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1480" s="1" t="s">
        <v>3413</v>
      </c>
      <c r="J1480" s="2" t="s">
        <v>3423</v>
      </c>
      <c r="K1480" s="2" t="s">
        <v>3423</v>
      </c>
      <c r="L1480" s="2" t="s">
        <v>3415</v>
      </c>
      <c r="M1480" s="2" t="n">
        <v>11088</v>
      </c>
    </row>
    <row r="1481" customFormat="false" ht="18.7" hidden="false" customHeight="true" outlineLevel="0" collapsed="false">
      <c r="A1481" s="1" t="n">
        <v>1480</v>
      </c>
      <c r="B1481" s="7" t="str">
        <f aca="false">HYPERLINK("https://mncourtfraud.com/file/27-CR-21-13147.pdf","27-CR-21-13147")</f>
        <v>27-CR-21-13147</v>
      </c>
      <c r="C1481" s="1" t="n">
        <v>1</v>
      </c>
      <c r="D1481" s="2" t="s">
        <v>12</v>
      </c>
      <c r="E1481" s="8" t="n">
        <v>45160</v>
      </c>
      <c r="F1481" s="2" t="s">
        <v>15</v>
      </c>
      <c r="G1481" s="7" t="str">
        <f aca="false">HYPERLINK("https://mncourtfraud.com/file/MCRO_27-CR-21-13147_Order-Evaluation for Competency to Proceed (Rule 20.01)_2023-08-22_20251126183648.pdf","MCRO_27-CR-21-13147_Order-Evaluation for Competency to Proceed (Rule 20.01)_2023-08-22_20251126183648.pdf")</f>
        <v>MCRO_27-CR-21-13147_Order-Evaluation for Competency to Proceed (Rule 20.01)_2023-08-22_20251126183648.pdf</v>
      </c>
      <c r="H1481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1481" s="1" t="s">
        <v>3413</v>
      </c>
      <c r="J1481" s="2" t="s">
        <v>3446</v>
      </c>
      <c r="K1481" s="2" t="s">
        <v>3446</v>
      </c>
      <c r="L1481" s="2" t="s">
        <v>3415</v>
      </c>
      <c r="M1481" s="2" t="n">
        <v>55072</v>
      </c>
      <c r="N1481" s="2" t="s">
        <v>3447</v>
      </c>
    </row>
    <row r="1482" customFormat="false" ht="18.7" hidden="false" customHeight="true" outlineLevel="0" collapsed="false">
      <c r="A1482" s="1" t="n">
        <v>1481</v>
      </c>
      <c r="B1482" s="7" t="str">
        <f aca="false">HYPERLINK("https://mncourtfraud.com/file/27-CR-21-13147.pdf","27-CR-21-13147")</f>
        <v>27-CR-21-13147</v>
      </c>
      <c r="C1482" s="1" t="n">
        <v>1</v>
      </c>
      <c r="D1482" s="2" t="s">
        <v>12</v>
      </c>
      <c r="E1482" s="8" t="n">
        <v>45160</v>
      </c>
      <c r="F1482" s="2" t="s">
        <v>15</v>
      </c>
      <c r="G1482" s="7" t="str">
        <f aca="false">HYPERLINK("https://mncourtfraud.com/file/MCRO_27-CR-21-13147_Order-Evaluation for Competency to Proceed (Rule 20.01)_2023-08-22_20251126183648.pdf","MCRO_27-CR-21-13147_Order-Evaluation for Competency to Proceed (Rule 20.01)_2023-08-22_20251126183648.pdf")</f>
        <v>MCRO_27-CR-21-13147_Order-Evaluation for Competency to Proceed (Rule 20.01)_2023-08-22_20251126183648.pdf</v>
      </c>
      <c r="H1482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1482" s="1" t="s">
        <v>3413</v>
      </c>
      <c r="J1482" s="2" t="s">
        <v>3424</v>
      </c>
      <c r="K1482" s="2" t="s">
        <v>3424</v>
      </c>
      <c r="L1482" s="2" t="s">
        <v>3415</v>
      </c>
      <c r="M1482" s="2" t="n">
        <v>14252</v>
      </c>
    </row>
    <row r="1483" customFormat="false" ht="18.7" hidden="false" customHeight="true" outlineLevel="0" collapsed="false">
      <c r="A1483" s="1" t="n">
        <v>1482</v>
      </c>
      <c r="B1483" s="7" t="str">
        <f aca="false">HYPERLINK("https://mncourtfraud.com/file/27-CR-21-13147.pdf","27-CR-21-13147")</f>
        <v>27-CR-21-13147</v>
      </c>
      <c r="C1483" s="1" t="n">
        <v>1</v>
      </c>
      <c r="D1483" s="2" t="s">
        <v>12</v>
      </c>
      <c r="E1483" s="8" t="n">
        <v>45160</v>
      </c>
      <c r="F1483" s="2" t="s">
        <v>15</v>
      </c>
      <c r="G1483" s="7" t="str">
        <f aca="false">HYPERLINK("https://mncourtfraud.com/file/MCRO_27-CR-21-13147_Order-Evaluation for Competency to Proceed (Rule 20.01)_2023-08-22_20251126183648.pdf","MCRO_27-CR-21-13147_Order-Evaluation for Competency to Proceed (Rule 20.01)_2023-08-22_20251126183648.pdf")</f>
        <v>MCRO_27-CR-21-13147_Order-Evaluation for Competency to Proceed (Rule 20.01)_2023-08-22_20251126183648.pdf</v>
      </c>
      <c r="H1483" s="7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1483" s="1" t="s">
        <v>3406</v>
      </c>
      <c r="L1483" s="2" t="s">
        <v>3412</v>
      </c>
      <c r="M1483" s="2" t="n">
        <v>5012</v>
      </c>
      <c r="S1483" s="2" t="n">
        <v>2740</v>
      </c>
      <c r="T1483" s="2" t="n">
        <v>180</v>
      </c>
    </row>
    <row r="1484" customFormat="false" ht="18.7" hidden="false" customHeight="true" outlineLevel="0" collapsed="false">
      <c r="A1484" s="1" t="n">
        <v>1483</v>
      </c>
      <c r="B1484" s="7" t="str">
        <f aca="false">HYPERLINK("https://mncourtfraud.com/file/27-CR-21-13147.pdf","27-CR-21-13147")</f>
        <v>27-CR-21-13147</v>
      </c>
      <c r="C1484" s="1" t="n">
        <v>1</v>
      </c>
      <c r="D1484" s="2" t="s">
        <v>12</v>
      </c>
      <c r="E1484" s="8" t="n">
        <v>45160</v>
      </c>
      <c r="F1484" s="2" t="s">
        <v>15</v>
      </c>
      <c r="G1484" s="7" t="str">
        <f aca="false">HYPERLINK("https://mncourtfraud.com/file/MCRO_27-CR-21-13147_Order-Evaluation for Competency to Proceed (Rule 20.01)_2023-08-22_20251126183648.pdf","MCRO_27-CR-21-13147_Order-Evaluation for Competency to Proceed (Rule 20.01)_2023-08-22_20251126183648.pdf")</f>
        <v>MCRO_27-CR-21-13147_Order-Evaluation for Competency to Proceed (Rule 20.01)_2023-08-22_20251126183648.pdf</v>
      </c>
      <c r="H1484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1484" s="1" t="s">
        <v>3413</v>
      </c>
      <c r="J1484" s="2" t="s">
        <v>3448</v>
      </c>
      <c r="K1484" s="2" t="s">
        <v>3448</v>
      </c>
      <c r="L1484" s="2" t="s">
        <v>3415</v>
      </c>
      <c r="M1484" s="2" t="n">
        <v>916684</v>
      </c>
    </row>
    <row r="1485" customFormat="false" ht="18.7" hidden="false" customHeight="true" outlineLevel="0" collapsed="false">
      <c r="A1485" s="1" t="n">
        <v>1484</v>
      </c>
      <c r="B1485" s="7" t="str">
        <f aca="false">HYPERLINK("https://mncourtfraud.com/file/27-CR-21-13147.pdf","27-CR-21-13147")</f>
        <v>27-CR-21-13147</v>
      </c>
      <c r="C1485" s="1" t="n">
        <v>1</v>
      </c>
      <c r="D1485" s="2" t="s">
        <v>12</v>
      </c>
      <c r="E1485" s="8" t="n">
        <v>45160</v>
      </c>
      <c r="F1485" s="2" t="s">
        <v>15</v>
      </c>
      <c r="G1485" s="7" t="str">
        <f aca="false">HYPERLINK("https://mncourtfraud.com/file/MCRO_27-CR-21-13147_Order-Evaluation for Competency to Proceed (Rule 20.01)_2023-08-22_20251126183648.pdf","MCRO_27-CR-21-13147_Order-Evaluation for Competency to Proceed (Rule 20.01)_2023-08-22_20251126183648.pdf")</f>
        <v>MCRO_27-CR-21-13147_Order-Evaluation for Competency to Proceed (Rule 20.01)_2023-08-22_20251126183648.pdf</v>
      </c>
      <c r="H1485" s="7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1485" s="1" t="s">
        <v>3406</v>
      </c>
      <c r="K1485" s="2" t="s">
        <v>3459</v>
      </c>
      <c r="L1485" s="2" t="s">
        <v>3408</v>
      </c>
      <c r="M1485" s="2" t="n">
        <v>5220</v>
      </c>
      <c r="O1485" s="2" t="s">
        <v>3460</v>
      </c>
      <c r="P1485" s="2" t="s">
        <v>3410</v>
      </c>
      <c r="S1485" s="2" t="n">
        <v>881</v>
      </c>
      <c r="T1485" s="2" t="n">
        <v>216</v>
      </c>
    </row>
    <row r="1486" customFormat="false" ht="18.7" hidden="false" customHeight="true" outlineLevel="0" collapsed="false">
      <c r="A1486" s="1" t="n">
        <v>1485</v>
      </c>
      <c r="B1486" s="7" t="str">
        <f aca="false">HYPERLINK("https://mncourtfraud.com/file/27-CR-21-13147.pdf","27-CR-21-13147")</f>
        <v>27-CR-21-13147</v>
      </c>
      <c r="C1486" s="1" t="n">
        <v>1</v>
      </c>
      <c r="D1486" s="2" t="s">
        <v>12</v>
      </c>
      <c r="E1486" s="8" t="n">
        <v>45412</v>
      </c>
      <c r="F1486" s="2" t="s">
        <v>15</v>
      </c>
      <c r="G1486" s="7" t="str">
        <f aca="false">HYPERLINK("https://mncourtfraud.com/file/MCRO_27-CR-21-13147_Order-Evaluation for Competency to Proceed (Rule 20.01)_2024-04-30_20251126183656.pdf","MCRO_27-CR-21-13147_Order-Evaluation for Competency to Proceed (Rule 20.01)_2024-04-30_20251126183656.pdf")</f>
        <v>MCRO_27-CR-21-13147_Order-Evaluation for Competency to Proceed (Rule 20.01)_2024-04-30_20251126183656.pdf</v>
      </c>
      <c r="H1486" s="7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1486" s="1" t="s">
        <v>3406</v>
      </c>
      <c r="L1486" s="2" t="s">
        <v>3412</v>
      </c>
      <c r="M1486" s="2" t="n">
        <v>154549</v>
      </c>
      <c r="S1486" s="2" t="n">
        <v>2560</v>
      </c>
      <c r="T1486" s="2" t="n">
        <v>3300</v>
      </c>
    </row>
    <row r="1487" customFormat="false" ht="18.7" hidden="false" customHeight="true" outlineLevel="0" collapsed="false">
      <c r="A1487" s="1" t="n">
        <v>1486</v>
      </c>
      <c r="B1487" s="7" t="str">
        <f aca="false">HYPERLINK("https://mncourtfraud.com/file/27-CR-21-13147.pdf","27-CR-21-13147")</f>
        <v>27-CR-21-13147</v>
      </c>
      <c r="C1487" s="1" t="n">
        <v>1</v>
      </c>
      <c r="D1487" s="2" t="s">
        <v>12</v>
      </c>
      <c r="E1487" s="8" t="n">
        <v>45412</v>
      </c>
      <c r="F1487" s="2" t="s">
        <v>15</v>
      </c>
      <c r="G1487" s="7" t="str">
        <f aca="false">HYPERLINK("https://mncourtfraud.com/file/MCRO_27-CR-21-13147_Order-Evaluation for Competency to Proceed (Rule 20.01)_2024-04-30_20251126183656.pdf","MCRO_27-CR-21-13147_Order-Evaluation for Competency to Proceed (Rule 20.01)_2024-04-30_20251126183656.pdf")</f>
        <v>MCRO_27-CR-21-13147_Order-Evaluation for Competency to Proceed (Rule 20.01)_2024-04-30_20251126183656.pdf</v>
      </c>
      <c r="H1487" s="7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1487" s="1" t="s">
        <v>3406</v>
      </c>
      <c r="L1487" s="2" t="s">
        <v>3412</v>
      </c>
      <c r="M1487" s="2" t="n">
        <v>180051</v>
      </c>
      <c r="S1487" s="2" t="n">
        <v>2560</v>
      </c>
      <c r="T1487" s="2" t="n">
        <v>3300</v>
      </c>
    </row>
    <row r="1488" customFormat="false" ht="18.7" hidden="false" customHeight="true" outlineLevel="0" collapsed="false">
      <c r="A1488" s="1" t="n">
        <v>1487</v>
      </c>
      <c r="B1488" s="7" t="str">
        <f aca="false">HYPERLINK("https://mncourtfraud.com/file/27-CR-21-13147.pdf","27-CR-21-13147")</f>
        <v>27-CR-21-13147</v>
      </c>
      <c r="C1488" s="1" t="n">
        <v>1</v>
      </c>
      <c r="D1488" s="2" t="s">
        <v>12</v>
      </c>
      <c r="E1488" s="8" t="n">
        <v>45412</v>
      </c>
      <c r="F1488" s="2" t="s">
        <v>24</v>
      </c>
      <c r="G1488" s="7" t="str">
        <f aca="false">HYPERLINK("https://mncourtfraud.com/file/MCRO_27-CR-21-13147_Order for Conditional Release_2024-04-30_20251126183543.pdf","MCRO_27-CR-21-13147_Order for Conditional Release_2024-04-30_20251126183543.pdf")</f>
        <v>MCRO_27-CR-21-13147_Order for Conditional Release_2024-04-30_20251126183543.pdf</v>
      </c>
      <c r="H1488" s="7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1488" s="1" t="s">
        <v>3406</v>
      </c>
      <c r="L1488" s="2" t="s">
        <v>3412</v>
      </c>
      <c r="M1488" s="2" t="n">
        <v>38726</v>
      </c>
      <c r="S1488" s="2" t="n">
        <v>2560</v>
      </c>
      <c r="T1488" s="2" t="n">
        <v>3300</v>
      </c>
    </row>
    <row r="1489" customFormat="false" ht="18.7" hidden="false" customHeight="true" outlineLevel="0" collapsed="false">
      <c r="A1489" s="1" t="n">
        <v>1488</v>
      </c>
      <c r="B1489" s="7" t="str">
        <f aca="false">HYPERLINK("https://mncourtfraud.com/file/27-CR-21-13147.pdf","27-CR-21-13147")</f>
        <v>27-CR-21-13147</v>
      </c>
      <c r="C1489" s="1" t="n">
        <v>1</v>
      </c>
      <c r="D1489" s="2" t="s">
        <v>12</v>
      </c>
      <c r="E1489" s="8" t="n">
        <v>45412</v>
      </c>
      <c r="F1489" s="2" t="s">
        <v>15</v>
      </c>
      <c r="G1489" s="7" t="str">
        <f aca="false">HYPERLINK("https://mncourtfraud.com/file/MCRO_27-CR-21-13147_Order-Evaluation for Competency to Proceed (Rule 20.01)_2024-04-30_20251126183656.pdf","MCRO_27-CR-21-13147_Order-Evaluation for Competency to Proceed (Rule 20.01)_2024-04-30_20251126183656.pdf")</f>
        <v>MCRO_27-CR-21-13147_Order-Evaluation for Competency to Proceed (Rule 20.01)_2024-04-30_20251126183656.pdf</v>
      </c>
      <c r="H1489" s="7" t="str">
        <f aca="false">HYPERLINK("https://mncourtfraud.com/file/4db7d2599119dc45c08adba3b9b2ba67e6a3d697261d3f95ca4c5b01777bcfbe.ttf","4db7d2599119dc45c08adba3b9b2ba67e6a3d697261d3f95ca4c5b01777bcfbe")</f>
        <v>4db7d2599119dc45c08adba3b9b2ba67e6a3d697261d3f95ca4c5b01777bcfbe</v>
      </c>
      <c r="I1489" s="1" t="s">
        <v>3413</v>
      </c>
      <c r="L1489" s="2" t="s">
        <v>3415</v>
      </c>
      <c r="M1489" s="2" t="n">
        <v>333576</v>
      </c>
    </row>
    <row r="1490" customFormat="false" ht="18.7" hidden="false" customHeight="true" outlineLevel="0" collapsed="false">
      <c r="A1490" s="1" t="n">
        <v>1489</v>
      </c>
      <c r="B1490" s="7" t="str">
        <f aca="false">HYPERLINK("https://mncourtfraud.com/file/27-CR-21-13147.pdf","27-CR-21-13147")</f>
        <v>27-CR-21-13147</v>
      </c>
      <c r="C1490" s="1" t="n">
        <v>1</v>
      </c>
      <c r="D1490" s="2" t="s">
        <v>12</v>
      </c>
      <c r="E1490" s="8" t="n">
        <v>45412</v>
      </c>
      <c r="F1490" s="2" t="s">
        <v>15</v>
      </c>
      <c r="G1490" s="7" t="str">
        <f aca="false">HYPERLINK("https://mncourtfraud.com/file/MCRO_27-CR-21-13147_Order-Evaluation for Competency to Proceed (Rule 20.01)_2024-04-30_20251126183656.pdf","MCRO_27-CR-21-13147_Order-Evaluation for Competency to Proceed (Rule 20.01)_2024-04-30_20251126183656.pdf")</f>
        <v>MCRO_27-CR-21-13147_Order-Evaluation for Competency to Proceed (Rule 20.01)_2024-04-30_20251126183656.pdf</v>
      </c>
      <c r="H1490" s="7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1490" s="1" t="s">
        <v>3406</v>
      </c>
      <c r="L1490" s="2" t="s">
        <v>3412</v>
      </c>
      <c r="M1490" s="2" t="n">
        <v>71271</v>
      </c>
      <c r="S1490" s="2" t="n">
        <v>2560</v>
      </c>
      <c r="T1490" s="2" t="n">
        <v>3300</v>
      </c>
    </row>
    <row r="1491" customFormat="false" ht="18.7" hidden="false" customHeight="true" outlineLevel="0" collapsed="false">
      <c r="A1491" s="1" t="n">
        <v>1490</v>
      </c>
      <c r="B1491" s="7" t="str">
        <f aca="false">HYPERLINK("https://mncourtfraud.com/file/27-CR-21-13147.pdf","27-CR-21-13147")</f>
        <v>27-CR-21-13147</v>
      </c>
      <c r="C1491" s="1" t="n">
        <v>1</v>
      </c>
      <c r="D1491" s="2" t="s">
        <v>12</v>
      </c>
      <c r="E1491" s="8" t="n">
        <v>45412</v>
      </c>
      <c r="F1491" s="2" t="s">
        <v>24</v>
      </c>
      <c r="G1491" s="7" t="str">
        <f aca="false">HYPERLINK("https://mncourtfraud.com/file/MCRO_27-CR-21-13147_Order for Conditional Release_2024-04-30_20251126183543.pdf","MCRO_27-CR-21-13147_Order for Conditional Release_2024-04-30_20251126183543.pdf")</f>
        <v>MCRO_27-CR-21-13147_Order for Conditional Release_2024-04-30_20251126183543.pdf</v>
      </c>
      <c r="H1491" s="7" t="str">
        <f aca="false">HYPERLINK("https://mncourtfraud.com/file/d5cf4f06aaee8f372e6af86dab12d75d131a3ba68ba6baeac4b7b514ef3e0b85.ttf","d5cf4f06aaee8f372e6af86dab12d75d131a3ba68ba6baeac4b7b514ef3e0b85")</f>
        <v>d5cf4f06aaee8f372e6af86dab12d75d131a3ba68ba6baeac4b7b514ef3e0b85</v>
      </c>
      <c r="I1491" s="1" t="s">
        <v>3413</v>
      </c>
      <c r="L1491" s="2" t="s">
        <v>3415</v>
      </c>
      <c r="M1491" s="2" t="n">
        <v>333576</v>
      </c>
    </row>
    <row r="1492" customFormat="false" ht="18.7" hidden="false" customHeight="true" outlineLevel="0" collapsed="false">
      <c r="A1492" s="1" t="n">
        <v>1491</v>
      </c>
      <c r="B1492" s="7" t="str">
        <f aca="false">HYPERLINK("https://mncourtfraud.com/file/27-CR-21-13147.pdf","27-CR-21-13147")</f>
        <v>27-CR-21-13147</v>
      </c>
      <c r="C1492" s="1" t="n">
        <v>1</v>
      </c>
      <c r="D1492" s="2" t="s">
        <v>12</v>
      </c>
      <c r="E1492" s="8" t="n">
        <v>45412</v>
      </c>
      <c r="F1492" s="2" t="s">
        <v>24</v>
      </c>
      <c r="G1492" s="7" t="str">
        <f aca="false">HYPERLINK("https://mncourtfraud.com/file/MCRO_27-CR-21-13147_Order for Conditional Release_2024-04-30_20251126183543.pdf","MCRO_27-CR-21-13147_Order for Conditional Release_2024-04-30_20251126183543.pdf")</f>
        <v>MCRO_27-CR-21-13147_Order for Conditional Release_2024-04-30_20251126183543.pdf</v>
      </c>
      <c r="H1492" s="7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1492" s="1" t="s">
        <v>3406</v>
      </c>
      <c r="L1492" s="2" t="s">
        <v>3412</v>
      </c>
      <c r="M1492" s="2" t="n">
        <v>195018</v>
      </c>
      <c r="S1492" s="2" t="n">
        <v>2560</v>
      </c>
      <c r="T1492" s="2" t="n">
        <v>3300</v>
      </c>
    </row>
    <row r="1493" customFormat="false" ht="18.7" hidden="false" customHeight="true" outlineLevel="0" collapsed="false">
      <c r="A1493" s="1" t="n">
        <v>1492</v>
      </c>
      <c r="B1493" s="7" t="str">
        <f aca="false">HYPERLINK("https://mncourtfraud.com/file/27-CR-21-13150.pdf","27-CR-21-13150")</f>
        <v>27-CR-21-13150</v>
      </c>
      <c r="C1493" s="1" t="n">
        <v>1</v>
      </c>
      <c r="D1493" s="2" t="s">
        <v>12</v>
      </c>
      <c r="E1493" s="8" t="n">
        <v>44396</v>
      </c>
      <c r="F1493" s="2" t="s">
        <v>15</v>
      </c>
      <c r="G1493" s="7" t="str">
        <f aca="false">HYPERLINK("https://mncourtfraud.com/file/MCRO_27-CR-21-13150_Order-Evaluation for Competency to Proceed (Rule 20.01)_2021-07-19_20251126183857.pdf","MCRO_27-CR-21-13150_Order-Evaluation for Competency to Proceed (Rule 20.01)_2021-07-19_20251126183857.pdf")</f>
        <v>MCRO_27-CR-21-13150_Order-Evaluation for Competency to Proceed (Rule 20.01)_2021-07-19_20251126183857.pdf</v>
      </c>
      <c r="H1493" s="7" t="str">
        <f aca="false">HYPERLINK("https://mncourtfraud.com/file/3ab03f19b2a9660bb3e387e07046f791108a0bb926a8906f2c10b3d278d3bc1b.png","3ab03f19b2a9660bb3e387e07046f791108a0bb926a8906f2c10b3d278d3bc1b")</f>
        <v>3ab03f19b2a9660bb3e387e07046f791108a0bb926a8906f2c10b3d278d3bc1b</v>
      </c>
      <c r="I1493" s="1" t="s">
        <v>3406</v>
      </c>
      <c r="L1493" s="2" t="s">
        <v>3412</v>
      </c>
      <c r="M1493" s="2" t="n">
        <v>145727</v>
      </c>
      <c r="S1493" s="2" t="n">
        <v>2550</v>
      </c>
      <c r="T1493" s="2" t="n">
        <v>3300</v>
      </c>
    </row>
    <row r="1494" customFormat="false" ht="18.7" hidden="false" customHeight="true" outlineLevel="0" collapsed="false">
      <c r="A1494" s="1" t="n">
        <v>1493</v>
      </c>
      <c r="B1494" s="7" t="str">
        <f aca="false">HYPERLINK("https://mncourtfraud.com/file/27-CR-21-13150.pdf","27-CR-21-13150")</f>
        <v>27-CR-21-13150</v>
      </c>
      <c r="C1494" s="1" t="n">
        <v>1</v>
      </c>
      <c r="D1494" s="2" t="s">
        <v>12</v>
      </c>
      <c r="E1494" s="8" t="n">
        <v>44396</v>
      </c>
      <c r="F1494" s="2" t="s">
        <v>15</v>
      </c>
      <c r="G1494" s="7" t="str">
        <f aca="false">HYPERLINK("https://mncourtfraud.com/file/MCRO_27-CR-21-13150_Order-Evaluation for Competency to Proceed (Rule 20.01)_2021-07-19_20251126183857.pdf","MCRO_27-CR-21-13150_Order-Evaluation for Competency to Proceed (Rule 20.01)_2021-07-19_20251126183857.pdf")</f>
        <v>MCRO_27-CR-21-13150_Order-Evaluation for Competency to Proceed (Rule 20.01)_2021-07-19_20251126183857.pdf</v>
      </c>
      <c r="H1494" s="7" t="str">
        <f aca="false">HYPERLINK("https://mncourtfraud.com/file/5ec78e09b5c7f2330a4c5f97d6d7cfaa1fb32d9913dd216d20cc6fb7c9ea8534.png","5ec78e09b5c7f2330a4c5f97d6d7cfaa1fb32d9913dd216d20cc6fb7c9ea8534")</f>
        <v>5ec78e09b5c7f2330a4c5f97d6d7cfaa1fb32d9913dd216d20cc6fb7c9ea8534</v>
      </c>
      <c r="I1494" s="1" t="s">
        <v>3406</v>
      </c>
      <c r="L1494" s="2" t="s">
        <v>3412</v>
      </c>
      <c r="M1494" s="2" t="n">
        <v>154582</v>
      </c>
      <c r="S1494" s="2" t="n">
        <v>2550</v>
      </c>
      <c r="T1494" s="2" t="n">
        <v>3300</v>
      </c>
    </row>
    <row r="1495" customFormat="false" ht="18.7" hidden="false" customHeight="true" outlineLevel="0" collapsed="false">
      <c r="A1495" s="1" t="n">
        <v>1494</v>
      </c>
      <c r="B1495" s="7" t="str">
        <f aca="false">HYPERLINK("https://mncourtfraud.com/file/27-CR-21-13150.pdf","27-CR-21-13150")</f>
        <v>27-CR-21-13150</v>
      </c>
      <c r="C1495" s="1" t="n">
        <v>1</v>
      </c>
      <c r="D1495" s="2" t="s">
        <v>12</v>
      </c>
      <c r="E1495" s="8" t="n">
        <v>44396</v>
      </c>
      <c r="F1495" s="2" t="s">
        <v>15</v>
      </c>
      <c r="G1495" s="7" t="str">
        <f aca="false">HYPERLINK("https://mncourtfraud.com/file/MCRO_27-CR-21-13150_Order-Evaluation for Competency to Proceed (Rule 20.01)_2021-07-19_20251126183857.pdf","MCRO_27-CR-21-13150_Order-Evaluation for Competency to Proceed (Rule 20.01)_2021-07-19_20251126183857.pdf")</f>
        <v>MCRO_27-CR-21-13150_Order-Evaluation for Competency to Proceed (Rule 20.01)_2021-07-19_20251126183857.pdf</v>
      </c>
      <c r="H1495" s="7" t="str">
        <f aca="false">HYPERLINK("https://mncourtfraud.com/file/fd32bdf5517352c3aed0cd3e935868bd30d80e0e065b93b8702f0507bd66549f.ttf","fd32bdf5517352c3aed0cd3e935868bd30d80e0e065b93b8702f0507bd66549f")</f>
        <v>fd32bdf5517352c3aed0cd3e935868bd30d80e0e065b93b8702f0507bd66549f</v>
      </c>
      <c r="I1495" s="1" t="s">
        <v>3413</v>
      </c>
      <c r="L1495" s="2" t="s">
        <v>3415</v>
      </c>
      <c r="M1495" s="2" t="n">
        <v>333576</v>
      </c>
    </row>
    <row r="1496" customFormat="false" ht="18.7" hidden="false" customHeight="true" outlineLevel="0" collapsed="false">
      <c r="A1496" s="1" t="n">
        <v>1495</v>
      </c>
      <c r="B1496" s="7" t="str">
        <f aca="false">HYPERLINK("https://mncourtfraud.com/file/27-CR-21-13150.pdf","27-CR-21-13150")</f>
        <v>27-CR-21-13150</v>
      </c>
      <c r="C1496" s="1" t="n">
        <v>1</v>
      </c>
      <c r="D1496" s="2" t="s">
        <v>12</v>
      </c>
      <c r="E1496" s="8" t="n">
        <v>44405</v>
      </c>
      <c r="F1496" s="2" t="s">
        <v>145</v>
      </c>
      <c r="G1496" s="7" t="str">
        <f aca="false">HYPERLINK("https://mncourtfraud.com/file/MCRO_27-CR-21-13150_Demand or Request for Discovery_2021-07-28_20251126183738.pdf","MCRO_27-CR-21-13150_Demand or Request for Discovery_2021-07-28_20251126183738.pdf")</f>
        <v>MCRO_27-CR-21-13150_Demand or Request for Discovery_2021-07-28_20251126183738.pdf</v>
      </c>
      <c r="H1496" s="7" t="str">
        <f aca="false">HYPERLINK("https://mncourtfraud.com/file/21e684eab740a7107e4a41fbd374e59fbf4f638150ed823101cdb2865d6dceb6.ttf","21e684eab740a7107e4a41fbd374e59fbf4f638150ed823101cdb2865d6dceb6")</f>
        <v>21e684eab740a7107e4a41fbd374e59fbf4f638150ed823101cdb2865d6dceb6</v>
      </c>
      <c r="I1496" s="1" t="s">
        <v>3413</v>
      </c>
      <c r="J1496" s="2" t="s">
        <v>3521</v>
      </c>
      <c r="K1496" s="2" t="s">
        <v>3521</v>
      </c>
      <c r="L1496" s="2" t="s">
        <v>3415</v>
      </c>
      <c r="M1496" s="2" t="n">
        <v>98894</v>
      </c>
      <c r="N1496" s="2" t="s">
        <v>3522</v>
      </c>
    </row>
    <row r="1497" customFormat="false" ht="18.7" hidden="false" customHeight="true" outlineLevel="0" collapsed="false">
      <c r="A1497" s="1" t="n">
        <v>1496</v>
      </c>
      <c r="B1497" s="7" t="str">
        <f aca="false">HYPERLINK("https://mncourtfraud.com/file/27-CR-21-13150.pdf","27-CR-21-13150")</f>
        <v>27-CR-21-13150</v>
      </c>
      <c r="C1497" s="1" t="n">
        <v>1</v>
      </c>
      <c r="D1497" s="2" t="s">
        <v>12</v>
      </c>
      <c r="E1497" s="8" t="n">
        <v>44405</v>
      </c>
      <c r="F1497" s="2" t="s">
        <v>145</v>
      </c>
      <c r="G1497" s="7" t="str">
        <f aca="false">HYPERLINK("https://mncourtfraud.com/file/MCRO_27-CR-21-13150_Demand or Request for Discovery_2021-07-28_20251126183738.pdf","MCRO_27-CR-21-13150_Demand or Request for Discovery_2021-07-28_20251126183738.pdf")</f>
        <v>MCRO_27-CR-21-13150_Demand or Request for Discovery_2021-07-28_20251126183738.pdf</v>
      </c>
      <c r="H1497" s="7" t="str">
        <f aca="false">HYPERLINK("https://mncourtfraud.com/file/2a3aa8a4f5aef791075b9ff218128ba7b895aa24fab1aed734708685f1c00c77.ttf","2a3aa8a4f5aef791075b9ff218128ba7b895aa24fab1aed734708685f1c00c77")</f>
        <v>2a3aa8a4f5aef791075b9ff218128ba7b895aa24fab1aed734708685f1c00c77</v>
      </c>
      <c r="I1497" s="1" t="s">
        <v>3413</v>
      </c>
      <c r="J1497" s="2" t="s">
        <v>3523</v>
      </c>
      <c r="K1497" s="2" t="s">
        <v>3523</v>
      </c>
      <c r="L1497" s="2" t="s">
        <v>3415</v>
      </c>
      <c r="M1497" s="2" t="n">
        <v>51515</v>
      </c>
      <c r="N1497" s="2" t="s">
        <v>3524</v>
      </c>
    </row>
    <row r="1498" customFormat="false" ht="18.7" hidden="false" customHeight="true" outlineLevel="0" collapsed="false">
      <c r="A1498" s="1" t="n">
        <v>1497</v>
      </c>
      <c r="B1498" s="7" t="str">
        <f aca="false">HYPERLINK("https://mncourtfraud.com/file/27-CR-21-13150.pdf","27-CR-21-13150")</f>
        <v>27-CR-21-13150</v>
      </c>
      <c r="C1498" s="1" t="n">
        <v>1</v>
      </c>
      <c r="D1498" s="2" t="s">
        <v>12</v>
      </c>
      <c r="E1498" s="8" t="n">
        <v>44405</v>
      </c>
      <c r="F1498" s="2" t="s">
        <v>145</v>
      </c>
      <c r="G1498" s="7" t="str">
        <f aca="false">HYPERLINK("https://mncourtfraud.com/file/MCRO_27-CR-21-13150_Demand or Request for Discovery_2021-07-28_20251126183738.pdf","MCRO_27-CR-21-13150_Demand or Request for Discovery_2021-07-28_20251126183738.pdf")</f>
        <v>MCRO_27-CR-21-13150_Demand or Request for Discovery_2021-07-28_20251126183738.pdf</v>
      </c>
      <c r="H1498" s="7" t="str">
        <f aca="false">HYPERLINK("https://mncourtfraud.com/file/373dc5fd645971159101b6ca7519f775d8f5ad706718207ffcb00b4a8b5a47f2.ttf","373dc5fd645971159101b6ca7519f775d8f5ad706718207ffcb00b4a8b5a47f2")</f>
        <v>373dc5fd645971159101b6ca7519f775d8f5ad706718207ffcb00b4a8b5a47f2</v>
      </c>
      <c r="I1498" s="1" t="s">
        <v>3413</v>
      </c>
      <c r="J1498" s="2" t="s">
        <v>3525</v>
      </c>
      <c r="K1498" s="2" t="s">
        <v>3525</v>
      </c>
      <c r="L1498" s="2" t="s">
        <v>3415</v>
      </c>
      <c r="M1498" s="2" t="n">
        <v>38978</v>
      </c>
      <c r="N1498" s="2" t="s">
        <v>3526</v>
      </c>
    </row>
    <row r="1499" customFormat="false" ht="18.7" hidden="false" customHeight="true" outlineLevel="0" collapsed="false">
      <c r="A1499" s="1" t="n">
        <v>1498</v>
      </c>
      <c r="B1499" s="7" t="str">
        <f aca="false">HYPERLINK("https://mncourtfraud.com/file/27-CR-21-13150.pdf","27-CR-21-13150")</f>
        <v>27-CR-21-13150</v>
      </c>
      <c r="C1499" s="1" t="n">
        <v>1</v>
      </c>
      <c r="D1499" s="2" t="s">
        <v>12</v>
      </c>
      <c r="E1499" s="8" t="n">
        <v>44405</v>
      </c>
      <c r="F1499" s="2" t="s">
        <v>145</v>
      </c>
      <c r="G1499" s="7" t="str">
        <f aca="false">HYPERLINK("https://mncourtfraud.com/file/MCRO_27-CR-21-13150_Demand or Request for Discovery_2021-07-28_20251126183738.pdf","MCRO_27-CR-21-13150_Demand or Request for Discovery_2021-07-28_20251126183738.pdf")</f>
        <v>MCRO_27-CR-21-13150_Demand or Request for Discovery_2021-07-28_20251126183738.pdf</v>
      </c>
      <c r="H1499" s="7" t="str">
        <f aca="false">HYPERLINK("https://mncourtfraud.com/file/a6385997b45fca76006634e3bb3cc4e2039eb84b80ca90b4929f7be01484a630.ttf","a6385997b45fca76006634e3bb3cc4e2039eb84b80ca90b4929f7be01484a630")</f>
        <v>a6385997b45fca76006634e3bb3cc4e2039eb84b80ca90b4929f7be01484a630</v>
      </c>
      <c r="I1499" s="1" t="s">
        <v>3413</v>
      </c>
      <c r="J1499" s="2" t="s">
        <v>3527</v>
      </c>
      <c r="K1499" s="2" t="s">
        <v>3527</v>
      </c>
      <c r="L1499" s="2" t="s">
        <v>3415</v>
      </c>
      <c r="M1499" s="2" t="n">
        <v>78200</v>
      </c>
      <c r="N1499" s="2" t="s">
        <v>3528</v>
      </c>
    </row>
    <row r="1500" customFormat="false" ht="18.7" hidden="false" customHeight="true" outlineLevel="0" collapsed="false">
      <c r="A1500" s="1" t="n">
        <v>1499</v>
      </c>
      <c r="B1500" s="7" t="str">
        <f aca="false">HYPERLINK("https://mncourtfraud.com/file/27-CR-21-13150.pdf","27-CR-21-13150")</f>
        <v>27-CR-21-13150</v>
      </c>
      <c r="C1500" s="1" t="n">
        <v>1</v>
      </c>
      <c r="D1500" s="2" t="s">
        <v>12</v>
      </c>
      <c r="E1500" s="8" t="n">
        <v>44439</v>
      </c>
      <c r="F1500" s="2" t="s">
        <v>19</v>
      </c>
      <c r="G1500" s="7" t="str">
        <f aca="false">HYPERLINK("https://mncourtfraud.com/file/MCRO_27-CR-21-13150_Findings and Order_2021-08-31_20251126183809.pdf","MCRO_27-CR-21-13150_Findings and Order_2021-08-31_20251126183809.pdf")</f>
        <v>MCRO_27-CR-21-13150_Findings and Order_2021-08-31_20251126183809.pdf</v>
      </c>
      <c r="H1500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1500" s="1" t="s">
        <v>3413</v>
      </c>
      <c r="J1500" s="2" t="s">
        <v>3426</v>
      </c>
      <c r="K1500" s="2" t="s">
        <v>3426</v>
      </c>
      <c r="L1500" s="2" t="s">
        <v>3415</v>
      </c>
      <c r="M1500" s="2" t="n">
        <v>74997</v>
      </c>
      <c r="N1500" s="2" t="s">
        <v>3427</v>
      </c>
    </row>
    <row r="1501" customFormat="false" ht="18.7" hidden="false" customHeight="true" outlineLevel="0" collapsed="false">
      <c r="A1501" s="1" t="n">
        <v>1500</v>
      </c>
      <c r="B1501" s="7" t="str">
        <f aca="false">HYPERLINK("https://mncourtfraud.com/file/27-CR-21-13150.pdf","27-CR-21-13150")</f>
        <v>27-CR-21-13150</v>
      </c>
      <c r="C1501" s="1" t="n">
        <v>1</v>
      </c>
      <c r="D1501" s="2" t="s">
        <v>12</v>
      </c>
      <c r="E1501" s="8" t="n">
        <v>44439</v>
      </c>
      <c r="F1501" s="2" t="s">
        <v>19</v>
      </c>
      <c r="G1501" s="7" t="str">
        <f aca="false">HYPERLINK("https://mncourtfraud.com/file/MCRO_27-CR-21-13150_Findings and Order_2021-08-31_20251126183809.pdf","MCRO_27-CR-21-13150_Findings and Order_2021-08-31_20251126183809.pdf")</f>
        <v>MCRO_27-CR-21-13150_Findings and Order_2021-08-31_20251126183809.pdf</v>
      </c>
      <c r="H1501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1501" s="1" t="s">
        <v>3413</v>
      </c>
      <c r="J1501" s="2" t="s">
        <v>3414</v>
      </c>
      <c r="K1501" s="2" t="s">
        <v>3414</v>
      </c>
      <c r="L1501" s="2" t="s">
        <v>3415</v>
      </c>
      <c r="M1501" s="2" t="n">
        <v>65384</v>
      </c>
    </row>
    <row r="1502" customFormat="false" ht="18.7" hidden="false" customHeight="true" outlineLevel="0" collapsed="false">
      <c r="A1502" s="1" t="n">
        <v>1501</v>
      </c>
      <c r="B1502" s="7" t="str">
        <f aca="false">HYPERLINK("https://mncourtfraud.com/file/27-CR-21-13150.pdf","27-CR-21-13150")</f>
        <v>27-CR-21-13150</v>
      </c>
      <c r="C1502" s="1" t="n">
        <v>1</v>
      </c>
      <c r="D1502" s="2" t="s">
        <v>12</v>
      </c>
      <c r="E1502" s="8" t="n">
        <v>44439</v>
      </c>
      <c r="F1502" s="2" t="s">
        <v>19</v>
      </c>
      <c r="G1502" s="7" t="str">
        <f aca="false">HYPERLINK("https://mncourtfraud.com/file/MCRO_27-CR-21-13150_Findings and Order_2021-08-31_20251126183809.pdf","MCRO_27-CR-21-13150_Findings and Order_2021-08-31_20251126183809.pdf")</f>
        <v>MCRO_27-CR-21-13150_Findings and Order_2021-08-31_20251126183809.pdf</v>
      </c>
      <c r="H1502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1502" s="1" t="s">
        <v>3413</v>
      </c>
      <c r="J1502" s="2" t="s">
        <v>3414</v>
      </c>
      <c r="K1502" s="2" t="s">
        <v>3414</v>
      </c>
      <c r="L1502" s="2" t="s">
        <v>3415</v>
      </c>
      <c r="M1502" s="2" t="n">
        <v>65384</v>
      </c>
    </row>
    <row r="1503" customFormat="false" ht="18.7" hidden="false" customHeight="true" outlineLevel="0" collapsed="false">
      <c r="A1503" s="1" t="n">
        <v>1502</v>
      </c>
      <c r="B1503" s="7" t="str">
        <f aca="false">HYPERLINK("https://mncourtfraud.com/file/27-CR-21-13150.pdf","27-CR-21-13150")</f>
        <v>27-CR-21-13150</v>
      </c>
      <c r="C1503" s="1" t="n">
        <v>1</v>
      </c>
      <c r="D1503" s="2" t="s">
        <v>12</v>
      </c>
      <c r="E1503" s="8" t="n">
        <v>44439</v>
      </c>
      <c r="F1503" s="2" t="s">
        <v>19</v>
      </c>
      <c r="G1503" s="7" t="str">
        <f aca="false">HYPERLINK("https://mncourtfraud.com/file/MCRO_27-CR-21-13150_Findings and Order_2021-08-31_20251126183809.pdf","MCRO_27-CR-21-13150_Findings and Order_2021-08-31_20251126183809.pdf")</f>
        <v>MCRO_27-CR-21-13150_Findings and Order_2021-08-31_20251126183809.pdf</v>
      </c>
      <c r="H1503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1503" s="1" t="s">
        <v>3428</v>
      </c>
      <c r="J1503" s="2" t="s">
        <v>3429</v>
      </c>
      <c r="K1503" s="2" t="s">
        <v>3429</v>
      </c>
      <c r="L1503" s="2" t="s">
        <v>3415</v>
      </c>
      <c r="M1503" s="2" t="n">
        <v>86093</v>
      </c>
    </row>
    <row r="1504" customFormat="false" ht="18.7" hidden="false" customHeight="true" outlineLevel="0" collapsed="false">
      <c r="A1504" s="1" t="n">
        <v>1503</v>
      </c>
      <c r="B1504" s="7" t="str">
        <f aca="false">HYPERLINK("https://mncourtfraud.com/file/27-CR-21-13150.pdf","27-CR-21-13150")</f>
        <v>27-CR-21-13150</v>
      </c>
      <c r="C1504" s="1" t="n">
        <v>1</v>
      </c>
      <c r="D1504" s="2" t="s">
        <v>12</v>
      </c>
      <c r="E1504" s="8" t="n">
        <v>44439</v>
      </c>
      <c r="F1504" s="2" t="s">
        <v>19</v>
      </c>
      <c r="G1504" s="7" t="str">
        <f aca="false">HYPERLINK("https://mncourtfraud.com/file/MCRO_27-CR-21-13150_Findings and Order_2021-08-31_20251126183809.pdf","MCRO_27-CR-21-13150_Findings and Order_2021-08-31_20251126183809.pdf")</f>
        <v>MCRO_27-CR-21-13150_Findings and Order_2021-08-31_20251126183809.pdf</v>
      </c>
      <c r="H1504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1504" s="1" t="s">
        <v>3406</v>
      </c>
      <c r="K1504" s="2" t="s">
        <v>3430</v>
      </c>
      <c r="L1504" s="2" t="s">
        <v>3408</v>
      </c>
      <c r="M1504" s="2" t="n">
        <v>28069</v>
      </c>
      <c r="O1504" s="2" t="s">
        <v>3409</v>
      </c>
      <c r="P1504" s="2" t="s">
        <v>3410</v>
      </c>
      <c r="S1504" s="2" t="n">
        <v>448</v>
      </c>
      <c r="T1504" s="2" t="n">
        <v>128</v>
      </c>
    </row>
    <row r="1505" customFormat="false" ht="18.7" hidden="false" customHeight="true" outlineLevel="0" collapsed="false">
      <c r="A1505" s="1" t="n">
        <v>1504</v>
      </c>
      <c r="B1505" s="7" t="str">
        <f aca="false">HYPERLINK("https://mncourtfraud.com/file/27-CR-21-13150.pdf","27-CR-21-13150")</f>
        <v>27-CR-21-13150</v>
      </c>
      <c r="C1505" s="1" t="n">
        <v>1</v>
      </c>
      <c r="D1505" s="2" t="s">
        <v>12</v>
      </c>
      <c r="E1505" s="8" t="n">
        <v>44439</v>
      </c>
      <c r="F1505" s="2" t="s">
        <v>19</v>
      </c>
      <c r="G1505" s="7" t="str">
        <f aca="false">HYPERLINK("https://mncourtfraud.com/file/MCRO_27-CR-21-13150_Findings and Order_2021-08-31_20251126183809.pdf","MCRO_27-CR-21-13150_Findings and Order_2021-08-31_20251126183809.pdf")</f>
        <v>MCRO_27-CR-21-13150_Findings and Order_2021-08-31_20251126183809.pdf</v>
      </c>
      <c r="H1505" s="7" t="str">
        <f aca="false">HYPERLINK("https://mncourtfraud.com/file/d85226137c53579f37f2c87321a4ff209a309a82330591d9457774d7d697befc.ttf","d85226137c53579f37f2c87321a4ff209a309a82330591d9457774d7d697befc")</f>
        <v>d85226137c53579f37f2c87321a4ff209a309a82330591d9457774d7d697befc</v>
      </c>
      <c r="I1505" s="1" t="s">
        <v>3413</v>
      </c>
      <c r="J1505" s="2" t="s">
        <v>3414</v>
      </c>
      <c r="K1505" s="2" t="s">
        <v>3416</v>
      </c>
      <c r="L1505" s="2" t="s">
        <v>3415</v>
      </c>
      <c r="M1505" s="2" t="n">
        <v>49992</v>
      </c>
    </row>
    <row r="1506" customFormat="false" ht="18.7" hidden="false" customHeight="true" outlineLevel="0" collapsed="false">
      <c r="A1506" s="1" t="n">
        <v>1505</v>
      </c>
      <c r="B1506" s="7" t="str">
        <f aca="false">HYPERLINK("https://mncourtfraud.com/file/27-CR-21-13150.pdf","27-CR-21-13150")</f>
        <v>27-CR-21-13150</v>
      </c>
      <c r="C1506" s="1" t="n">
        <v>1</v>
      </c>
      <c r="D1506" s="2" t="s">
        <v>12</v>
      </c>
      <c r="E1506" s="8" t="n">
        <v>44460</v>
      </c>
      <c r="F1506" s="2" t="s">
        <v>24</v>
      </c>
      <c r="G1506" s="7" t="str">
        <f aca="false">HYPERLINK("https://mncourtfraud.com/file/MCRO_27-CR-21-13150_Order for Conditional Release_2021-09-21_20251126183841.pdf","MCRO_27-CR-21-13150_Order for Conditional Release_2021-09-21_20251126183841.pdf")</f>
        <v>MCRO_27-CR-21-13150_Order for Conditional Release_2021-09-21_20251126183841.pdf</v>
      </c>
      <c r="H1506" s="7" t="str">
        <f aca="false">HYPERLINK("https://mncourtfraud.com/file/02dfb6e08fd11b3563d1b9b621b56dbf2dc11acbd85e42bfd83f728fb300bef2.ttf","02dfb6e08fd11b3563d1b9b621b56dbf2dc11acbd85e42bfd83f728fb300bef2")</f>
        <v>02dfb6e08fd11b3563d1b9b621b56dbf2dc11acbd85e42bfd83f728fb300bef2</v>
      </c>
      <c r="I1506" s="1" t="s">
        <v>3413</v>
      </c>
      <c r="L1506" s="2" t="s">
        <v>3415</v>
      </c>
      <c r="M1506" s="2" t="n">
        <v>333576</v>
      </c>
    </row>
    <row r="1507" customFormat="false" ht="18.7" hidden="false" customHeight="true" outlineLevel="0" collapsed="false">
      <c r="A1507" s="1" t="n">
        <v>1506</v>
      </c>
      <c r="B1507" s="7" t="str">
        <f aca="false">HYPERLINK("https://mncourtfraud.com/file/27-CR-21-13150.pdf","27-CR-21-13150")</f>
        <v>27-CR-21-13150</v>
      </c>
      <c r="C1507" s="1" t="n">
        <v>1</v>
      </c>
      <c r="D1507" s="2" t="s">
        <v>12</v>
      </c>
      <c r="E1507" s="8" t="n">
        <v>44460</v>
      </c>
      <c r="F1507" s="2" t="s">
        <v>24</v>
      </c>
      <c r="G1507" s="7" t="str">
        <f aca="false">HYPERLINK("https://mncourtfraud.com/file/MCRO_27-CR-21-13150_Order for Conditional Release_2021-09-21_20251126183841.pdf","MCRO_27-CR-21-13150_Order for Conditional Release_2021-09-21_20251126183841.pdf")</f>
        <v>MCRO_27-CR-21-13150_Order for Conditional Release_2021-09-21_20251126183841.pdf</v>
      </c>
      <c r="H1507" s="7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1507" s="1" t="s">
        <v>3406</v>
      </c>
      <c r="L1507" s="2" t="s">
        <v>3412</v>
      </c>
      <c r="M1507" s="2" t="n">
        <v>152962</v>
      </c>
      <c r="S1507" s="2" t="n">
        <v>2560</v>
      </c>
      <c r="T1507" s="2" t="n">
        <v>3300</v>
      </c>
    </row>
    <row r="1508" customFormat="false" ht="18.7" hidden="false" customHeight="true" outlineLevel="0" collapsed="false">
      <c r="A1508" s="1" t="n">
        <v>1507</v>
      </c>
      <c r="B1508" s="7" t="str">
        <f aca="false">HYPERLINK("https://mncourtfraud.com/file/27-CR-21-13150.pdf","27-CR-21-13150")</f>
        <v>27-CR-21-13150</v>
      </c>
      <c r="C1508" s="1" t="n">
        <v>1</v>
      </c>
      <c r="D1508" s="2" t="s">
        <v>12</v>
      </c>
      <c r="E1508" s="8" t="n">
        <v>44468</v>
      </c>
      <c r="F1508" s="2" t="s">
        <v>24</v>
      </c>
      <c r="G1508" s="7" t="str">
        <f aca="false">HYPERLINK("https://mncourtfraud.com/file/MCRO_27-CR-21-13150_Order for Conditional Release_2021-09-29_20251126183846.pdf","MCRO_27-CR-21-13150_Order for Conditional Release_2021-09-29_20251126183846.pdf")</f>
        <v>MCRO_27-CR-21-13150_Order for Conditional Release_2021-09-29_20251126183846.pdf</v>
      </c>
      <c r="H1508" s="7" t="str">
        <f aca="false">HYPERLINK("https://mncourtfraud.com/file/29d541cb6920f2a0815a72232c8164e19ffda7ff89f025261d343aef97d55c23.png","29d541cb6920f2a0815a72232c8164e19ffda7ff89f025261d343aef97d55c23")</f>
        <v>29d541cb6920f2a0815a72232c8164e19ffda7ff89f025261d343aef97d55c23</v>
      </c>
      <c r="I1508" s="1" t="s">
        <v>3406</v>
      </c>
      <c r="L1508" s="2" t="s">
        <v>3412</v>
      </c>
      <c r="M1508" s="2" t="n">
        <v>104</v>
      </c>
      <c r="S1508" s="2" t="n">
        <v>5</v>
      </c>
      <c r="T1508" s="2" t="n">
        <v>75</v>
      </c>
    </row>
    <row r="1509" customFormat="false" ht="18.7" hidden="false" customHeight="true" outlineLevel="0" collapsed="false">
      <c r="A1509" s="1" t="n">
        <v>1508</v>
      </c>
      <c r="B1509" s="7" t="str">
        <f aca="false">HYPERLINK("https://mncourtfraud.com/file/27-CR-21-13150.pdf","27-CR-21-13150")</f>
        <v>27-CR-21-13150</v>
      </c>
      <c r="C1509" s="1" t="n">
        <v>1</v>
      </c>
      <c r="D1509" s="2" t="s">
        <v>12</v>
      </c>
      <c r="E1509" s="8" t="n">
        <v>44468</v>
      </c>
      <c r="F1509" s="2" t="s">
        <v>24</v>
      </c>
      <c r="G1509" s="7" t="str">
        <f aca="false">HYPERLINK("https://mncourtfraud.com/file/MCRO_27-CR-21-13150_Order for Conditional Release_2021-09-29_20251126183846.pdf","MCRO_27-CR-21-13150_Order for Conditional Release_2021-09-29_20251126183846.pdf")</f>
        <v>MCRO_27-CR-21-13150_Order for Conditional Release_2021-09-29_20251126183846.pdf</v>
      </c>
      <c r="H1509" s="7" t="str">
        <f aca="false">HYPERLINK("https://mncourtfraud.com/file/3d978c70f8a4a91fd25d0f653c2931516767fdd837fcadff75a8c3cd2ba3a28e.png","3d978c70f8a4a91fd25d0f653c2931516767fdd837fcadff75a8c3cd2ba3a28e")</f>
        <v>3d978c70f8a4a91fd25d0f653c2931516767fdd837fcadff75a8c3cd2ba3a28e</v>
      </c>
      <c r="I1509" s="1" t="s">
        <v>3406</v>
      </c>
      <c r="L1509" s="2" t="s">
        <v>3412</v>
      </c>
      <c r="M1509" s="2" t="n">
        <v>2435</v>
      </c>
      <c r="S1509" s="2" t="n">
        <v>1069</v>
      </c>
      <c r="T1509" s="2" t="n">
        <v>679</v>
      </c>
    </row>
    <row r="1510" customFormat="false" ht="18.7" hidden="false" customHeight="true" outlineLevel="0" collapsed="false">
      <c r="A1510" s="1" t="n">
        <v>1509</v>
      </c>
      <c r="B1510" s="7" t="str">
        <f aca="false">HYPERLINK("https://mncourtfraud.com/file/27-CR-21-13150.pdf","27-CR-21-13150")</f>
        <v>27-CR-21-13150</v>
      </c>
      <c r="C1510" s="1" t="n">
        <v>1</v>
      </c>
      <c r="D1510" s="2" t="s">
        <v>12</v>
      </c>
      <c r="E1510" s="8" t="n">
        <v>44468</v>
      </c>
      <c r="F1510" s="2" t="s">
        <v>24</v>
      </c>
      <c r="G1510" s="7" t="str">
        <f aca="false">HYPERLINK("https://mncourtfraud.com/file/MCRO_27-CR-21-13150_Order for Conditional Release_2021-09-29_20251126183846.pdf","MCRO_27-CR-21-13150_Order for Conditional Release_2021-09-29_20251126183846.pdf")</f>
        <v>MCRO_27-CR-21-13150_Order for Conditional Release_2021-09-29_20251126183846.pdf</v>
      </c>
      <c r="H1510" s="7" t="str">
        <f aca="false">HYPERLINK("https://mncourtfraud.com/file/3f202249d41f264cabf7a4fd2c634829df7886c25cb759658f06c1a8bca28360.cid","3f202249d41f264cabf7a4fd2c634829df7886c25cb759658f06c1a8bca28360")</f>
        <v>3f202249d41f264cabf7a4fd2c634829df7886c25cb759658f06c1a8bca28360</v>
      </c>
      <c r="I1510" s="1" t="s">
        <v>3431</v>
      </c>
      <c r="L1510" s="2" t="s">
        <v>3415</v>
      </c>
      <c r="M1510" s="2" t="n">
        <v>1397</v>
      </c>
    </row>
    <row r="1511" customFormat="false" ht="18.7" hidden="false" customHeight="true" outlineLevel="0" collapsed="false">
      <c r="A1511" s="1" t="n">
        <v>1510</v>
      </c>
      <c r="B1511" s="7" t="str">
        <f aca="false">HYPERLINK("https://mncourtfraud.com/file/27-CR-21-13150.pdf","27-CR-21-13150")</f>
        <v>27-CR-21-13150</v>
      </c>
      <c r="C1511" s="1" t="n">
        <v>1</v>
      </c>
      <c r="D1511" s="2" t="s">
        <v>12</v>
      </c>
      <c r="E1511" s="8" t="n">
        <v>44468</v>
      </c>
      <c r="F1511" s="2" t="s">
        <v>24</v>
      </c>
      <c r="G1511" s="7" t="str">
        <f aca="false">HYPERLINK("https://mncourtfraud.com/file/MCRO_27-CR-21-13150_Order for Conditional Release_2021-09-29_20251126183846.pdf","MCRO_27-CR-21-13150_Order for Conditional Release_2021-09-29_20251126183846.pdf")</f>
        <v>MCRO_27-CR-21-13150_Order for Conditional Release_2021-09-29_20251126183846.pdf</v>
      </c>
      <c r="H1511" s="7" t="str">
        <f aca="false">HYPERLINK("https://mncourtfraud.com/file/425a64ecdc19aa0c86b927b2be8980d179c92ac4af2a49d3c3ad0aa278728c52.png","425a64ecdc19aa0c86b927b2be8980d179c92ac4af2a49d3c3ad0aa278728c52")</f>
        <v>425a64ecdc19aa0c86b927b2be8980d179c92ac4af2a49d3c3ad0aa278728c52</v>
      </c>
      <c r="I1511" s="1" t="s">
        <v>3406</v>
      </c>
      <c r="L1511" s="2" t="s">
        <v>3412</v>
      </c>
      <c r="M1511" s="2" t="n">
        <v>520</v>
      </c>
      <c r="S1511" s="2" t="n">
        <v>126</v>
      </c>
      <c r="T1511" s="2" t="n">
        <v>150</v>
      </c>
    </row>
    <row r="1512" customFormat="false" ht="18.7" hidden="false" customHeight="true" outlineLevel="0" collapsed="false">
      <c r="A1512" s="1" t="n">
        <v>1511</v>
      </c>
      <c r="B1512" s="7" t="str">
        <f aca="false">HYPERLINK("https://mncourtfraud.com/file/27-CR-21-13150.pdf","27-CR-21-13150")</f>
        <v>27-CR-21-13150</v>
      </c>
      <c r="C1512" s="1" t="n">
        <v>1</v>
      </c>
      <c r="D1512" s="2" t="s">
        <v>12</v>
      </c>
      <c r="E1512" s="8" t="n">
        <v>44468</v>
      </c>
      <c r="F1512" s="2" t="s">
        <v>24</v>
      </c>
      <c r="G1512" s="7" t="str">
        <f aca="false">HYPERLINK("https://mncourtfraud.com/file/MCRO_27-CR-21-13150_Order for Conditional Release_2021-09-29_20251126183846.pdf","MCRO_27-CR-21-13150_Order for Conditional Release_2021-09-29_20251126183846.pdf")</f>
        <v>MCRO_27-CR-21-13150_Order for Conditional Release_2021-09-29_20251126183846.pdf</v>
      </c>
      <c r="H1512" s="7" t="str">
        <f aca="false">HYPERLINK("https://mncourtfraud.com/file/4458a2b033c8132fd890227750c1df180ec4563b9dc0a6394b3691240425c9b3.cid","4458a2b033c8132fd890227750c1df180ec4563b9dc0a6394b3691240425c9b3")</f>
        <v>4458a2b033c8132fd890227750c1df180ec4563b9dc0a6394b3691240425c9b3</v>
      </c>
      <c r="I1512" s="1" t="s">
        <v>3431</v>
      </c>
      <c r="L1512" s="2" t="s">
        <v>3415</v>
      </c>
      <c r="M1512" s="2" t="n">
        <v>3580</v>
      </c>
    </row>
    <row r="1513" customFormat="false" ht="18.7" hidden="false" customHeight="true" outlineLevel="0" collapsed="false">
      <c r="A1513" s="1" t="n">
        <v>1512</v>
      </c>
      <c r="B1513" s="7" t="str">
        <f aca="false">HYPERLINK("https://mncourtfraud.com/file/27-CR-21-13150.pdf","27-CR-21-13150")</f>
        <v>27-CR-21-13150</v>
      </c>
      <c r="C1513" s="1" t="n">
        <v>1</v>
      </c>
      <c r="D1513" s="2" t="s">
        <v>12</v>
      </c>
      <c r="E1513" s="8" t="n">
        <v>44468</v>
      </c>
      <c r="F1513" s="2" t="s">
        <v>24</v>
      </c>
      <c r="G1513" s="7" t="str">
        <f aca="false">HYPERLINK("https://mncourtfraud.com/file/MCRO_27-CR-21-13150_Order for Conditional Release_2021-09-29_20251126183846.pdf","MCRO_27-CR-21-13150_Order for Conditional Release_2021-09-29_20251126183846.pdf")</f>
        <v>MCRO_27-CR-21-13150_Order for Conditional Release_2021-09-29_20251126183846.pdf</v>
      </c>
      <c r="H1513" s="7" t="str">
        <f aca="false">HYPERLINK("https://mncourtfraud.com/file/45a9f49ddf96d4a4dcf4561d2702204f448986045babf3fdd52fa18200557e31.png","45a9f49ddf96d4a4dcf4561d2702204f448986045babf3fdd52fa18200557e31")</f>
        <v>45a9f49ddf96d4a4dcf4561d2702204f448986045babf3fdd52fa18200557e31</v>
      </c>
      <c r="I1513" s="1" t="s">
        <v>3406</v>
      </c>
      <c r="L1513" s="2" t="s">
        <v>3412</v>
      </c>
      <c r="M1513" s="2" t="n">
        <v>97</v>
      </c>
      <c r="S1513" s="2" t="n">
        <v>3</v>
      </c>
      <c r="T1513" s="2" t="n">
        <v>4</v>
      </c>
    </row>
    <row r="1514" customFormat="false" ht="18.7" hidden="false" customHeight="true" outlineLevel="0" collapsed="false">
      <c r="A1514" s="1" t="n">
        <v>1513</v>
      </c>
      <c r="B1514" s="7" t="str">
        <f aca="false">HYPERLINK("https://mncourtfraud.com/file/27-CR-21-13150.pdf","27-CR-21-13150")</f>
        <v>27-CR-21-13150</v>
      </c>
      <c r="C1514" s="1" t="n">
        <v>1</v>
      </c>
      <c r="D1514" s="2" t="s">
        <v>12</v>
      </c>
      <c r="E1514" s="8" t="n">
        <v>44468</v>
      </c>
      <c r="F1514" s="2" t="s">
        <v>24</v>
      </c>
      <c r="G1514" s="7" t="str">
        <f aca="false">HYPERLINK("https://mncourtfraud.com/file/MCRO_27-CR-21-13150_Order for Conditional Release_2021-09-29_20251126183846.pdf","MCRO_27-CR-21-13150_Order for Conditional Release_2021-09-29_20251126183846.pdf")</f>
        <v>MCRO_27-CR-21-13150_Order for Conditional Release_2021-09-29_20251126183846.pdf</v>
      </c>
      <c r="H1514" s="7" t="str">
        <f aca="false">HYPERLINK("https://mncourtfraud.com/file/50457dc3e0bb6204f128f3222c76884dffaf132a86395902e3967a44a5d511ed.cid","50457dc3e0bb6204f128f3222c76884dffaf132a86395902e3967a44a5d511ed")</f>
        <v>50457dc3e0bb6204f128f3222c76884dffaf132a86395902e3967a44a5d511ed</v>
      </c>
      <c r="I1514" s="1" t="s">
        <v>3431</v>
      </c>
      <c r="L1514" s="2" t="s">
        <v>3415</v>
      </c>
      <c r="M1514" s="2" t="n">
        <v>2839</v>
      </c>
    </row>
    <row r="1515" customFormat="false" ht="18.7" hidden="false" customHeight="true" outlineLevel="0" collapsed="false">
      <c r="A1515" s="1" t="n">
        <v>1514</v>
      </c>
      <c r="B1515" s="7" t="str">
        <f aca="false">HYPERLINK("https://mncourtfraud.com/file/27-CR-21-13150.pdf","27-CR-21-13150")</f>
        <v>27-CR-21-13150</v>
      </c>
      <c r="C1515" s="1" t="n">
        <v>1</v>
      </c>
      <c r="D1515" s="2" t="s">
        <v>12</v>
      </c>
      <c r="E1515" s="8" t="n">
        <v>44468</v>
      </c>
      <c r="F1515" s="2" t="s">
        <v>24</v>
      </c>
      <c r="G1515" s="7" t="str">
        <f aca="false">HYPERLINK("https://mncourtfraud.com/file/MCRO_27-CR-21-13150_Order for Conditional Release_2021-09-29_20251126183846.pdf","MCRO_27-CR-21-13150_Order for Conditional Release_2021-09-29_20251126183846.pdf")</f>
        <v>MCRO_27-CR-21-13150_Order for Conditional Release_2021-09-29_20251126183846.pdf</v>
      </c>
      <c r="H1515" s="7" t="str">
        <f aca="false">HYPERLINK("https://mncourtfraud.com/file/52f2827f81e9a21813e5089396a7afa6accf4023998e877d3b9460283e0bb9a5.cid","52f2827f81e9a21813e5089396a7afa6accf4023998e877d3b9460283e0bb9a5")</f>
        <v>52f2827f81e9a21813e5089396a7afa6accf4023998e877d3b9460283e0bb9a5</v>
      </c>
      <c r="I1515" s="1" t="s">
        <v>3431</v>
      </c>
      <c r="L1515" s="2" t="s">
        <v>3415</v>
      </c>
      <c r="M1515" s="2" t="n">
        <v>381</v>
      </c>
    </row>
    <row r="1516" customFormat="false" ht="18.7" hidden="false" customHeight="true" outlineLevel="0" collapsed="false">
      <c r="A1516" s="1" t="n">
        <v>1515</v>
      </c>
      <c r="B1516" s="7" t="str">
        <f aca="false">HYPERLINK("https://mncourtfraud.com/file/27-CR-21-13150.pdf","27-CR-21-13150")</f>
        <v>27-CR-21-13150</v>
      </c>
      <c r="C1516" s="1" t="n">
        <v>1</v>
      </c>
      <c r="D1516" s="2" t="s">
        <v>12</v>
      </c>
      <c r="E1516" s="8" t="n">
        <v>44468</v>
      </c>
      <c r="F1516" s="2" t="s">
        <v>24</v>
      </c>
      <c r="G1516" s="7" t="str">
        <f aca="false">HYPERLINK("https://mncourtfraud.com/file/MCRO_27-CR-21-13150_Order for Conditional Release_2021-09-29_20251126183846.pdf","MCRO_27-CR-21-13150_Order for Conditional Release_2021-09-29_20251126183846.pdf")</f>
        <v>MCRO_27-CR-21-13150_Order for Conditional Release_2021-09-29_20251126183846.pdf</v>
      </c>
      <c r="H1516" s="7" t="str">
        <f aca="false">HYPERLINK("https://mncourtfraud.com/file/5bf127b8427f0831bc8864aa549643604be6b63d8ca96ff1ba7182ccec9bc2ad.cid","5bf127b8427f0831bc8864aa549643604be6b63d8ca96ff1ba7182ccec9bc2ad")</f>
        <v>5bf127b8427f0831bc8864aa549643604be6b63d8ca96ff1ba7182ccec9bc2ad</v>
      </c>
      <c r="I1516" s="1" t="s">
        <v>3431</v>
      </c>
      <c r="L1516" s="2" t="s">
        <v>3415</v>
      </c>
      <c r="M1516" s="2" t="n">
        <v>7990</v>
      </c>
    </row>
    <row r="1517" customFormat="false" ht="18.7" hidden="false" customHeight="true" outlineLevel="0" collapsed="false">
      <c r="A1517" s="1" t="n">
        <v>1516</v>
      </c>
      <c r="B1517" s="7" t="str">
        <f aca="false">HYPERLINK("https://mncourtfraud.com/file/27-CR-21-13150.pdf","27-CR-21-13150")</f>
        <v>27-CR-21-13150</v>
      </c>
      <c r="C1517" s="1" t="n">
        <v>1</v>
      </c>
      <c r="D1517" s="2" t="s">
        <v>12</v>
      </c>
      <c r="E1517" s="8" t="n">
        <v>44468</v>
      </c>
      <c r="F1517" s="2" t="s">
        <v>24</v>
      </c>
      <c r="G1517" s="7" t="str">
        <f aca="false">HYPERLINK("https://mncourtfraud.com/file/MCRO_27-CR-21-13150_Order for Conditional Release_2021-09-29_20251126183846.pdf","MCRO_27-CR-21-13150_Order for Conditional Release_2021-09-29_20251126183846.pdf")</f>
        <v>MCRO_27-CR-21-13150_Order for Conditional Release_2021-09-29_20251126183846.pdf</v>
      </c>
      <c r="H1517" s="7" t="str">
        <f aca="false">HYPERLINK("https://mncourtfraud.com/file/614121b29b009262816a5b70532c1a04ec73c5d83786c4500719e9e7d614a562.cid","614121b29b009262816a5b70532c1a04ec73c5d83786c4500719e9e7d614a562")</f>
        <v>614121b29b009262816a5b70532c1a04ec73c5d83786c4500719e9e7d614a562</v>
      </c>
      <c r="I1517" s="1" t="s">
        <v>3431</v>
      </c>
      <c r="L1517" s="2" t="s">
        <v>3415</v>
      </c>
      <c r="M1517" s="2" t="n">
        <v>5970</v>
      </c>
    </row>
    <row r="1518" customFormat="false" ht="18.7" hidden="false" customHeight="true" outlineLevel="0" collapsed="false">
      <c r="A1518" s="1" t="n">
        <v>1517</v>
      </c>
      <c r="B1518" s="7" t="str">
        <f aca="false">HYPERLINK("https://mncourtfraud.com/file/27-CR-21-13150.pdf","27-CR-21-13150")</f>
        <v>27-CR-21-13150</v>
      </c>
      <c r="C1518" s="1" t="n">
        <v>1</v>
      </c>
      <c r="D1518" s="2" t="s">
        <v>12</v>
      </c>
      <c r="E1518" s="8" t="n">
        <v>44468</v>
      </c>
      <c r="F1518" s="2" t="s">
        <v>24</v>
      </c>
      <c r="G1518" s="7" t="str">
        <f aca="false">HYPERLINK("https://mncourtfraud.com/file/MCRO_27-CR-21-13150_Order for Conditional Release_2021-09-29_20251126183846.pdf","MCRO_27-CR-21-13150_Order for Conditional Release_2021-09-29_20251126183846.pdf")</f>
        <v>MCRO_27-CR-21-13150_Order for Conditional Release_2021-09-29_20251126183846.pdf</v>
      </c>
      <c r="H1518" s="7" t="str">
        <f aca="false">HYPERLINK("https://mncourtfraud.com/file/7e14169e8fd6eddddd43bc2fc14557202f527587078dd29e867ad63570714e07.png","7e14169e8fd6eddddd43bc2fc14557202f527587078dd29e867ad63570714e07")</f>
        <v>7e14169e8fd6eddddd43bc2fc14557202f527587078dd29e867ad63570714e07</v>
      </c>
      <c r="I1518" s="1" t="s">
        <v>3406</v>
      </c>
      <c r="L1518" s="2" t="s">
        <v>3412</v>
      </c>
      <c r="M1518" s="2" t="n">
        <v>100</v>
      </c>
      <c r="S1518" s="2" t="n">
        <v>5</v>
      </c>
      <c r="T1518" s="2" t="n">
        <v>5</v>
      </c>
    </row>
    <row r="1519" customFormat="false" ht="18.7" hidden="false" customHeight="true" outlineLevel="0" collapsed="false">
      <c r="A1519" s="1" t="n">
        <v>1518</v>
      </c>
      <c r="B1519" s="7" t="str">
        <f aca="false">HYPERLINK("https://mncourtfraud.com/file/27-CR-21-13150.pdf","27-CR-21-13150")</f>
        <v>27-CR-21-13150</v>
      </c>
      <c r="C1519" s="1" t="n">
        <v>1</v>
      </c>
      <c r="D1519" s="2" t="s">
        <v>12</v>
      </c>
      <c r="E1519" s="8" t="n">
        <v>44468</v>
      </c>
      <c r="F1519" s="2" t="s">
        <v>24</v>
      </c>
      <c r="G1519" s="7" t="str">
        <f aca="false">HYPERLINK("https://mncourtfraud.com/file/MCRO_27-CR-21-13150_Order for Conditional Release_2021-09-29_20251126183846.pdf","MCRO_27-CR-21-13150_Order for Conditional Release_2021-09-29_20251126183846.pdf")</f>
        <v>MCRO_27-CR-21-13150_Order for Conditional Release_2021-09-29_20251126183846.pdf</v>
      </c>
      <c r="H1519" s="7" t="str">
        <f aca="false">HYPERLINK("https://mncourtfraud.com/file/8198df5372238cac138bb64883627cf42bfc08ac483ff14b35858ae098fa3e09.cid","8198df5372238cac138bb64883627cf42bfc08ac483ff14b35858ae098fa3e09")</f>
        <v>8198df5372238cac138bb64883627cf42bfc08ac483ff14b35858ae098fa3e09</v>
      </c>
      <c r="I1519" s="1" t="s">
        <v>3431</v>
      </c>
      <c r="L1519" s="2" t="s">
        <v>3415</v>
      </c>
      <c r="M1519" s="2" t="n">
        <v>3966</v>
      </c>
    </row>
    <row r="1520" customFormat="false" ht="18.7" hidden="false" customHeight="true" outlineLevel="0" collapsed="false">
      <c r="A1520" s="1" t="n">
        <v>1519</v>
      </c>
      <c r="B1520" s="7" t="str">
        <f aca="false">HYPERLINK("https://mncourtfraud.com/file/27-CR-21-13150.pdf","27-CR-21-13150")</f>
        <v>27-CR-21-13150</v>
      </c>
      <c r="C1520" s="1" t="n">
        <v>1</v>
      </c>
      <c r="D1520" s="2" t="s">
        <v>12</v>
      </c>
      <c r="E1520" s="8" t="n">
        <v>44468</v>
      </c>
      <c r="F1520" s="2" t="s">
        <v>24</v>
      </c>
      <c r="G1520" s="7" t="str">
        <f aca="false">HYPERLINK("https://mncourtfraud.com/file/MCRO_27-CR-21-13150_Order for Conditional Release_2021-09-29_20251126183846.pdf","MCRO_27-CR-21-13150_Order for Conditional Release_2021-09-29_20251126183846.pdf")</f>
        <v>MCRO_27-CR-21-13150_Order for Conditional Release_2021-09-29_20251126183846.pdf</v>
      </c>
      <c r="H1520" s="7" t="str">
        <f aca="false">HYPERLINK("https://mncourtfraud.com/file/8793bfb8eeebb59de729b22461b75a010eda532097214bf8285117449fae5b3c.png","8793bfb8eeebb59de729b22461b75a010eda532097214bf8285117449fae5b3c")</f>
        <v>8793bfb8eeebb59de729b22461b75a010eda532097214bf8285117449fae5b3c</v>
      </c>
      <c r="I1520" s="1" t="s">
        <v>3406</v>
      </c>
      <c r="L1520" s="2" t="s">
        <v>3412</v>
      </c>
      <c r="M1520" s="2" t="n">
        <v>104</v>
      </c>
      <c r="S1520" s="2" t="n">
        <v>6</v>
      </c>
      <c r="T1520" s="2" t="n">
        <v>4</v>
      </c>
    </row>
    <row r="1521" customFormat="false" ht="18.7" hidden="false" customHeight="true" outlineLevel="0" collapsed="false">
      <c r="A1521" s="1" t="n">
        <v>1520</v>
      </c>
      <c r="B1521" s="7" t="str">
        <f aca="false">HYPERLINK("https://mncourtfraud.com/file/27-CR-21-13150.pdf","27-CR-21-13150")</f>
        <v>27-CR-21-13150</v>
      </c>
      <c r="C1521" s="1" t="n">
        <v>1</v>
      </c>
      <c r="D1521" s="2" t="s">
        <v>12</v>
      </c>
      <c r="E1521" s="8" t="n">
        <v>44468</v>
      </c>
      <c r="F1521" s="2" t="s">
        <v>24</v>
      </c>
      <c r="G1521" s="7" t="str">
        <f aca="false">HYPERLINK("https://mncourtfraud.com/file/MCRO_27-CR-21-13150_Order for Conditional Release_2021-09-29_20251126183846.pdf","MCRO_27-CR-21-13150_Order for Conditional Release_2021-09-29_20251126183846.pdf")</f>
        <v>MCRO_27-CR-21-13150_Order for Conditional Release_2021-09-29_20251126183846.pdf</v>
      </c>
      <c r="H1521" s="7" t="str">
        <f aca="false">HYPERLINK("https://mncourtfraud.com/file/8c2e00c7a4e8974eff73eba397a59d5f5f25d249433535298973d70a9f79dec8.png","8c2e00c7a4e8974eff73eba397a59d5f5f25d249433535298973d70a9f79dec8")</f>
        <v>8c2e00c7a4e8974eff73eba397a59d5f5f25d249433535298973d70a9f79dec8</v>
      </c>
      <c r="I1521" s="1" t="s">
        <v>3406</v>
      </c>
      <c r="L1521" s="2" t="s">
        <v>3412</v>
      </c>
      <c r="M1521" s="2" t="n">
        <v>810</v>
      </c>
      <c r="S1521" s="2" t="n">
        <v>519</v>
      </c>
      <c r="T1521" s="2" t="n">
        <v>231</v>
      </c>
    </row>
    <row r="1522" customFormat="false" ht="18.7" hidden="false" customHeight="true" outlineLevel="0" collapsed="false">
      <c r="A1522" s="1" t="n">
        <v>1521</v>
      </c>
      <c r="B1522" s="7" t="str">
        <f aca="false">HYPERLINK("https://mncourtfraud.com/file/27-CR-21-13150.pdf","27-CR-21-13150")</f>
        <v>27-CR-21-13150</v>
      </c>
      <c r="C1522" s="1" t="n">
        <v>1</v>
      </c>
      <c r="D1522" s="2" t="s">
        <v>12</v>
      </c>
      <c r="E1522" s="8" t="n">
        <v>44468</v>
      </c>
      <c r="F1522" s="2" t="s">
        <v>24</v>
      </c>
      <c r="G1522" s="7" t="str">
        <f aca="false">HYPERLINK("https://mncourtfraud.com/file/MCRO_27-CR-21-13150_Order for Conditional Release_2021-09-29_20251126183846.pdf","MCRO_27-CR-21-13150_Order for Conditional Release_2021-09-29_20251126183846.pdf")</f>
        <v>MCRO_27-CR-21-13150_Order for Conditional Release_2021-09-29_20251126183846.pdf</v>
      </c>
      <c r="H1522" s="7" t="str">
        <f aca="false">HYPERLINK("https://mncourtfraud.com/file/a431b1b5f48186b4c98851d84352c1573e22c0e9b97117edbc0ad8603da3c307.png","a431b1b5f48186b4c98851d84352c1573e22c0e9b97117edbc0ad8603da3c307")</f>
        <v>a431b1b5f48186b4c98851d84352c1573e22c0e9b97117edbc0ad8603da3c307</v>
      </c>
      <c r="I1522" s="1" t="s">
        <v>3406</v>
      </c>
      <c r="L1522" s="2" t="s">
        <v>3412</v>
      </c>
      <c r="M1522" s="2" t="n">
        <v>157</v>
      </c>
      <c r="S1522" s="2" t="n">
        <v>7</v>
      </c>
      <c r="T1522" s="2" t="n">
        <v>284</v>
      </c>
    </row>
    <row r="1523" customFormat="false" ht="18.7" hidden="false" customHeight="true" outlineLevel="0" collapsed="false">
      <c r="A1523" s="1" t="n">
        <v>1522</v>
      </c>
      <c r="B1523" s="7" t="str">
        <f aca="false">HYPERLINK("https://mncourtfraud.com/file/27-CR-21-13150.pdf","27-CR-21-13150")</f>
        <v>27-CR-21-13150</v>
      </c>
      <c r="C1523" s="1" t="n">
        <v>1</v>
      </c>
      <c r="D1523" s="2" t="s">
        <v>12</v>
      </c>
      <c r="E1523" s="8" t="n">
        <v>44468</v>
      </c>
      <c r="F1523" s="2" t="s">
        <v>24</v>
      </c>
      <c r="G1523" s="7" t="str">
        <f aca="false">HYPERLINK("https://mncourtfraud.com/file/MCRO_27-CR-21-13150_Order for Conditional Release_2021-09-29_20251126183846.pdf","MCRO_27-CR-21-13150_Order for Conditional Release_2021-09-29_20251126183846.pdf")</f>
        <v>MCRO_27-CR-21-13150_Order for Conditional Release_2021-09-29_20251126183846.pdf</v>
      </c>
      <c r="H1523" s="7" t="str">
        <f aca="false">HYPERLINK("https://mncourtfraud.com/file/ac369f378e3fbed88e7c1c71d7e27d3af59d79c8d2f8338a6182f69d0e17a2ef.cid","ac369f378e3fbed88e7c1c71d7e27d3af59d79c8d2f8338a6182f69d0e17a2ef")</f>
        <v>ac369f378e3fbed88e7c1c71d7e27d3af59d79c8d2f8338a6182f69d0e17a2ef</v>
      </c>
      <c r="I1523" s="1" t="s">
        <v>3431</v>
      </c>
      <c r="L1523" s="2" t="s">
        <v>3415</v>
      </c>
      <c r="M1523" s="2" t="n">
        <v>14113</v>
      </c>
    </row>
    <row r="1524" customFormat="false" ht="18.7" hidden="false" customHeight="true" outlineLevel="0" collapsed="false">
      <c r="A1524" s="1" t="n">
        <v>1523</v>
      </c>
      <c r="B1524" s="7" t="str">
        <f aca="false">HYPERLINK("https://mncourtfraud.com/file/27-CR-21-13150.pdf","27-CR-21-13150")</f>
        <v>27-CR-21-13150</v>
      </c>
      <c r="C1524" s="1" t="n">
        <v>1</v>
      </c>
      <c r="D1524" s="2" t="s">
        <v>12</v>
      </c>
      <c r="E1524" s="8" t="n">
        <v>44468</v>
      </c>
      <c r="F1524" s="2" t="s">
        <v>24</v>
      </c>
      <c r="G1524" s="7" t="str">
        <f aca="false">HYPERLINK("https://mncourtfraud.com/file/MCRO_27-CR-21-13150_Order for Conditional Release_2021-09-29_20251126183846.pdf","MCRO_27-CR-21-13150_Order for Conditional Release_2021-09-29_20251126183846.pdf")</f>
        <v>MCRO_27-CR-21-13150_Order for Conditional Release_2021-09-29_20251126183846.pdf</v>
      </c>
      <c r="H1524" s="7" t="str">
        <f aca="false">HYPERLINK("https://mncourtfraud.com/file/b1c38e97038ce898a189d377f1fa9f4b673ae497ef07cd779e6d54764f350895.cid","b1c38e97038ce898a189d377f1fa9f4b673ae497ef07cd779e6d54764f350895")</f>
        <v>b1c38e97038ce898a189d377f1fa9f4b673ae497ef07cd779e6d54764f350895</v>
      </c>
      <c r="I1524" s="1" t="s">
        <v>3431</v>
      </c>
      <c r="L1524" s="2" t="s">
        <v>3415</v>
      </c>
      <c r="M1524" s="2" t="n">
        <v>3783</v>
      </c>
    </row>
    <row r="1525" customFormat="false" ht="18.7" hidden="false" customHeight="true" outlineLevel="0" collapsed="false">
      <c r="A1525" s="1" t="n">
        <v>1524</v>
      </c>
      <c r="B1525" s="7" t="str">
        <f aca="false">HYPERLINK("https://mncourtfraud.com/file/27-CR-21-13150.pdf","27-CR-21-13150")</f>
        <v>27-CR-21-13150</v>
      </c>
      <c r="C1525" s="1" t="n">
        <v>1</v>
      </c>
      <c r="D1525" s="2" t="s">
        <v>12</v>
      </c>
      <c r="E1525" s="8" t="n">
        <v>44468</v>
      </c>
      <c r="F1525" s="2" t="s">
        <v>24</v>
      </c>
      <c r="G1525" s="7" t="str">
        <f aca="false">HYPERLINK("https://mncourtfraud.com/file/MCRO_27-CR-21-13150_Order for Conditional Release_2021-09-29_20251126183846.pdf","MCRO_27-CR-21-13150_Order for Conditional Release_2021-09-29_20251126183846.pdf")</f>
        <v>MCRO_27-CR-21-13150_Order for Conditional Release_2021-09-29_20251126183846.pdf</v>
      </c>
      <c r="H1525" s="7" t="str">
        <f aca="false">HYPERLINK("https://mncourtfraud.com/file/ba989ca65f54d43887ebbc930462a840e60360223cb0c16c223e7e9ed46afecb.cid","ba989ca65f54d43887ebbc930462a840e60360223cb0c16c223e7e9ed46afecb")</f>
        <v>ba989ca65f54d43887ebbc930462a840e60360223cb0c16c223e7e9ed46afecb</v>
      </c>
      <c r="I1525" s="1" t="s">
        <v>3431</v>
      </c>
      <c r="L1525" s="2" t="s">
        <v>3415</v>
      </c>
      <c r="M1525" s="2" t="n">
        <v>444</v>
      </c>
    </row>
    <row r="1526" customFormat="false" ht="18.7" hidden="false" customHeight="true" outlineLevel="0" collapsed="false">
      <c r="A1526" s="1" t="n">
        <v>1525</v>
      </c>
      <c r="B1526" s="7" t="str">
        <f aca="false">HYPERLINK("https://mncourtfraud.com/file/27-CR-21-13150.pdf","27-CR-21-13150")</f>
        <v>27-CR-21-13150</v>
      </c>
      <c r="C1526" s="1" t="n">
        <v>1</v>
      </c>
      <c r="D1526" s="2" t="s">
        <v>12</v>
      </c>
      <c r="E1526" s="8" t="n">
        <v>44468</v>
      </c>
      <c r="F1526" s="2" t="s">
        <v>24</v>
      </c>
      <c r="G1526" s="7" t="str">
        <f aca="false">HYPERLINK("https://mncourtfraud.com/file/MCRO_27-CR-21-13150_Order for Conditional Release_2021-09-29_20251126183846.pdf","MCRO_27-CR-21-13150_Order for Conditional Release_2021-09-29_20251126183846.pdf")</f>
        <v>MCRO_27-CR-21-13150_Order for Conditional Release_2021-09-29_20251126183846.pdf</v>
      </c>
      <c r="H1526" s="7" t="str">
        <f aca="false">HYPERLINK("https://mncourtfraud.com/file/db9c8118091788c7a0a30157e363f5dd281f7a35fb525fad58599ee6371079a5.cid","db9c8118091788c7a0a30157e363f5dd281f7a35fb525fad58599ee6371079a5")</f>
        <v>db9c8118091788c7a0a30157e363f5dd281f7a35fb525fad58599ee6371079a5</v>
      </c>
      <c r="I1526" s="1" t="s">
        <v>3431</v>
      </c>
      <c r="L1526" s="2" t="s">
        <v>3415</v>
      </c>
      <c r="M1526" s="2" t="n">
        <v>848</v>
      </c>
    </row>
    <row r="1527" customFormat="false" ht="18.7" hidden="false" customHeight="true" outlineLevel="0" collapsed="false">
      <c r="A1527" s="1" t="n">
        <v>1526</v>
      </c>
      <c r="B1527" s="7" t="str">
        <f aca="false">HYPERLINK("https://mncourtfraud.com/file/27-CR-21-13150.pdf","27-CR-21-13150")</f>
        <v>27-CR-21-13150</v>
      </c>
      <c r="C1527" s="1" t="n">
        <v>1</v>
      </c>
      <c r="D1527" s="2" t="s">
        <v>12</v>
      </c>
      <c r="E1527" s="8" t="n">
        <v>44468</v>
      </c>
      <c r="F1527" s="2" t="s">
        <v>24</v>
      </c>
      <c r="G1527" s="7" t="str">
        <f aca="false">HYPERLINK("https://mncourtfraud.com/file/MCRO_27-CR-21-13150_Order for Conditional Release_2021-09-29_20251126183846.pdf","MCRO_27-CR-21-13150_Order for Conditional Release_2021-09-29_20251126183846.pdf")</f>
        <v>MCRO_27-CR-21-13150_Order for Conditional Release_2021-09-29_20251126183846.pdf</v>
      </c>
      <c r="H1527" s="7" t="str">
        <f aca="false">HYPERLINK("https://mncourtfraud.com/file/e04b4db843c4bf02679b586bdc06323c2777cf59091b22718210a1dd2a0badc7.png","e04b4db843c4bf02679b586bdc06323c2777cf59091b22718210a1dd2a0badc7")</f>
        <v>e04b4db843c4bf02679b586bdc06323c2777cf59091b22718210a1dd2a0badc7</v>
      </c>
      <c r="I1527" s="1" t="s">
        <v>3406</v>
      </c>
      <c r="L1527" s="2" t="s">
        <v>3412</v>
      </c>
      <c r="M1527" s="2" t="n">
        <v>199</v>
      </c>
      <c r="S1527" s="2" t="n">
        <v>7</v>
      </c>
      <c r="T1527" s="2" t="n">
        <v>347</v>
      </c>
    </row>
    <row r="1528" customFormat="false" ht="18.7" hidden="false" customHeight="true" outlineLevel="0" collapsed="false">
      <c r="A1528" s="1" t="n">
        <v>1527</v>
      </c>
      <c r="B1528" s="7" t="str">
        <f aca="false">HYPERLINK("https://mncourtfraud.com/file/27-CR-21-13150.pdf","27-CR-21-13150")</f>
        <v>27-CR-21-13150</v>
      </c>
      <c r="C1528" s="1" t="n">
        <v>1</v>
      </c>
      <c r="D1528" s="2" t="s">
        <v>12</v>
      </c>
      <c r="E1528" s="8" t="n">
        <v>44468</v>
      </c>
      <c r="F1528" s="2" t="s">
        <v>24</v>
      </c>
      <c r="G1528" s="7" t="str">
        <f aca="false">HYPERLINK("https://mncourtfraud.com/file/MCRO_27-CR-21-13150_Order for Conditional Release_2021-09-29_20251126183846.pdf","MCRO_27-CR-21-13150_Order for Conditional Release_2021-09-29_20251126183846.pdf")</f>
        <v>MCRO_27-CR-21-13150_Order for Conditional Release_2021-09-29_20251126183846.pdf</v>
      </c>
      <c r="H1528" s="7" t="str">
        <f aca="false">HYPERLINK("https://mncourtfraud.com/file/edbae421bba147262ba26ef60780ca6dfd5bedce23be39a1f883da7c23dae35f.cid","edbae421bba147262ba26ef60780ca6dfd5bedce23be39a1f883da7c23dae35f")</f>
        <v>edbae421bba147262ba26ef60780ca6dfd5bedce23be39a1f883da7c23dae35f</v>
      </c>
      <c r="I1528" s="1" t="s">
        <v>3431</v>
      </c>
      <c r="L1528" s="2" t="s">
        <v>3415</v>
      </c>
      <c r="M1528" s="2" t="n">
        <v>21348</v>
      </c>
    </row>
    <row r="1529" customFormat="false" ht="18.7" hidden="false" customHeight="true" outlineLevel="0" collapsed="false">
      <c r="A1529" s="1" t="n">
        <v>1528</v>
      </c>
      <c r="B1529" s="7" t="str">
        <f aca="false">HYPERLINK("https://mncourtfraud.com/file/27-CR-21-13150.pdf","27-CR-21-13150")</f>
        <v>27-CR-21-13150</v>
      </c>
      <c r="C1529" s="1" t="n">
        <v>1</v>
      </c>
      <c r="D1529" s="2" t="s">
        <v>12</v>
      </c>
      <c r="E1529" s="8" t="n">
        <v>44468</v>
      </c>
      <c r="F1529" s="2" t="s">
        <v>24</v>
      </c>
      <c r="G1529" s="7" t="str">
        <f aca="false">HYPERLINK("https://mncourtfraud.com/file/MCRO_27-CR-21-13150_Order for Conditional Release_2021-09-29_20251126183846.pdf","MCRO_27-CR-21-13150_Order for Conditional Release_2021-09-29_20251126183846.pdf")</f>
        <v>MCRO_27-CR-21-13150_Order for Conditional Release_2021-09-29_20251126183846.pdf</v>
      </c>
      <c r="H1529" s="7" t="str">
        <f aca="false">HYPERLINK("https://mncourtfraud.com/file/efd944d517e9b552a77a910c5203f04540cf1249b7304a04f4907f542ec53c17.cid","efd944d517e9b552a77a910c5203f04540cf1249b7304a04f4907f542ec53c17")</f>
        <v>efd944d517e9b552a77a910c5203f04540cf1249b7304a04f4907f542ec53c17</v>
      </c>
      <c r="I1529" s="1" t="s">
        <v>3431</v>
      </c>
      <c r="L1529" s="2" t="s">
        <v>3415</v>
      </c>
      <c r="M1529" s="2" t="n">
        <v>5521</v>
      </c>
    </row>
    <row r="1530" customFormat="false" ht="18.7" hidden="false" customHeight="true" outlineLevel="0" collapsed="false">
      <c r="A1530" s="1" t="n">
        <v>1529</v>
      </c>
      <c r="B1530" s="7" t="str">
        <f aca="false">HYPERLINK("https://mncourtfraud.com/file/27-CR-21-13150.pdf","27-CR-21-13150")</f>
        <v>27-CR-21-13150</v>
      </c>
      <c r="C1530" s="1" t="n">
        <v>1</v>
      </c>
      <c r="D1530" s="2" t="s">
        <v>12</v>
      </c>
      <c r="E1530" s="8" t="n">
        <v>44468</v>
      </c>
      <c r="F1530" s="2" t="s">
        <v>24</v>
      </c>
      <c r="G1530" s="7" t="str">
        <f aca="false">HYPERLINK("https://mncourtfraud.com/file/MCRO_27-CR-21-13150_Order for Conditional Release_2021-09-29_20251126183846.pdf","MCRO_27-CR-21-13150_Order for Conditional Release_2021-09-29_20251126183846.pdf")</f>
        <v>MCRO_27-CR-21-13150_Order for Conditional Release_2021-09-29_20251126183846.pdf</v>
      </c>
      <c r="H1530" s="7" t="str">
        <f aca="false">HYPERLINK("https://mncourtfraud.com/file/fe1965a60cba51fe144ad80b55474d56106539ec2835ed039f2e68d2691deed0.cid","fe1965a60cba51fe144ad80b55474d56106539ec2835ed039f2e68d2691deed0")</f>
        <v>fe1965a60cba51fe144ad80b55474d56106539ec2835ed039f2e68d2691deed0</v>
      </c>
      <c r="I1530" s="1" t="s">
        <v>3431</v>
      </c>
      <c r="L1530" s="2" t="s">
        <v>3415</v>
      </c>
      <c r="M1530" s="2" t="n">
        <v>4323</v>
      </c>
    </row>
    <row r="1531" customFormat="false" ht="18.7" hidden="false" customHeight="true" outlineLevel="0" collapsed="false">
      <c r="A1531" s="1" t="n">
        <v>1530</v>
      </c>
      <c r="B1531" s="7" t="str">
        <f aca="false">HYPERLINK("https://mncourtfraud.com/file/27-CR-21-13150.pdf","27-CR-21-13150")</f>
        <v>27-CR-21-13150</v>
      </c>
      <c r="C1531" s="1" t="n">
        <v>1</v>
      </c>
      <c r="D1531" s="2" t="s">
        <v>12</v>
      </c>
      <c r="E1531" s="8" t="n">
        <v>44468</v>
      </c>
      <c r="F1531" s="2" t="s">
        <v>24</v>
      </c>
      <c r="G1531" s="7" t="str">
        <f aca="false">HYPERLINK("https://mncourtfraud.com/file/MCRO_27-CR-21-13150_Order for Conditional Release_2021-09-29_20251126183846.pdf","MCRO_27-CR-21-13150_Order for Conditional Release_2021-09-29_20251126183846.pdf")</f>
        <v>MCRO_27-CR-21-13150_Order for Conditional Release_2021-09-29_20251126183846.pdf</v>
      </c>
      <c r="H1531" s="7" t="str">
        <f aca="false">HYPERLINK("https://mncourtfraud.com/file/ff78f82f1ff3b9436a8d65df586b0bef19dd8fcf1b27941145ca7e723b37620b.cid","ff78f82f1ff3b9436a8d65df586b0bef19dd8fcf1b27941145ca7e723b37620b")</f>
        <v>ff78f82f1ff3b9436a8d65df586b0bef19dd8fcf1b27941145ca7e723b37620b</v>
      </c>
      <c r="I1531" s="1" t="s">
        <v>3431</v>
      </c>
      <c r="L1531" s="2" t="s">
        <v>3415</v>
      </c>
      <c r="M1531" s="2" t="n">
        <v>339</v>
      </c>
    </row>
    <row r="1532" customFormat="false" ht="18.7" hidden="false" customHeight="true" outlineLevel="0" collapsed="false">
      <c r="A1532" s="1" t="n">
        <v>1531</v>
      </c>
      <c r="B1532" s="7" t="str">
        <f aca="false">HYPERLINK("https://mncourtfraud.com/file/27-CR-21-13150.pdf","27-CR-21-13150")</f>
        <v>27-CR-21-13150</v>
      </c>
      <c r="C1532" s="1" t="n">
        <v>1</v>
      </c>
      <c r="D1532" s="2" t="s">
        <v>12</v>
      </c>
      <c r="E1532" s="8" t="n">
        <v>44543</v>
      </c>
      <c r="F1532" s="2" t="s">
        <v>15</v>
      </c>
      <c r="G1532" s="7" t="str">
        <f aca="false">HYPERLINK("https://mncourtfraud.com/file/MCRO_27-CR-21-13150_Order-Evaluation for Competency to Proceed (Rule 20.01)_2021-12-13_20251126183906.pdf","MCRO_27-CR-21-13150_Order-Evaluation for Competency to Proceed (Rule 20.01)_2021-12-13_20251126183906.pdf")</f>
        <v>MCRO_27-CR-21-13150_Order-Evaluation for Competency to Proceed (Rule 20.01)_2021-12-13_20251126183906.pdf</v>
      </c>
      <c r="H1532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1532" s="1" t="s">
        <v>3413</v>
      </c>
      <c r="J1532" s="2" t="s">
        <v>3423</v>
      </c>
      <c r="K1532" s="2" t="s">
        <v>3423</v>
      </c>
      <c r="L1532" s="2" t="s">
        <v>3415</v>
      </c>
      <c r="M1532" s="2" t="n">
        <v>11088</v>
      </c>
    </row>
    <row r="1533" customFormat="false" ht="18.7" hidden="false" customHeight="true" outlineLevel="0" collapsed="false">
      <c r="A1533" s="1" t="n">
        <v>1532</v>
      </c>
      <c r="B1533" s="7" t="str">
        <f aca="false">HYPERLINK("https://mncourtfraud.com/file/27-CR-21-13150.pdf","27-CR-21-13150")</f>
        <v>27-CR-21-13150</v>
      </c>
      <c r="C1533" s="1" t="n">
        <v>1</v>
      </c>
      <c r="D1533" s="2" t="s">
        <v>12</v>
      </c>
      <c r="E1533" s="8" t="n">
        <v>44543</v>
      </c>
      <c r="F1533" s="2" t="s">
        <v>15</v>
      </c>
      <c r="G1533" s="7" t="str">
        <f aca="false">HYPERLINK("https://mncourtfraud.com/file/MCRO_27-CR-21-13150_Order-Evaluation for Competency to Proceed (Rule 20.01)_2021-12-13_20251126183906.pdf","MCRO_27-CR-21-13150_Order-Evaluation for Competency to Proceed (Rule 20.01)_2021-12-13_20251126183906.pdf")</f>
        <v>MCRO_27-CR-21-13150_Order-Evaluation for Competency to Proceed (Rule 20.01)_2021-12-13_20251126183906.pdf</v>
      </c>
      <c r="H1533" s="7" t="str">
        <f aca="false">HYPERLINK("https://mncourtfraud.com/file/22be6394304ce5b678311fefb19c39c8cb0a49d25f23150f1efe21ad14b99c7b.ttf","22be6394304ce5b678311fefb19c39c8cb0a49d25f23150f1efe21ad14b99c7b")</f>
        <v>22be6394304ce5b678311fefb19c39c8cb0a49d25f23150f1efe21ad14b99c7b</v>
      </c>
      <c r="I1533" s="1" t="s">
        <v>3413</v>
      </c>
      <c r="J1533" s="2" t="s">
        <v>3421</v>
      </c>
      <c r="K1533" s="2" t="s">
        <v>3421</v>
      </c>
      <c r="L1533" s="2" t="s">
        <v>3415</v>
      </c>
      <c r="M1533" s="2" t="n">
        <v>117192</v>
      </c>
    </row>
    <row r="1534" customFormat="false" ht="18.7" hidden="false" customHeight="true" outlineLevel="0" collapsed="false">
      <c r="A1534" s="1" t="n">
        <v>1533</v>
      </c>
      <c r="B1534" s="7" t="str">
        <f aca="false">HYPERLINK("https://mncourtfraud.com/file/27-CR-21-13150.pdf","27-CR-21-13150")</f>
        <v>27-CR-21-13150</v>
      </c>
      <c r="C1534" s="1" t="n">
        <v>1</v>
      </c>
      <c r="D1534" s="2" t="s">
        <v>12</v>
      </c>
      <c r="E1534" s="8" t="n">
        <v>44543</v>
      </c>
      <c r="F1534" s="2" t="s">
        <v>15</v>
      </c>
      <c r="G1534" s="7" t="str">
        <f aca="false">HYPERLINK("https://mncourtfraud.com/file/MCRO_27-CR-21-13150_Order-Evaluation for Competency to Proceed (Rule 20.01)_2021-12-13_20251126183906.pdf","MCRO_27-CR-21-13150_Order-Evaluation for Competency to Proceed (Rule 20.01)_2021-12-13_20251126183906.pdf")</f>
        <v>MCRO_27-CR-21-13150_Order-Evaluation for Competency to Proceed (Rule 20.01)_2021-12-13_20251126183906.pdf</v>
      </c>
      <c r="H1534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1534" s="1" t="s">
        <v>3413</v>
      </c>
      <c r="J1534" s="2" t="s">
        <v>3424</v>
      </c>
      <c r="K1534" s="2" t="s">
        <v>3424</v>
      </c>
      <c r="L1534" s="2" t="s">
        <v>3415</v>
      </c>
      <c r="M1534" s="2" t="n">
        <v>14252</v>
      </c>
    </row>
    <row r="1535" customFormat="false" ht="18.7" hidden="false" customHeight="true" outlineLevel="0" collapsed="false">
      <c r="A1535" s="1" t="n">
        <v>1534</v>
      </c>
      <c r="B1535" s="7" t="str">
        <f aca="false">HYPERLINK("https://mncourtfraud.com/file/27-CR-21-13150.pdf","27-CR-21-13150")</f>
        <v>27-CR-21-13150</v>
      </c>
      <c r="C1535" s="1" t="n">
        <v>1</v>
      </c>
      <c r="D1535" s="2" t="s">
        <v>12</v>
      </c>
      <c r="E1535" s="8" t="n">
        <v>44543</v>
      </c>
      <c r="F1535" s="2" t="s">
        <v>15</v>
      </c>
      <c r="G1535" s="7" t="str">
        <f aca="false">HYPERLINK("https://mncourtfraud.com/file/MCRO_27-CR-21-13150_Order-Evaluation for Competency to Proceed (Rule 20.01)_2021-12-13_20251126183906.pdf","MCRO_27-CR-21-13150_Order-Evaluation for Competency to Proceed (Rule 20.01)_2021-12-13_20251126183906.pdf")</f>
        <v>MCRO_27-CR-21-13150_Order-Evaluation for Competency to Proceed (Rule 20.01)_2021-12-13_20251126183906.pdf</v>
      </c>
      <c r="H1535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535" s="1" t="s">
        <v>3406</v>
      </c>
      <c r="K1535" s="2" t="s">
        <v>3420</v>
      </c>
      <c r="L1535" s="2" t="s">
        <v>3408</v>
      </c>
      <c r="M1535" s="2" t="n">
        <v>7306</v>
      </c>
      <c r="O1535" s="2" t="s">
        <v>3409</v>
      </c>
      <c r="P1535" s="2" t="s">
        <v>3410</v>
      </c>
      <c r="S1535" s="2" t="n">
        <v>319</v>
      </c>
      <c r="T1535" s="2" t="n">
        <v>105</v>
      </c>
    </row>
    <row r="1536" customFormat="false" ht="18.7" hidden="false" customHeight="true" outlineLevel="0" collapsed="false">
      <c r="A1536" s="1" t="n">
        <v>1535</v>
      </c>
      <c r="B1536" s="7" t="str">
        <f aca="false">HYPERLINK("https://mncourtfraud.com/file/27-CR-21-13150.pdf","27-CR-21-13150")</f>
        <v>27-CR-21-13150</v>
      </c>
      <c r="C1536" s="1" t="n">
        <v>1</v>
      </c>
      <c r="D1536" s="2" t="s">
        <v>12</v>
      </c>
      <c r="E1536" s="8" t="n">
        <v>44543</v>
      </c>
      <c r="F1536" s="2" t="s">
        <v>15</v>
      </c>
      <c r="G1536" s="7" t="str">
        <f aca="false">HYPERLINK("https://mncourtfraud.com/file/MCRO_27-CR-21-13150_Order-Evaluation for Competency to Proceed (Rule 20.01)_2021-12-13_20251126183906.pdf","MCRO_27-CR-21-13150_Order-Evaluation for Competency to Proceed (Rule 20.01)_2021-12-13_20251126183906.pdf")</f>
        <v>MCRO_27-CR-21-13150_Order-Evaluation for Competency to Proceed (Rule 20.01)_2021-12-13_20251126183906.pdf</v>
      </c>
      <c r="H1536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536" s="1" t="s">
        <v>3406</v>
      </c>
      <c r="K1536" s="2" t="s">
        <v>3425</v>
      </c>
      <c r="L1536" s="2" t="s">
        <v>3408</v>
      </c>
      <c r="M1536" s="2" t="n">
        <v>21225</v>
      </c>
      <c r="O1536" s="2" t="s">
        <v>3409</v>
      </c>
      <c r="P1536" s="2" t="s">
        <v>3410</v>
      </c>
      <c r="S1536" s="2" t="n">
        <v>319</v>
      </c>
      <c r="T1536" s="2" t="n">
        <v>105</v>
      </c>
    </row>
    <row r="1537" customFormat="false" ht="18.7" hidden="false" customHeight="true" outlineLevel="0" collapsed="false">
      <c r="A1537" s="1" t="n">
        <v>1536</v>
      </c>
      <c r="B1537" s="7" t="str">
        <f aca="false">HYPERLINK("https://mncourtfraud.com/file/27-CR-21-13150.pdf","27-CR-21-13150")</f>
        <v>27-CR-21-13150</v>
      </c>
      <c r="C1537" s="1" t="n">
        <v>1</v>
      </c>
      <c r="D1537" s="2" t="s">
        <v>12</v>
      </c>
      <c r="E1537" s="8" t="n">
        <v>44543</v>
      </c>
      <c r="F1537" s="2" t="s">
        <v>15</v>
      </c>
      <c r="G1537" s="7" t="str">
        <f aca="false">HYPERLINK("https://mncourtfraud.com/file/MCRO_27-CR-21-13150_Order-Evaluation for Competency to Proceed (Rule 20.01)_2021-12-13_20251126183906.pdf","MCRO_27-CR-21-13150_Order-Evaluation for Competency to Proceed (Rule 20.01)_2021-12-13_20251126183906.pdf")</f>
        <v>MCRO_27-CR-21-13150_Order-Evaluation for Competency to Proceed (Rule 20.01)_2021-12-13_20251126183906.pdf</v>
      </c>
      <c r="H1537" s="7" t="str">
        <f aca="false">HYPERLINK("https://mncourtfraud.com/file/f942eca43ffd6bdbf3ee942fee873a73c8baea7707298295b91918b6d8b6d6ee.ttf","f942eca43ffd6bdbf3ee942fee873a73c8baea7707298295b91918b6d8b6d6ee")</f>
        <v>f942eca43ffd6bdbf3ee942fee873a73c8baea7707298295b91918b6d8b6d6ee</v>
      </c>
      <c r="I1537" s="1" t="s">
        <v>3413</v>
      </c>
      <c r="J1537" s="2" t="s">
        <v>3422</v>
      </c>
      <c r="K1537" s="2" t="s">
        <v>3422</v>
      </c>
      <c r="L1537" s="2" t="s">
        <v>3415</v>
      </c>
      <c r="M1537" s="2" t="n">
        <v>125444</v>
      </c>
    </row>
    <row r="1538" customFormat="false" ht="18.7" hidden="false" customHeight="true" outlineLevel="0" collapsed="false">
      <c r="A1538" s="1" t="n">
        <v>1537</v>
      </c>
      <c r="B1538" s="7" t="str">
        <f aca="false">HYPERLINK("https://mncourtfraud.com/file/27-CR-21-13150.pdf","27-CR-21-13150")</f>
        <v>27-CR-21-13150</v>
      </c>
      <c r="C1538" s="1" t="n">
        <v>1</v>
      </c>
      <c r="D1538" s="2" t="s">
        <v>12</v>
      </c>
      <c r="E1538" s="8" t="n">
        <v>44558</v>
      </c>
      <c r="F1538" s="2" t="s">
        <v>15</v>
      </c>
      <c r="G1538" s="7" t="str">
        <f aca="false">HYPERLINK("https://mncourtfraud.com/file/MCRO_27-CR-21-13150_Order-Evaluation for Competency to Proceed (Rule 20.01)_2021-12-28_20251126183913.pdf","MCRO_27-CR-21-13150_Order-Evaluation for Competency to Proceed (Rule 20.01)_2021-12-28_20251126183913.pdf")</f>
        <v>MCRO_27-CR-21-13150_Order-Evaluation for Competency to Proceed (Rule 20.01)_2021-12-28_20251126183913.pdf</v>
      </c>
      <c r="H1538" s="7" t="str">
        <f aca="false">HYPERLINK("https://mncourtfraud.com/file/3b1d1d6f34065769088f1a248ad66b3619e90b260d5d648e1f4b86a1913a38cd.png","3b1d1d6f34065769088f1a248ad66b3619e90b260d5d648e1f4b86a1913a38cd")</f>
        <v>3b1d1d6f34065769088f1a248ad66b3619e90b260d5d648e1f4b86a1913a38cd</v>
      </c>
      <c r="I1538" s="1" t="s">
        <v>3406</v>
      </c>
      <c r="L1538" s="2" t="s">
        <v>3412</v>
      </c>
      <c r="M1538" s="2" t="n">
        <v>129860</v>
      </c>
      <c r="S1538" s="2" t="n">
        <v>2550</v>
      </c>
      <c r="T1538" s="2" t="n">
        <v>3300</v>
      </c>
    </row>
    <row r="1539" customFormat="false" ht="18.7" hidden="false" customHeight="true" outlineLevel="0" collapsed="false">
      <c r="A1539" s="1" t="n">
        <v>1538</v>
      </c>
      <c r="B1539" s="7" t="str">
        <f aca="false">HYPERLINK("https://mncourtfraud.com/file/27-CR-21-13150.pdf","27-CR-21-13150")</f>
        <v>27-CR-21-13150</v>
      </c>
      <c r="C1539" s="1" t="n">
        <v>1</v>
      </c>
      <c r="D1539" s="2" t="s">
        <v>12</v>
      </c>
      <c r="E1539" s="8" t="n">
        <v>44558</v>
      </c>
      <c r="F1539" s="2" t="s">
        <v>15</v>
      </c>
      <c r="G1539" s="7" t="str">
        <f aca="false">HYPERLINK("https://mncourtfraud.com/file/MCRO_27-CR-21-13150_Order-Evaluation for Competency to Proceed (Rule 20.01)_2021-12-28_20251126183913.pdf","MCRO_27-CR-21-13150_Order-Evaluation for Competency to Proceed (Rule 20.01)_2021-12-28_20251126183913.pdf")</f>
        <v>MCRO_27-CR-21-13150_Order-Evaluation for Competency to Proceed (Rule 20.01)_2021-12-28_20251126183913.pdf</v>
      </c>
      <c r="H1539" s="7" t="str">
        <f aca="false">HYPERLINK("https://mncourtfraud.com/file/62db3bb0b93d1a3b99f07916d5e751f355dfd45629d494ec4c7364b161163bbd.ttf","62db3bb0b93d1a3b99f07916d5e751f355dfd45629d494ec4c7364b161163bbd")</f>
        <v>62db3bb0b93d1a3b99f07916d5e751f355dfd45629d494ec4c7364b161163bbd</v>
      </c>
      <c r="I1539" s="1" t="s">
        <v>3413</v>
      </c>
      <c r="L1539" s="2" t="s">
        <v>3415</v>
      </c>
      <c r="M1539" s="2" t="n">
        <v>333576</v>
      </c>
    </row>
    <row r="1540" customFormat="false" ht="18.7" hidden="false" customHeight="true" outlineLevel="0" collapsed="false">
      <c r="A1540" s="1" t="n">
        <v>1539</v>
      </c>
      <c r="B1540" s="7" t="str">
        <f aca="false">HYPERLINK("https://mncourtfraud.com/file/27-CR-21-13150.pdf","27-CR-21-13150")</f>
        <v>27-CR-21-13150</v>
      </c>
      <c r="C1540" s="1" t="n">
        <v>1</v>
      </c>
      <c r="D1540" s="2" t="s">
        <v>12</v>
      </c>
      <c r="E1540" s="8" t="n">
        <v>44558</v>
      </c>
      <c r="F1540" s="2" t="s">
        <v>15</v>
      </c>
      <c r="G1540" s="7" t="str">
        <f aca="false">HYPERLINK("https://mncourtfraud.com/file/MCRO_27-CR-21-13150_Order-Evaluation for Competency to Proceed (Rule 20.01)_2021-12-28_20251126183913.pdf","MCRO_27-CR-21-13150_Order-Evaluation for Competency to Proceed (Rule 20.01)_2021-12-28_20251126183913.pdf")</f>
        <v>MCRO_27-CR-21-13150_Order-Evaluation for Competency to Proceed (Rule 20.01)_2021-12-28_20251126183913.pdf</v>
      </c>
      <c r="H1540" s="7" t="str">
        <f aca="false">HYPERLINK("https://mncourtfraud.com/file/b60d1dfdd08cc99d8c5112a9d14670dca26c8d05081bbd7bbf48b77753baddbb.png","b60d1dfdd08cc99d8c5112a9d14670dca26c8d05081bbd7bbf48b77753baddbb")</f>
        <v>b60d1dfdd08cc99d8c5112a9d14670dca26c8d05081bbd7bbf48b77753baddbb</v>
      </c>
      <c r="I1540" s="1" t="s">
        <v>3406</v>
      </c>
      <c r="L1540" s="2" t="s">
        <v>3412</v>
      </c>
      <c r="M1540" s="2" t="n">
        <v>160939</v>
      </c>
      <c r="S1540" s="2" t="n">
        <v>2550</v>
      </c>
      <c r="T1540" s="2" t="n">
        <v>3300</v>
      </c>
    </row>
    <row r="1541" customFormat="false" ht="18.7" hidden="false" customHeight="true" outlineLevel="0" collapsed="false">
      <c r="A1541" s="1" t="n">
        <v>1540</v>
      </c>
      <c r="B1541" s="7" t="str">
        <f aca="false">HYPERLINK("https://mncourtfraud.com/file/27-CR-21-13150.pdf","27-CR-21-13150")</f>
        <v>27-CR-21-13150</v>
      </c>
      <c r="C1541" s="1" t="n">
        <v>1</v>
      </c>
      <c r="D1541" s="2" t="s">
        <v>12</v>
      </c>
      <c r="E1541" s="8" t="n">
        <v>44558</v>
      </c>
      <c r="F1541" s="2" t="s">
        <v>15</v>
      </c>
      <c r="G1541" s="7" t="str">
        <f aca="false">HYPERLINK("https://mncourtfraud.com/file/MCRO_27-CR-21-13150_Order-Evaluation for Competency to Proceed (Rule 20.01)_2021-12-28_20251126183913.pdf","MCRO_27-CR-21-13150_Order-Evaluation for Competency to Proceed (Rule 20.01)_2021-12-28_20251126183913.pdf")</f>
        <v>MCRO_27-CR-21-13150_Order-Evaluation for Competency to Proceed (Rule 20.01)_2021-12-28_20251126183913.pdf</v>
      </c>
      <c r="H1541" s="7" t="str">
        <f aca="false">HYPERLINK("https://mncourtfraud.com/file/c9405ddec14cbde33f63ba7da66c52f9cbdb2f387f1c9cee0bcdda41fcdeae07.png","c9405ddec14cbde33f63ba7da66c52f9cbdb2f387f1c9cee0bcdda41fcdeae07")</f>
        <v>c9405ddec14cbde33f63ba7da66c52f9cbdb2f387f1c9cee0bcdda41fcdeae07</v>
      </c>
      <c r="I1541" s="1" t="s">
        <v>3406</v>
      </c>
      <c r="L1541" s="2" t="s">
        <v>3412</v>
      </c>
      <c r="M1541" s="2" t="n">
        <v>99412</v>
      </c>
      <c r="S1541" s="2" t="n">
        <v>2550</v>
      </c>
      <c r="T1541" s="2" t="n">
        <v>3300</v>
      </c>
    </row>
    <row r="1542" customFormat="false" ht="18.7" hidden="false" customHeight="true" outlineLevel="0" collapsed="false">
      <c r="A1542" s="1" t="n">
        <v>1541</v>
      </c>
      <c r="B1542" s="7" t="str">
        <f aca="false">HYPERLINK("https://mncourtfraud.com/file/27-CR-21-13150.pdf","27-CR-21-13150")</f>
        <v>27-CR-21-13150</v>
      </c>
      <c r="C1542" s="1" t="n">
        <v>1</v>
      </c>
      <c r="D1542" s="2" t="s">
        <v>12</v>
      </c>
      <c r="E1542" s="8" t="n">
        <v>44593</v>
      </c>
      <c r="F1542" s="2" t="s">
        <v>19</v>
      </c>
      <c r="G1542" s="7" t="str">
        <f aca="false">HYPERLINK("https://mncourtfraud.com/file/MCRO_27-CR-21-13150_Findings and Order_2022-02-01_20251126183801.pdf","MCRO_27-CR-21-13150_Findings and Order_2022-02-01_20251126183801.pdf")</f>
        <v>MCRO_27-CR-21-13150_Findings and Order_2022-02-01_20251126183801.pdf</v>
      </c>
      <c r="H1542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1542" s="1" t="s">
        <v>3413</v>
      </c>
      <c r="J1542" s="2" t="s">
        <v>3426</v>
      </c>
      <c r="K1542" s="2" t="s">
        <v>3426</v>
      </c>
      <c r="L1542" s="2" t="s">
        <v>3415</v>
      </c>
      <c r="M1542" s="2" t="n">
        <v>74997</v>
      </c>
      <c r="N1542" s="2" t="s">
        <v>3427</v>
      </c>
    </row>
    <row r="1543" customFormat="false" ht="18.7" hidden="false" customHeight="true" outlineLevel="0" collapsed="false">
      <c r="A1543" s="1" t="n">
        <v>1542</v>
      </c>
      <c r="B1543" s="7" t="str">
        <f aca="false">HYPERLINK("https://mncourtfraud.com/file/27-CR-21-13150.pdf","27-CR-21-13150")</f>
        <v>27-CR-21-13150</v>
      </c>
      <c r="C1543" s="1" t="n">
        <v>1</v>
      </c>
      <c r="D1543" s="2" t="s">
        <v>12</v>
      </c>
      <c r="E1543" s="8" t="n">
        <v>44593</v>
      </c>
      <c r="F1543" s="2" t="s">
        <v>19</v>
      </c>
      <c r="G1543" s="7" t="str">
        <f aca="false">HYPERLINK("https://mncourtfraud.com/file/MCRO_27-CR-21-13150_Findings and Order_2022-02-01_20251126183801.pdf","MCRO_27-CR-21-13150_Findings and Order_2022-02-01_20251126183801.pdf")</f>
        <v>MCRO_27-CR-21-13150_Findings and Order_2022-02-01_20251126183801.pdf</v>
      </c>
      <c r="H1543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1543" s="1" t="s">
        <v>3428</v>
      </c>
      <c r="J1543" s="2" t="s">
        <v>3429</v>
      </c>
      <c r="K1543" s="2" t="s">
        <v>3429</v>
      </c>
      <c r="L1543" s="2" t="s">
        <v>3415</v>
      </c>
      <c r="M1543" s="2" t="n">
        <v>86093</v>
      </c>
    </row>
    <row r="1544" customFormat="false" ht="18.7" hidden="false" customHeight="true" outlineLevel="0" collapsed="false">
      <c r="A1544" s="1" t="n">
        <v>1543</v>
      </c>
      <c r="B1544" s="7" t="str">
        <f aca="false">HYPERLINK("https://mncourtfraud.com/file/27-CR-21-13150.pdf","27-CR-21-13150")</f>
        <v>27-CR-21-13150</v>
      </c>
      <c r="C1544" s="1" t="n">
        <v>1</v>
      </c>
      <c r="D1544" s="2" t="s">
        <v>12</v>
      </c>
      <c r="E1544" s="8" t="n">
        <v>44593</v>
      </c>
      <c r="F1544" s="2" t="s">
        <v>19</v>
      </c>
      <c r="G1544" s="7" t="str">
        <f aca="false">HYPERLINK("https://mncourtfraud.com/file/MCRO_27-CR-21-13150_Findings and Order_2022-02-01_20251126183801.pdf","MCRO_27-CR-21-13150_Findings and Order_2022-02-01_20251126183801.pdf")</f>
        <v>MCRO_27-CR-21-13150_Findings and Order_2022-02-01_20251126183801.pdf</v>
      </c>
      <c r="H1544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1544" s="1" t="s">
        <v>3413</v>
      </c>
      <c r="J1544" s="2" t="s">
        <v>3414</v>
      </c>
      <c r="K1544" s="2" t="s">
        <v>3414</v>
      </c>
      <c r="L1544" s="2" t="s">
        <v>3415</v>
      </c>
      <c r="M1544" s="2" t="n">
        <v>42332</v>
      </c>
    </row>
    <row r="1545" customFormat="false" ht="18.7" hidden="false" customHeight="true" outlineLevel="0" collapsed="false">
      <c r="A1545" s="1" t="n">
        <v>1544</v>
      </c>
      <c r="B1545" s="7" t="str">
        <f aca="false">HYPERLINK("https://mncourtfraud.com/file/27-CR-21-13150.pdf","27-CR-21-13150")</f>
        <v>27-CR-21-13150</v>
      </c>
      <c r="C1545" s="1" t="n">
        <v>1</v>
      </c>
      <c r="D1545" s="2" t="s">
        <v>12</v>
      </c>
      <c r="E1545" s="8" t="n">
        <v>44593</v>
      </c>
      <c r="F1545" s="2" t="s">
        <v>19</v>
      </c>
      <c r="G1545" s="7" t="str">
        <f aca="false">HYPERLINK("https://mncourtfraud.com/file/MCRO_27-CR-21-13150_Findings and Order_2022-02-01_20251126183801.pdf","MCRO_27-CR-21-13150_Findings and Order_2022-02-01_20251126183801.pdf")</f>
        <v>MCRO_27-CR-21-13150_Findings and Order_2022-02-01_20251126183801.pdf</v>
      </c>
      <c r="H1545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1545" s="1" t="s">
        <v>3413</v>
      </c>
      <c r="J1545" s="2" t="s">
        <v>3414</v>
      </c>
      <c r="K1545" s="2" t="s">
        <v>3414</v>
      </c>
      <c r="L1545" s="2" t="s">
        <v>3415</v>
      </c>
      <c r="M1545" s="2" t="n">
        <v>42332</v>
      </c>
    </row>
    <row r="1546" customFormat="false" ht="18.7" hidden="false" customHeight="true" outlineLevel="0" collapsed="false">
      <c r="A1546" s="1" t="n">
        <v>1545</v>
      </c>
      <c r="B1546" s="7" t="str">
        <f aca="false">HYPERLINK("https://mncourtfraud.com/file/27-CR-21-13150.pdf","27-CR-21-13150")</f>
        <v>27-CR-21-13150</v>
      </c>
      <c r="C1546" s="1" t="n">
        <v>1</v>
      </c>
      <c r="D1546" s="2" t="s">
        <v>12</v>
      </c>
      <c r="E1546" s="8" t="n">
        <v>44593</v>
      </c>
      <c r="F1546" s="2" t="s">
        <v>19</v>
      </c>
      <c r="G1546" s="7" t="str">
        <f aca="false">HYPERLINK("https://mncourtfraud.com/file/MCRO_27-CR-21-13150_Findings and Order_2022-02-01_20251126183801.pdf","MCRO_27-CR-21-13150_Findings and Order_2022-02-01_20251126183801.pdf")</f>
        <v>MCRO_27-CR-21-13150_Findings and Order_2022-02-01_20251126183801.pdf</v>
      </c>
      <c r="H1546" s="7" t="str">
        <f aca="false">HYPERLINK("https://mncourtfraud.com/file/d1e06f7a12c8d4ae1de62861dbfeadf4f6b52b1cfd6801e548bc1d08782c1451.ttf","d1e06f7a12c8d4ae1de62861dbfeadf4f6b52b1cfd6801e548bc1d08782c1451")</f>
        <v>d1e06f7a12c8d4ae1de62861dbfeadf4f6b52b1cfd6801e548bc1d08782c1451</v>
      </c>
      <c r="I1546" s="1" t="s">
        <v>3413</v>
      </c>
      <c r="J1546" s="2" t="s">
        <v>3414</v>
      </c>
      <c r="K1546" s="2" t="s">
        <v>3416</v>
      </c>
      <c r="L1546" s="2" t="s">
        <v>3415</v>
      </c>
      <c r="M1546" s="2" t="n">
        <v>28584</v>
      </c>
    </row>
    <row r="1547" customFormat="false" ht="18.7" hidden="false" customHeight="true" outlineLevel="0" collapsed="false">
      <c r="A1547" s="1" t="n">
        <v>1546</v>
      </c>
      <c r="B1547" s="7" t="str">
        <f aca="false">HYPERLINK("https://mncourtfraud.com/file/27-CR-21-13150.pdf","27-CR-21-13150")</f>
        <v>27-CR-21-13150</v>
      </c>
      <c r="C1547" s="1" t="n">
        <v>1</v>
      </c>
      <c r="D1547" s="2" t="s">
        <v>12</v>
      </c>
      <c r="E1547" s="8" t="n">
        <v>44593</v>
      </c>
      <c r="F1547" s="2" t="s">
        <v>19</v>
      </c>
      <c r="G1547" s="7" t="str">
        <f aca="false">HYPERLINK("https://mncourtfraud.com/file/MCRO_27-CR-21-13150_Findings and Order_2022-02-01_20251126183801.pdf","MCRO_27-CR-21-13150_Findings and Order_2022-02-01_20251126183801.pdf")</f>
        <v>MCRO_27-CR-21-13150_Findings and Order_2022-02-01_20251126183801.pdf</v>
      </c>
      <c r="H1547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1547" s="1" t="s">
        <v>3406</v>
      </c>
      <c r="K1547" s="2" t="s">
        <v>3430</v>
      </c>
      <c r="L1547" s="2" t="s">
        <v>3408</v>
      </c>
      <c r="M1547" s="2" t="n">
        <v>28069</v>
      </c>
      <c r="O1547" s="2" t="s">
        <v>3409</v>
      </c>
      <c r="P1547" s="2" t="s">
        <v>3410</v>
      </c>
      <c r="S1547" s="2" t="n">
        <v>448</v>
      </c>
      <c r="T1547" s="2" t="n">
        <v>128</v>
      </c>
    </row>
    <row r="1548" customFormat="false" ht="18.7" hidden="false" customHeight="true" outlineLevel="0" collapsed="false">
      <c r="A1548" s="1" t="n">
        <v>1547</v>
      </c>
      <c r="B1548" s="7" t="str">
        <f aca="false">HYPERLINK("https://mncourtfraud.com/file/27-CR-21-13150.pdf","27-CR-21-13150")</f>
        <v>27-CR-21-13150</v>
      </c>
      <c r="C1548" s="1" t="n">
        <v>1</v>
      </c>
      <c r="D1548" s="2" t="s">
        <v>12</v>
      </c>
      <c r="E1548" s="8" t="n">
        <v>44692</v>
      </c>
      <c r="F1548" s="2" t="s">
        <v>15</v>
      </c>
      <c r="G1548" s="7" t="str">
        <f aca="false">HYPERLINK("https://mncourtfraud.com/file/MCRO_27-CR-21-13150_Order-Evaluation for Competency to Proceed (Rule 20.01)_2022-05-11_20251126183920.pdf","MCRO_27-CR-21-13150_Order-Evaluation for Competency to Proceed (Rule 20.01)_2022-05-11_20251126183920.pdf")</f>
        <v>MCRO_27-CR-21-13150_Order-Evaluation for Competency to Proceed (Rule 20.01)_2022-05-11_20251126183920.pdf</v>
      </c>
      <c r="H1548" s="7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1548" s="1" t="s">
        <v>3406</v>
      </c>
      <c r="K1548" s="2" t="s">
        <v>3432</v>
      </c>
      <c r="L1548" s="2" t="s">
        <v>3408</v>
      </c>
      <c r="M1548" s="2" t="n">
        <v>21121</v>
      </c>
      <c r="O1548" s="2" t="s">
        <v>3409</v>
      </c>
      <c r="P1548" s="2" t="s">
        <v>3410</v>
      </c>
      <c r="S1548" s="2" t="n">
        <v>695</v>
      </c>
      <c r="T1548" s="2" t="n">
        <v>233</v>
      </c>
    </row>
    <row r="1549" customFormat="false" ht="18.7" hidden="false" customHeight="true" outlineLevel="0" collapsed="false">
      <c r="A1549" s="1" t="n">
        <v>1548</v>
      </c>
      <c r="B1549" s="7" t="str">
        <f aca="false">HYPERLINK("https://mncourtfraud.com/file/27-CR-21-13150.pdf","27-CR-21-13150")</f>
        <v>27-CR-21-13150</v>
      </c>
      <c r="C1549" s="1" t="n">
        <v>1</v>
      </c>
      <c r="D1549" s="2" t="s">
        <v>12</v>
      </c>
      <c r="E1549" s="8" t="n">
        <v>44692</v>
      </c>
      <c r="F1549" s="2" t="s">
        <v>15</v>
      </c>
      <c r="G1549" s="7" t="str">
        <f aca="false">HYPERLINK("https://mncourtfraud.com/file/MCRO_27-CR-21-13150_Order-Evaluation for Competency to Proceed (Rule 20.01)_2022-05-11_20251126183920.pdf","MCRO_27-CR-21-13150_Order-Evaluation for Competency to Proceed (Rule 20.01)_2022-05-11_20251126183920.pdf")</f>
        <v>MCRO_27-CR-21-13150_Order-Evaluation for Competency to Proceed (Rule 20.01)_2022-05-11_20251126183920.pdf</v>
      </c>
      <c r="H1549" s="7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1549" s="1" t="s">
        <v>3406</v>
      </c>
      <c r="K1549" s="2" t="s">
        <v>3433</v>
      </c>
      <c r="L1549" s="2" t="s">
        <v>3408</v>
      </c>
      <c r="M1549" s="2" t="n">
        <v>53838</v>
      </c>
      <c r="O1549" s="2" t="s">
        <v>3409</v>
      </c>
      <c r="P1549" s="2" t="s">
        <v>3410</v>
      </c>
      <c r="S1549" s="2" t="n">
        <v>695</v>
      </c>
      <c r="T1549" s="2" t="n">
        <v>233</v>
      </c>
    </row>
    <row r="1550" customFormat="false" ht="18.7" hidden="false" customHeight="true" outlineLevel="0" collapsed="false">
      <c r="A1550" s="1" t="n">
        <v>1549</v>
      </c>
      <c r="B1550" s="7" t="str">
        <f aca="false">HYPERLINK("https://mncourtfraud.com/file/27-CR-21-13150.pdf","27-CR-21-13150")</f>
        <v>27-CR-21-13150</v>
      </c>
      <c r="C1550" s="1" t="n">
        <v>1</v>
      </c>
      <c r="D1550" s="2" t="s">
        <v>12</v>
      </c>
      <c r="E1550" s="8" t="n">
        <v>44692</v>
      </c>
      <c r="F1550" s="2" t="s">
        <v>15</v>
      </c>
      <c r="G1550" s="7" t="str">
        <f aca="false">HYPERLINK("https://mncourtfraud.com/file/MCRO_27-CR-21-13150_Order-Evaluation for Competency to Proceed (Rule 20.01)_2022-05-11_20251126183920.pdf","MCRO_27-CR-21-13150_Order-Evaluation for Competency to Proceed (Rule 20.01)_2022-05-11_20251126183920.pdf")</f>
        <v>MCRO_27-CR-21-13150_Order-Evaluation for Competency to Proceed (Rule 20.01)_2022-05-11_20251126183920.pdf</v>
      </c>
      <c r="H1550" s="7" t="str">
        <f aca="false">HYPERLINK("https://mncourtfraud.com/file/322fe0e9595a4df4693edf307e5f8a42a470721d59f006a7b0e86def92125a58.ttf","322fe0e9595a4df4693edf307e5f8a42a470721d59f006a7b0e86def92125a58")</f>
        <v>322fe0e9595a4df4693edf307e5f8a42a470721d59f006a7b0e86def92125a58</v>
      </c>
      <c r="I1550" s="1" t="s">
        <v>3413</v>
      </c>
      <c r="J1550" s="2" t="s">
        <v>3434</v>
      </c>
      <c r="K1550" s="2" t="s">
        <v>3434</v>
      </c>
      <c r="L1550" s="2" t="s">
        <v>3415</v>
      </c>
      <c r="M1550" s="2" t="n">
        <v>46736</v>
      </c>
      <c r="N1550" s="2" t="s">
        <v>3435</v>
      </c>
    </row>
    <row r="1551" customFormat="false" ht="18.7" hidden="false" customHeight="true" outlineLevel="0" collapsed="false">
      <c r="A1551" s="1" t="n">
        <v>1550</v>
      </c>
      <c r="B1551" s="7" t="str">
        <f aca="false">HYPERLINK("https://mncourtfraud.com/file/27-CR-21-13150.pdf","27-CR-21-13150")</f>
        <v>27-CR-21-13150</v>
      </c>
      <c r="C1551" s="1" t="n">
        <v>1</v>
      </c>
      <c r="D1551" s="2" t="s">
        <v>12</v>
      </c>
      <c r="E1551" s="8" t="n">
        <v>44692</v>
      </c>
      <c r="F1551" s="2" t="s">
        <v>15</v>
      </c>
      <c r="G1551" s="7" t="str">
        <f aca="false">HYPERLINK("https://mncourtfraud.com/file/MCRO_27-CR-21-13150_Order-Evaluation for Competency to Proceed (Rule 20.01)_2022-05-11_20251126183920.pdf","MCRO_27-CR-21-13150_Order-Evaluation for Competency to Proceed (Rule 20.01)_2022-05-11_20251126183920.pdf")</f>
        <v>MCRO_27-CR-21-13150_Order-Evaluation for Competency to Proceed (Rule 20.01)_2022-05-11_20251126183920.pdf</v>
      </c>
      <c r="H1551" s="7" t="str">
        <f aca="false">HYPERLINK("https://mncourtfraud.com/file/32ebada21768d6238e03c647b5e5acdf6ce656f0735d59c3fb698ce40418a709.ttf","32ebada21768d6238e03c647b5e5acdf6ce656f0735d59c3fb698ce40418a709")</f>
        <v>32ebada21768d6238e03c647b5e5acdf6ce656f0735d59c3fb698ce40418a709</v>
      </c>
      <c r="I1551" s="1" t="s">
        <v>3413</v>
      </c>
      <c r="J1551" s="2" t="s">
        <v>3436</v>
      </c>
      <c r="K1551" s="2" t="s">
        <v>3436</v>
      </c>
      <c r="L1551" s="2" t="s">
        <v>3415</v>
      </c>
      <c r="M1551" s="2" t="n">
        <v>65744</v>
      </c>
      <c r="N1551" s="2" t="s">
        <v>3437</v>
      </c>
    </row>
    <row r="1552" customFormat="false" ht="18.7" hidden="false" customHeight="true" outlineLevel="0" collapsed="false">
      <c r="A1552" s="1" t="n">
        <v>1551</v>
      </c>
      <c r="B1552" s="7" t="str">
        <f aca="false">HYPERLINK("https://mncourtfraud.com/file/27-CR-21-13150.pdf","27-CR-21-13150")</f>
        <v>27-CR-21-13150</v>
      </c>
      <c r="C1552" s="1" t="n">
        <v>1</v>
      </c>
      <c r="D1552" s="2" t="s">
        <v>12</v>
      </c>
      <c r="E1552" s="8" t="n">
        <v>44692</v>
      </c>
      <c r="F1552" s="2" t="s">
        <v>15</v>
      </c>
      <c r="G1552" s="7" t="str">
        <f aca="false">HYPERLINK("https://mncourtfraud.com/file/MCRO_27-CR-21-13150_Order-Evaluation for Competency to Proceed (Rule 20.01)_2022-05-11_20251126183920.pdf","MCRO_27-CR-21-13150_Order-Evaluation for Competency to Proceed (Rule 20.01)_2022-05-11_20251126183920.pdf")</f>
        <v>MCRO_27-CR-21-13150_Order-Evaluation for Competency to Proceed (Rule 20.01)_2022-05-11_20251126183920.pdf</v>
      </c>
      <c r="H1552" s="7" t="str">
        <f aca="false">HYPERLINK("https://mncourtfraud.com/file/694dcb82a5515430b7fddfbf16881b942820c8c41fee3eea3505a20c7d4e41e6.ttf","694dcb82a5515430b7fddfbf16881b942820c8c41fee3eea3505a20c7d4e41e6")</f>
        <v>694dcb82a5515430b7fddfbf16881b942820c8c41fee3eea3505a20c7d4e41e6</v>
      </c>
      <c r="I1552" s="1" t="s">
        <v>3413</v>
      </c>
      <c r="J1552" s="2" t="s">
        <v>3438</v>
      </c>
      <c r="K1552" s="2" t="s">
        <v>3438</v>
      </c>
      <c r="L1552" s="2" t="s">
        <v>3415</v>
      </c>
      <c r="M1552" s="2" t="n">
        <v>72828</v>
      </c>
      <c r="N1552" s="2" t="s">
        <v>3439</v>
      </c>
    </row>
    <row r="1553" customFormat="false" ht="18.7" hidden="false" customHeight="true" outlineLevel="0" collapsed="false">
      <c r="A1553" s="1" t="n">
        <v>1552</v>
      </c>
      <c r="B1553" s="7" t="str">
        <f aca="false">HYPERLINK("https://mncourtfraud.com/file/27-CR-21-13150.pdf","27-CR-21-13150")</f>
        <v>27-CR-21-13150</v>
      </c>
      <c r="C1553" s="1" t="n">
        <v>1</v>
      </c>
      <c r="D1553" s="2" t="s">
        <v>12</v>
      </c>
      <c r="E1553" s="8" t="n">
        <v>44692</v>
      </c>
      <c r="F1553" s="2" t="s">
        <v>15</v>
      </c>
      <c r="G1553" s="7" t="str">
        <f aca="false">HYPERLINK("https://mncourtfraud.com/file/MCRO_27-CR-21-13150_Order-Evaluation for Competency to Proceed (Rule 20.01)_2022-05-11_20251126183920.pdf","MCRO_27-CR-21-13150_Order-Evaluation for Competency to Proceed (Rule 20.01)_2022-05-11_20251126183920.pdf")</f>
        <v>MCRO_27-CR-21-13150_Order-Evaluation for Competency to Proceed (Rule 20.01)_2022-05-11_20251126183920.pdf</v>
      </c>
      <c r="H1553" s="7" t="str">
        <f aca="false">HYPERLINK("https://mncourtfraud.com/file/87764021d6d62f7c396208d3f1fa8113e5ad5f90bd03c35e7200536389af4e6a.ttf","87764021d6d62f7c396208d3f1fa8113e5ad5f90bd03c35e7200536389af4e6a")</f>
        <v>87764021d6d62f7c396208d3f1fa8113e5ad5f90bd03c35e7200536389af4e6a</v>
      </c>
      <c r="I1553" s="1" t="s">
        <v>3413</v>
      </c>
      <c r="J1553" s="2" t="s">
        <v>3440</v>
      </c>
      <c r="K1553" s="2" t="s">
        <v>3440</v>
      </c>
      <c r="L1553" s="2" t="s">
        <v>3415</v>
      </c>
      <c r="M1553" s="2" t="n">
        <v>6280</v>
      </c>
      <c r="N1553" s="2" t="s">
        <v>3441</v>
      </c>
    </row>
    <row r="1554" customFormat="false" ht="18.7" hidden="false" customHeight="true" outlineLevel="0" collapsed="false">
      <c r="A1554" s="1" t="n">
        <v>1553</v>
      </c>
      <c r="B1554" s="7" t="str">
        <f aca="false">HYPERLINK("https://mncourtfraud.com/file/27-CR-21-13150.pdf","27-CR-21-13150")</f>
        <v>27-CR-21-13150</v>
      </c>
      <c r="C1554" s="1" t="n">
        <v>1</v>
      </c>
      <c r="D1554" s="2" t="s">
        <v>12</v>
      </c>
      <c r="E1554" s="8" t="n">
        <v>44692</v>
      </c>
      <c r="F1554" s="2" t="s">
        <v>15</v>
      </c>
      <c r="G1554" s="7" t="str">
        <f aca="false">HYPERLINK("https://mncourtfraud.com/file/MCRO_27-CR-21-13150_Order-Evaluation for Competency to Proceed (Rule 20.01)_2022-05-11_20251126183920.pdf","MCRO_27-CR-21-13150_Order-Evaluation for Competency to Proceed (Rule 20.01)_2022-05-11_20251126183920.pdf")</f>
        <v>MCRO_27-CR-21-13150_Order-Evaluation for Competency to Proceed (Rule 20.01)_2022-05-11_20251126183920.pdf</v>
      </c>
      <c r="H1554" s="7" t="str">
        <f aca="false">HYPERLINK("https://mncourtfraud.com/file/a1ad71f465be26cf6bb430c59ae6133d3c381ada339ba3c6b2eadf32a9b4096b.ttf","a1ad71f465be26cf6bb430c59ae6133d3c381ada339ba3c6b2eadf32a9b4096b")</f>
        <v>a1ad71f465be26cf6bb430c59ae6133d3c381ada339ba3c6b2eadf32a9b4096b</v>
      </c>
      <c r="I1554" s="1" t="s">
        <v>3413</v>
      </c>
      <c r="J1554" s="2" t="s">
        <v>3442</v>
      </c>
      <c r="K1554" s="2" t="s">
        <v>3442</v>
      </c>
      <c r="L1554" s="2" t="s">
        <v>3415</v>
      </c>
      <c r="M1554" s="2" t="n">
        <v>5988</v>
      </c>
      <c r="N1554" s="2" t="s">
        <v>3443</v>
      </c>
    </row>
    <row r="1555" customFormat="false" ht="18.7" hidden="false" customHeight="true" outlineLevel="0" collapsed="false">
      <c r="A1555" s="1" t="n">
        <v>1554</v>
      </c>
      <c r="B1555" s="7" t="str">
        <f aca="false">HYPERLINK("https://mncourtfraud.com/file/27-CR-21-13150.pdf","27-CR-21-13150")</f>
        <v>27-CR-21-13150</v>
      </c>
      <c r="C1555" s="1" t="n">
        <v>1</v>
      </c>
      <c r="D1555" s="2" t="s">
        <v>12</v>
      </c>
      <c r="E1555" s="8" t="n">
        <v>44692</v>
      </c>
      <c r="F1555" s="2" t="s">
        <v>15</v>
      </c>
      <c r="G1555" s="7" t="str">
        <f aca="false">HYPERLINK("https://mncourtfraud.com/file/MCRO_27-CR-21-13150_Order-Evaluation for Competency to Proceed (Rule 20.01)_2022-05-11_20251126183920.pdf","MCRO_27-CR-21-13150_Order-Evaluation for Competency to Proceed (Rule 20.01)_2022-05-11_20251126183920.pdf")</f>
        <v>MCRO_27-CR-21-13150_Order-Evaluation for Competency to Proceed (Rule 20.01)_2022-05-11_20251126183920.pdf</v>
      </c>
      <c r="H1555" s="7" t="str">
        <f aca="false">HYPERLINK("https://mncourtfraud.com/file/e1befe23dc5d05be4c8e965e6fc9e74e95400600e0da0c86dd389645355f3ad1.ttf","e1befe23dc5d05be4c8e965e6fc9e74e95400600e0da0c86dd389645355f3ad1")</f>
        <v>e1befe23dc5d05be4c8e965e6fc9e74e95400600e0da0c86dd389645355f3ad1</v>
      </c>
      <c r="I1555" s="1" t="s">
        <v>3413</v>
      </c>
      <c r="J1555" s="2" t="s">
        <v>3444</v>
      </c>
      <c r="K1555" s="2" t="s">
        <v>3444</v>
      </c>
      <c r="L1555" s="2" t="s">
        <v>3415</v>
      </c>
      <c r="M1555" s="2" t="n">
        <v>94308</v>
      </c>
      <c r="N1555" s="2" t="s">
        <v>3445</v>
      </c>
    </row>
    <row r="1556" customFormat="false" ht="18.7" hidden="false" customHeight="true" outlineLevel="0" collapsed="false">
      <c r="A1556" s="1" t="n">
        <v>1555</v>
      </c>
      <c r="B1556" s="7" t="str">
        <f aca="false">HYPERLINK("https://mncourtfraud.com/file/27-CR-21-13150.pdf","27-CR-21-13150")</f>
        <v>27-CR-21-13150</v>
      </c>
      <c r="C1556" s="1" t="n">
        <v>1</v>
      </c>
      <c r="D1556" s="2" t="s">
        <v>12</v>
      </c>
      <c r="E1556" s="8" t="n">
        <v>44895</v>
      </c>
      <c r="F1556" s="2" t="s">
        <v>15</v>
      </c>
      <c r="G1556" s="7" t="str">
        <f aca="false">HYPERLINK("https://mncourtfraud.com/file/MCRO_27-CR-21-13150_Order-Evaluation for Competency to Proceed (Rule 20.01)_2022-11-30_20251126183927.pdf","MCRO_27-CR-21-13150_Order-Evaluation for Competency to Proceed (Rule 20.01)_2022-11-30_20251126183927.pdf")</f>
        <v>MCRO_27-CR-21-13150_Order-Evaluation for Competency to Proceed (Rule 20.01)_2022-11-30_20251126183927.pdf</v>
      </c>
      <c r="H1556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1556" s="1" t="s">
        <v>3413</v>
      </c>
      <c r="J1556" s="2" t="s">
        <v>3423</v>
      </c>
      <c r="K1556" s="2" t="s">
        <v>3423</v>
      </c>
      <c r="L1556" s="2" t="s">
        <v>3415</v>
      </c>
      <c r="M1556" s="2" t="n">
        <v>11088</v>
      </c>
    </row>
    <row r="1557" customFormat="false" ht="18.7" hidden="false" customHeight="true" outlineLevel="0" collapsed="false">
      <c r="A1557" s="1" t="n">
        <v>1556</v>
      </c>
      <c r="B1557" s="7" t="str">
        <f aca="false">HYPERLINK("https://mncourtfraud.com/file/27-CR-21-13150.pdf","27-CR-21-13150")</f>
        <v>27-CR-21-13150</v>
      </c>
      <c r="C1557" s="1" t="n">
        <v>1</v>
      </c>
      <c r="D1557" s="2" t="s">
        <v>12</v>
      </c>
      <c r="E1557" s="8" t="n">
        <v>44895</v>
      </c>
      <c r="F1557" s="2" t="s">
        <v>15</v>
      </c>
      <c r="G1557" s="7" t="str">
        <f aca="false">HYPERLINK("https://mncourtfraud.com/file/MCRO_27-CR-21-13150_Order-Evaluation for Competency to Proceed (Rule 20.01)_2022-11-30_20251126183927.pdf","MCRO_27-CR-21-13150_Order-Evaluation for Competency to Proceed (Rule 20.01)_2022-11-30_20251126183927.pdf")</f>
        <v>MCRO_27-CR-21-13150_Order-Evaluation for Competency to Proceed (Rule 20.01)_2022-11-30_20251126183927.pdf</v>
      </c>
      <c r="H1557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1557" s="1" t="s">
        <v>3413</v>
      </c>
      <c r="J1557" s="2" t="s">
        <v>3446</v>
      </c>
      <c r="K1557" s="2" t="s">
        <v>3446</v>
      </c>
      <c r="L1557" s="2" t="s">
        <v>3415</v>
      </c>
      <c r="M1557" s="2" t="n">
        <v>55072</v>
      </c>
      <c r="N1557" s="2" t="s">
        <v>3447</v>
      </c>
    </row>
    <row r="1558" customFormat="false" ht="18.7" hidden="false" customHeight="true" outlineLevel="0" collapsed="false">
      <c r="A1558" s="1" t="n">
        <v>1557</v>
      </c>
      <c r="B1558" s="7" t="str">
        <f aca="false">HYPERLINK("https://mncourtfraud.com/file/27-CR-21-13150.pdf","27-CR-21-13150")</f>
        <v>27-CR-21-13150</v>
      </c>
      <c r="C1558" s="1" t="n">
        <v>1</v>
      </c>
      <c r="D1558" s="2" t="s">
        <v>12</v>
      </c>
      <c r="E1558" s="8" t="n">
        <v>44895</v>
      </c>
      <c r="F1558" s="2" t="s">
        <v>15</v>
      </c>
      <c r="G1558" s="7" t="str">
        <f aca="false">HYPERLINK("https://mncourtfraud.com/file/MCRO_27-CR-21-13150_Order-Evaluation for Competency to Proceed (Rule 20.01)_2022-11-30_20251126183927.pdf","MCRO_27-CR-21-13150_Order-Evaluation for Competency to Proceed (Rule 20.01)_2022-11-30_20251126183927.pdf")</f>
        <v>MCRO_27-CR-21-13150_Order-Evaluation for Competency to Proceed (Rule 20.01)_2022-11-30_20251126183927.pdf</v>
      </c>
      <c r="H1558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1558" s="1" t="s">
        <v>3413</v>
      </c>
      <c r="J1558" s="2" t="s">
        <v>3424</v>
      </c>
      <c r="K1558" s="2" t="s">
        <v>3424</v>
      </c>
      <c r="L1558" s="2" t="s">
        <v>3415</v>
      </c>
      <c r="M1558" s="2" t="n">
        <v>14252</v>
      </c>
    </row>
    <row r="1559" customFormat="false" ht="18.7" hidden="false" customHeight="true" outlineLevel="0" collapsed="false">
      <c r="A1559" s="1" t="n">
        <v>1558</v>
      </c>
      <c r="B1559" s="7" t="str">
        <f aca="false">HYPERLINK("https://mncourtfraud.com/file/27-CR-21-13150.pdf","27-CR-21-13150")</f>
        <v>27-CR-21-13150</v>
      </c>
      <c r="C1559" s="1" t="n">
        <v>1</v>
      </c>
      <c r="D1559" s="2" t="s">
        <v>12</v>
      </c>
      <c r="E1559" s="8" t="n">
        <v>44895</v>
      </c>
      <c r="F1559" s="2" t="s">
        <v>15</v>
      </c>
      <c r="G1559" s="7" t="str">
        <f aca="false">HYPERLINK("https://mncourtfraud.com/file/MCRO_27-CR-21-13150_Order-Evaluation for Competency to Proceed (Rule 20.01)_2022-11-30_20251126183927.pdf","MCRO_27-CR-21-13150_Order-Evaluation for Competency to Proceed (Rule 20.01)_2022-11-30_20251126183927.pdf")</f>
        <v>MCRO_27-CR-21-13150_Order-Evaluation for Competency to Proceed (Rule 20.01)_2022-11-30_20251126183927.pdf</v>
      </c>
      <c r="H1559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559" s="1" t="s">
        <v>3406</v>
      </c>
      <c r="K1559" s="2" t="s">
        <v>3420</v>
      </c>
      <c r="L1559" s="2" t="s">
        <v>3408</v>
      </c>
      <c r="M1559" s="2" t="n">
        <v>7306</v>
      </c>
      <c r="O1559" s="2" t="s">
        <v>3409</v>
      </c>
      <c r="P1559" s="2" t="s">
        <v>3410</v>
      </c>
      <c r="S1559" s="2" t="n">
        <v>319</v>
      </c>
      <c r="T1559" s="2" t="n">
        <v>105</v>
      </c>
    </row>
    <row r="1560" customFormat="false" ht="18.7" hidden="false" customHeight="true" outlineLevel="0" collapsed="false">
      <c r="A1560" s="1" t="n">
        <v>1559</v>
      </c>
      <c r="B1560" s="7" t="str">
        <f aca="false">HYPERLINK("https://mncourtfraud.com/file/27-CR-21-13150.pdf","27-CR-21-13150")</f>
        <v>27-CR-21-13150</v>
      </c>
      <c r="C1560" s="1" t="n">
        <v>1</v>
      </c>
      <c r="D1560" s="2" t="s">
        <v>12</v>
      </c>
      <c r="E1560" s="8" t="n">
        <v>44895</v>
      </c>
      <c r="F1560" s="2" t="s">
        <v>15</v>
      </c>
      <c r="G1560" s="7" t="str">
        <f aca="false">HYPERLINK("https://mncourtfraud.com/file/MCRO_27-CR-21-13150_Order-Evaluation for Competency to Proceed (Rule 20.01)_2022-11-30_20251126183927.pdf","MCRO_27-CR-21-13150_Order-Evaluation for Competency to Proceed (Rule 20.01)_2022-11-30_20251126183927.pdf")</f>
        <v>MCRO_27-CR-21-13150_Order-Evaluation for Competency to Proceed (Rule 20.01)_2022-11-30_20251126183927.pdf</v>
      </c>
      <c r="H1560" s="7" t="str">
        <f aca="false">HYPERLINK("https://mncourtfraud.com/file/677e52a3b8403ce87e338b0a2e31e6f8e5ddf03fb0ca7043a341135cf0255eaa.ttf","677e52a3b8403ce87e338b0a2e31e6f8e5ddf03fb0ca7043a341135cf0255eaa")</f>
        <v>677e52a3b8403ce87e338b0a2e31e6f8e5ddf03fb0ca7043a341135cf0255eaa</v>
      </c>
      <c r="I1560" s="1" t="s">
        <v>3413</v>
      </c>
      <c r="J1560" s="2" t="s">
        <v>3422</v>
      </c>
      <c r="K1560" s="2" t="s">
        <v>3422</v>
      </c>
      <c r="L1560" s="2" t="s">
        <v>3415</v>
      </c>
      <c r="M1560" s="2" t="n">
        <v>149960</v>
      </c>
    </row>
    <row r="1561" customFormat="false" ht="18.7" hidden="false" customHeight="true" outlineLevel="0" collapsed="false">
      <c r="A1561" s="1" t="n">
        <v>1560</v>
      </c>
      <c r="B1561" s="7" t="str">
        <f aca="false">HYPERLINK("https://mncourtfraud.com/file/27-CR-21-13150.pdf","27-CR-21-13150")</f>
        <v>27-CR-21-13150</v>
      </c>
      <c r="C1561" s="1" t="n">
        <v>1</v>
      </c>
      <c r="D1561" s="2" t="s">
        <v>12</v>
      </c>
      <c r="E1561" s="8" t="n">
        <v>44895</v>
      </c>
      <c r="F1561" s="2" t="s">
        <v>15</v>
      </c>
      <c r="G1561" s="7" t="str">
        <f aca="false">HYPERLINK("https://mncourtfraud.com/file/MCRO_27-CR-21-13150_Order-Evaluation for Competency to Proceed (Rule 20.01)_2022-11-30_20251126183927.pdf","MCRO_27-CR-21-13150_Order-Evaluation for Competency to Proceed (Rule 20.01)_2022-11-30_20251126183927.pdf")</f>
        <v>MCRO_27-CR-21-13150_Order-Evaluation for Competency to Proceed (Rule 20.01)_2022-11-30_20251126183927.pdf</v>
      </c>
      <c r="H1561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1561" s="1" t="s">
        <v>3413</v>
      </c>
      <c r="J1561" s="2" t="s">
        <v>3448</v>
      </c>
      <c r="K1561" s="2" t="s">
        <v>3448</v>
      </c>
      <c r="L1561" s="2" t="s">
        <v>3415</v>
      </c>
      <c r="M1561" s="2" t="n">
        <v>916684</v>
      </c>
    </row>
    <row r="1562" customFormat="false" ht="18.7" hidden="false" customHeight="true" outlineLevel="0" collapsed="false">
      <c r="A1562" s="1" t="n">
        <v>1561</v>
      </c>
      <c r="B1562" s="7" t="str">
        <f aca="false">HYPERLINK("https://mncourtfraud.com/file/27-CR-21-13150.pdf","27-CR-21-13150")</f>
        <v>27-CR-21-13150</v>
      </c>
      <c r="C1562" s="1" t="n">
        <v>1</v>
      </c>
      <c r="D1562" s="2" t="s">
        <v>12</v>
      </c>
      <c r="E1562" s="8" t="n">
        <v>44895</v>
      </c>
      <c r="F1562" s="2" t="s">
        <v>15</v>
      </c>
      <c r="G1562" s="7" t="str">
        <f aca="false">HYPERLINK("https://mncourtfraud.com/file/MCRO_27-CR-21-13150_Order-Evaluation for Competency to Proceed (Rule 20.01)_2022-11-30_20251126183927.pdf","MCRO_27-CR-21-13150_Order-Evaluation for Competency to Proceed (Rule 20.01)_2022-11-30_20251126183927.pdf")</f>
        <v>MCRO_27-CR-21-13150_Order-Evaluation for Competency to Proceed (Rule 20.01)_2022-11-30_20251126183927.pdf</v>
      </c>
      <c r="H1562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562" s="1" t="s">
        <v>3406</v>
      </c>
      <c r="K1562" s="2" t="s">
        <v>3425</v>
      </c>
      <c r="L1562" s="2" t="s">
        <v>3408</v>
      </c>
      <c r="M1562" s="2" t="n">
        <v>21225</v>
      </c>
      <c r="O1562" s="2" t="s">
        <v>3409</v>
      </c>
      <c r="P1562" s="2" t="s">
        <v>3410</v>
      </c>
      <c r="S1562" s="2" t="n">
        <v>319</v>
      </c>
      <c r="T1562" s="2" t="n">
        <v>105</v>
      </c>
    </row>
    <row r="1563" customFormat="false" ht="18.7" hidden="false" customHeight="true" outlineLevel="0" collapsed="false">
      <c r="A1563" s="1" t="n">
        <v>1562</v>
      </c>
      <c r="B1563" s="7" t="str">
        <f aca="false">HYPERLINK("https://mncourtfraud.com/file/27-CR-21-13150.pdf","27-CR-21-13150")</f>
        <v>27-CR-21-13150</v>
      </c>
      <c r="C1563" s="1" t="n">
        <v>1</v>
      </c>
      <c r="D1563" s="2" t="s">
        <v>12</v>
      </c>
      <c r="E1563" s="8" t="n">
        <v>44895</v>
      </c>
      <c r="F1563" s="2" t="s">
        <v>15</v>
      </c>
      <c r="G1563" s="7" t="str">
        <f aca="false">HYPERLINK("https://mncourtfraud.com/file/MCRO_27-CR-21-13150_Order-Evaluation for Competency to Proceed (Rule 20.01)_2022-11-30_20251126183927.pdf","MCRO_27-CR-21-13150_Order-Evaluation for Competency to Proceed (Rule 20.01)_2022-11-30_20251126183927.pdf")</f>
        <v>MCRO_27-CR-21-13150_Order-Evaluation for Competency to Proceed (Rule 20.01)_2022-11-30_20251126183927.pdf</v>
      </c>
      <c r="H1563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1563" s="1" t="s">
        <v>3413</v>
      </c>
      <c r="J1563" s="2" t="s">
        <v>3449</v>
      </c>
      <c r="K1563" s="2" t="s">
        <v>3449</v>
      </c>
      <c r="L1563" s="2" t="s">
        <v>3415</v>
      </c>
      <c r="M1563" s="2" t="n">
        <v>124664</v>
      </c>
    </row>
    <row r="1564" customFormat="false" ht="18.7" hidden="false" customHeight="true" outlineLevel="0" collapsed="false">
      <c r="A1564" s="1" t="n">
        <v>1563</v>
      </c>
      <c r="B1564" s="7" t="str">
        <f aca="false">HYPERLINK("https://mncourtfraud.com/file/27-CR-21-13150.pdf","27-CR-21-13150")</f>
        <v>27-CR-21-13150</v>
      </c>
      <c r="C1564" s="1" t="n">
        <v>1</v>
      </c>
      <c r="D1564" s="2" t="s">
        <v>12</v>
      </c>
      <c r="E1564" s="8" t="n">
        <v>44895</v>
      </c>
      <c r="F1564" s="2" t="s">
        <v>15</v>
      </c>
      <c r="G1564" s="7" t="str">
        <f aca="false">HYPERLINK("https://mncourtfraud.com/file/MCRO_27-CR-21-13150_Order-Evaluation for Competency to Proceed (Rule 20.01)_2022-11-30_20251126183927.pdf","MCRO_27-CR-21-13150_Order-Evaluation for Competency to Proceed (Rule 20.01)_2022-11-30_20251126183927.pdf")</f>
        <v>MCRO_27-CR-21-13150_Order-Evaluation for Competency to Proceed (Rule 20.01)_2022-11-30_20251126183927.pdf</v>
      </c>
      <c r="H1564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1564" s="1" t="s">
        <v>3413</v>
      </c>
      <c r="J1564" s="2" t="s">
        <v>3449</v>
      </c>
      <c r="K1564" s="2" t="s">
        <v>3449</v>
      </c>
      <c r="L1564" s="2" t="s">
        <v>3415</v>
      </c>
      <c r="M1564" s="2" t="n">
        <v>124664</v>
      </c>
    </row>
    <row r="1565" customFormat="false" ht="18.7" hidden="false" customHeight="true" outlineLevel="0" collapsed="false">
      <c r="A1565" s="1" t="n">
        <v>1564</v>
      </c>
      <c r="B1565" s="7" t="str">
        <f aca="false">HYPERLINK("https://mncourtfraud.com/file/27-CR-21-13150.pdf","27-CR-21-13150")</f>
        <v>27-CR-21-13150</v>
      </c>
      <c r="C1565" s="1" t="n">
        <v>1</v>
      </c>
      <c r="D1565" s="2" t="s">
        <v>12</v>
      </c>
      <c r="E1565" s="8" t="n">
        <v>45048</v>
      </c>
      <c r="F1565" s="2" t="s">
        <v>80</v>
      </c>
      <c r="G1565" s="7" t="str">
        <f aca="false">HYPERLINK("https://mncourtfraud.com/file/MCRO_27-CR-21-13150_Finding of Incompetency and Order_2023-05-02_20251126183749.pdf","MCRO_27-CR-21-13150_Finding of Incompetency and Order_2023-05-02_20251126183749.pdf")</f>
        <v>MCRO_27-CR-21-13150_Finding of Incompetency and Order_2023-05-02_20251126183749.pdf</v>
      </c>
      <c r="H1565" s="7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1565" s="1" t="s">
        <v>3406</v>
      </c>
      <c r="L1565" s="2" t="s">
        <v>3412</v>
      </c>
      <c r="M1565" s="2" t="n">
        <v>3506</v>
      </c>
      <c r="S1565" s="2" t="n">
        <v>1410</v>
      </c>
      <c r="T1565" s="2" t="n">
        <v>150</v>
      </c>
    </row>
    <row r="1566" customFormat="false" ht="18.7" hidden="false" customHeight="true" outlineLevel="0" collapsed="false">
      <c r="A1566" s="1" t="n">
        <v>1565</v>
      </c>
      <c r="B1566" s="7" t="str">
        <f aca="false">HYPERLINK("https://mncourtfraud.com/file/27-CR-21-13150.pdf","27-CR-21-13150")</f>
        <v>27-CR-21-13150</v>
      </c>
      <c r="C1566" s="1" t="n">
        <v>1</v>
      </c>
      <c r="D1566" s="2" t="s">
        <v>12</v>
      </c>
      <c r="E1566" s="8" t="n">
        <v>45048</v>
      </c>
      <c r="F1566" s="2" t="s">
        <v>80</v>
      </c>
      <c r="G1566" s="7" t="str">
        <f aca="false">HYPERLINK("https://mncourtfraud.com/file/MCRO_27-CR-21-13150_Finding of Incompetency and Order_2023-05-02_20251126183749.pdf","MCRO_27-CR-21-13150_Finding of Incompetency and Order_2023-05-02_20251126183749.pdf")</f>
        <v>MCRO_27-CR-21-13150_Finding of Incompetency and Order_2023-05-02_20251126183749.pdf</v>
      </c>
      <c r="H1566" s="7" t="str">
        <f aca="false">HYPERLINK("https://mncourtfraud.com/file/18befca089509ee2fbaddf9c5b79bf5988523b22d2369743ed9a591b9fc3bdb6.ttf","18befca089509ee2fbaddf9c5b79bf5988523b22d2369743ed9a591b9fc3bdb6")</f>
        <v>18befca089509ee2fbaddf9c5b79bf5988523b22d2369743ed9a591b9fc3bdb6</v>
      </c>
      <c r="I1566" s="1" t="s">
        <v>3413</v>
      </c>
      <c r="J1566" s="2" t="s">
        <v>3421</v>
      </c>
      <c r="K1566" s="2" t="s">
        <v>3450</v>
      </c>
      <c r="L1566" s="2" t="s">
        <v>3415</v>
      </c>
      <c r="M1566" s="2" t="n">
        <v>115928</v>
      </c>
    </row>
    <row r="1567" customFormat="false" ht="18.7" hidden="false" customHeight="true" outlineLevel="0" collapsed="false">
      <c r="A1567" s="1" t="n">
        <v>1566</v>
      </c>
      <c r="B1567" s="7" t="str">
        <f aca="false">HYPERLINK("https://mncourtfraud.com/file/27-CR-21-13150.pdf","27-CR-21-13150")</f>
        <v>27-CR-21-13150</v>
      </c>
      <c r="C1567" s="1" t="n">
        <v>1</v>
      </c>
      <c r="D1567" s="2" t="s">
        <v>12</v>
      </c>
      <c r="E1567" s="8" t="n">
        <v>45048</v>
      </c>
      <c r="F1567" s="2" t="s">
        <v>80</v>
      </c>
      <c r="G1567" s="7" t="str">
        <f aca="false">HYPERLINK("https://mncourtfraud.com/file/MCRO_27-CR-21-13150_Finding of Incompetency and Order_2023-05-02_20251126183749.pdf","MCRO_27-CR-21-13150_Finding of Incompetency and Order_2023-05-02_20251126183749.pdf")</f>
        <v>MCRO_27-CR-21-13150_Finding of Incompetency and Order_2023-05-02_20251126183749.pdf</v>
      </c>
      <c r="H1567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1567" s="1" t="s">
        <v>3413</v>
      </c>
      <c r="J1567" s="2" t="s">
        <v>3446</v>
      </c>
      <c r="K1567" s="2" t="s">
        <v>3446</v>
      </c>
      <c r="L1567" s="2" t="s">
        <v>3415</v>
      </c>
      <c r="M1567" s="2" t="n">
        <v>55072</v>
      </c>
      <c r="N1567" s="2" t="s">
        <v>3447</v>
      </c>
    </row>
    <row r="1568" customFormat="false" ht="18.7" hidden="false" customHeight="true" outlineLevel="0" collapsed="false">
      <c r="A1568" s="1" t="n">
        <v>1567</v>
      </c>
      <c r="B1568" s="7" t="str">
        <f aca="false">HYPERLINK("https://mncourtfraud.com/file/27-CR-21-13150.pdf","27-CR-21-13150")</f>
        <v>27-CR-21-13150</v>
      </c>
      <c r="C1568" s="1" t="n">
        <v>1</v>
      </c>
      <c r="D1568" s="2" t="s">
        <v>12</v>
      </c>
      <c r="E1568" s="8" t="n">
        <v>45048</v>
      </c>
      <c r="F1568" s="2" t="s">
        <v>80</v>
      </c>
      <c r="G1568" s="7" t="str">
        <f aca="false">HYPERLINK("https://mncourtfraud.com/file/MCRO_27-CR-21-13150_Finding of Incompetency and Order_2023-05-02_20251126183749.pdf","MCRO_27-CR-21-13150_Finding of Incompetency and Order_2023-05-02_20251126183749.pdf")</f>
        <v>MCRO_27-CR-21-13150_Finding of Incompetency and Order_2023-05-02_20251126183749.pdf</v>
      </c>
      <c r="H1568" s="7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1568" s="1" t="s">
        <v>3406</v>
      </c>
      <c r="K1568" s="2" t="s">
        <v>3451</v>
      </c>
      <c r="L1568" s="2" t="s">
        <v>3408</v>
      </c>
      <c r="M1568" s="2" t="n">
        <v>5295</v>
      </c>
      <c r="O1568" s="2" t="s">
        <v>3452</v>
      </c>
      <c r="P1568" s="2" t="s">
        <v>3410</v>
      </c>
      <c r="S1568" s="2" t="n">
        <v>833</v>
      </c>
      <c r="T1568" s="2" t="n">
        <v>186</v>
      </c>
    </row>
    <row r="1569" customFormat="false" ht="18.7" hidden="false" customHeight="true" outlineLevel="0" collapsed="false">
      <c r="A1569" s="1" t="n">
        <v>1568</v>
      </c>
      <c r="B1569" s="7" t="str">
        <f aca="false">HYPERLINK("https://mncourtfraud.com/file/27-CR-21-13150.pdf","27-CR-21-13150")</f>
        <v>27-CR-21-13150</v>
      </c>
      <c r="C1569" s="1" t="n">
        <v>1</v>
      </c>
      <c r="D1569" s="2" t="s">
        <v>12</v>
      </c>
      <c r="E1569" s="8" t="n">
        <v>45048</v>
      </c>
      <c r="F1569" s="2" t="s">
        <v>80</v>
      </c>
      <c r="G1569" s="7" t="str">
        <f aca="false">HYPERLINK("https://mncourtfraud.com/file/MCRO_27-CR-21-13150_Finding of Incompetency and Order_2023-05-02_20251126183749.pdf","MCRO_27-CR-21-13150_Finding of Incompetency and Order_2023-05-02_20251126183749.pdf")</f>
        <v>MCRO_27-CR-21-13150_Finding of Incompetency and Order_2023-05-02_20251126183749.pdf</v>
      </c>
      <c r="H1569" s="7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1569" s="1" t="s">
        <v>3406</v>
      </c>
      <c r="K1569" s="2" t="s">
        <v>3453</v>
      </c>
      <c r="L1569" s="2" t="s">
        <v>3408</v>
      </c>
      <c r="M1569" s="2" t="n">
        <v>3442</v>
      </c>
      <c r="O1569" s="2" t="s">
        <v>3454</v>
      </c>
      <c r="P1569" s="2" t="s">
        <v>3410</v>
      </c>
      <c r="S1569" s="2" t="n">
        <v>857</v>
      </c>
      <c r="T1569" s="2" t="n">
        <v>184</v>
      </c>
    </row>
    <row r="1570" customFormat="false" ht="18.7" hidden="false" customHeight="true" outlineLevel="0" collapsed="false">
      <c r="A1570" s="1" t="n">
        <v>1569</v>
      </c>
      <c r="B1570" s="7" t="str">
        <f aca="false">HYPERLINK("https://mncourtfraud.com/file/27-CR-21-13150.pdf","27-CR-21-13150")</f>
        <v>27-CR-21-13150</v>
      </c>
      <c r="C1570" s="1" t="n">
        <v>1</v>
      </c>
      <c r="D1570" s="2" t="s">
        <v>12</v>
      </c>
      <c r="E1570" s="8" t="n">
        <v>45048</v>
      </c>
      <c r="F1570" s="2" t="s">
        <v>80</v>
      </c>
      <c r="G1570" s="7" t="str">
        <f aca="false">HYPERLINK("https://mncourtfraud.com/file/MCRO_27-CR-21-13150_Finding of Incompetency and Order_2023-05-02_20251126183749.pdf","MCRO_27-CR-21-13150_Finding of Incompetency and Order_2023-05-02_20251126183749.pdf")</f>
        <v>MCRO_27-CR-21-13150_Finding of Incompetency and Order_2023-05-02_20251126183749.pdf</v>
      </c>
      <c r="H1570" s="7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1570" s="1" t="s">
        <v>3406</v>
      </c>
      <c r="L1570" s="2" t="s">
        <v>3412</v>
      </c>
      <c r="M1570" s="2" t="n">
        <v>3824</v>
      </c>
      <c r="S1570" s="2" t="n">
        <v>1850</v>
      </c>
      <c r="T1570" s="2" t="n">
        <v>160</v>
      </c>
    </row>
    <row r="1571" customFormat="false" ht="18.7" hidden="false" customHeight="true" outlineLevel="0" collapsed="false">
      <c r="A1571" s="1" t="n">
        <v>1570</v>
      </c>
      <c r="B1571" s="7" t="str">
        <f aca="false">HYPERLINK("https://mncourtfraud.com/file/27-CR-21-13150.pdf","27-CR-21-13150")</f>
        <v>27-CR-21-13150</v>
      </c>
      <c r="C1571" s="1" t="n">
        <v>1</v>
      </c>
      <c r="D1571" s="2" t="s">
        <v>12</v>
      </c>
      <c r="E1571" s="8" t="n">
        <v>45048</v>
      </c>
      <c r="F1571" s="2" t="s">
        <v>80</v>
      </c>
      <c r="G1571" s="7" t="str">
        <f aca="false">HYPERLINK("https://mncourtfraud.com/file/MCRO_27-CR-21-13150_Finding of Incompetency and Order_2023-05-02_20251126183749.pdf","MCRO_27-CR-21-13150_Finding of Incompetency and Order_2023-05-02_20251126183749.pdf")</f>
        <v>MCRO_27-CR-21-13150_Finding of Incompetency and Order_2023-05-02_20251126183749.pdf</v>
      </c>
      <c r="H1571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1571" s="1" t="s">
        <v>3413</v>
      </c>
      <c r="J1571" s="2" t="s">
        <v>3448</v>
      </c>
      <c r="K1571" s="2" t="s">
        <v>3448</v>
      </c>
      <c r="L1571" s="2" t="s">
        <v>3415</v>
      </c>
      <c r="M1571" s="2" t="n">
        <v>916684</v>
      </c>
    </row>
    <row r="1572" customFormat="false" ht="18.7" hidden="false" customHeight="true" outlineLevel="0" collapsed="false">
      <c r="A1572" s="1" t="n">
        <v>1571</v>
      </c>
      <c r="B1572" s="7" t="str">
        <f aca="false">HYPERLINK("https://mncourtfraud.com/file/27-CR-21-13150.pdf","27-CR-21-13150")</f>
        <v>27-CR-21-13150</v>
      </c>
      <c r="C1572" s="1" t="n">
        <v>1</v>
      </c>
      <c r="D1572" s="2" t="s">
        <v>12</v>
      </c>
      <c r="E1572" s="8" t="n">
        <v>45093</v>
      </c>
      <c r="F1572" s="2" t="s">
        <v>82</v>
      </c>
      <c r="G1572" s="7" t="str">
        <f aca="false">HYPERLINK("https://mncourtfraud.com/file/MCRO_27-CR-21-13150_Notice of Case Reassignment_2023-06-16_20251126183821.pdf","MCRO_27-CR-21-13150_Notice of Case Reassignment_2023-06-16_20251126183821.pdf")</f>
        <v>MCRO_27-CR-21-13150_Notice of Case Reassignment_2023-06-16_20251126183821.pdf</v>
      </c>
      <c r="H1572" s="7" t="str">
        <f aca="false">HYPERLINK("https://mncourtfraud.com/file/1fd1136a5ae69c0e5068fedf111533c283fb06da71a1aebe96b41cad9a15bb33.ttf","1fd1136a5ae69c0e5068fedf111533c283fb06da71a1aebe96b41cad9a15bb33")</f>
        <v>1fd1136a5ae69c0e5068fedf111533c283fb06da71a1aebe96b41cad9a15bb33</v>
      </c>
      <c r="I1572" s="1" t="s">
        <v>3413</v>
      </c>
      <c r="J1572" s="2" t="s">
        <v>3455</v>
      </c>
      <c r="K1572" s="2" t="s">
        <v>3455</v>
      </c>
      <c r="L1572" s="2" t="s">
        <v>3415</v>
      </c>
      <c r="M1572" s="2" t="n">
        <v>96348</v>
      </c>
      <c r="N1572" s="2" t="s">
        <v>3456</v>
      </c>
    </row>
    <row r="1573" customFormat="false" ht="18.7" hidden="false" customHeight="true" outlineLevel="0" collapsed="false">
      <c r="A1573" s="1" t="n">
        <v>1572</v>
      </c>
      <c r="B1573" s="7" t="str">
        <f aca="false">HYPERLINK("https://mncourtfraud.com/file/27-CR-21-13150.pdf","27-CR-21-13150")</f>
        <v>27-CR-21-13150</v>
      </c>
      <c r="C1573" s="1" t="n">
        <v>1</v>
      </c>
      <c r="D1573" s="2" t="s">
        <v>12</v>
      </c>
      <c r="E1573" s="8" t="n">
        <v>45093</v>
      </c>
      <c r="F1573" s="2" t="s">
        <v>82</v>
      </c>
      <c r="G1573" s="7" t="str">
        <f aca="false">HYPERLINK("https://mncourtfraud.com/file/MCRO_27-CR-21-13150_Notice of Case Reassignment_2023-06-16_20251126183821.pdf","MCRO_27-CR-21-13150_Notice of Case Reassignment_2023-06-16_20251126183821.pdf")</f>
        <v>MCRO_27-CR-21-13150_Notice of Case Reassignment_2023-06-16_20251126183821.pdf</v>
      </c>
      <c r="H1573" s="7" t="str">
        <f aca="false">HYPERLINK("https://mncourtfraud.com/file/4b0b043cb476134a2e47a5f4c233d3d0f7a52a3b063b8831356383f89fcd1118.ttf","4b0b043cb476134a2e47a5f4c233d3d0f7a52a3b063b8831356383f89fcd1118")</f>
        <v>4b0b043cb476134a2e47a5f4c233d3d0f7a52a3b063b8831356383f89fcd1118</v>
      </c>
      <c r="I1573" s="1" t="s">
        <v>3413</v>
      </c>
      <c r="J1573" s="2" t="s">
        <v>3457</v>
      </c>
      <c r="K1573" s="2" t="s">
        <v>3457</v>
      </c>
      <c r="L1573" s="2" t="s">
        <v>3415</v>
      </c>
      <c r="M1573" s="2" t="n">
        <v>79764</v>
      </c>
      <c r="N1573" s="2" t="s">
        <v>3458</v>
      </c>
    </row>
    <row r="1574" customFormat="false" ht="18.7" hidden="false" customHeight="true" outlineLevel="0" collapsed="false">
      <c r="A1574" s="1" t="n">
        <v>1573</v>
      </c>
      <c r="B1574" s="7" t="str">
        <f aca="false">HYPERLINK("https://mncourtfraud.com/file/27-CR-21-13150.pdf","27-CR-21-13150")</f>
        <v>27-CR-21-13150</v>
      </c>
      <c r="C1574" s="1" t="n">
        <v>1</v>
      </c>
      <c r="D1574" s="2" t="s">
        <v>12</v>
      </c>
      <c r="E1574" s="8" t="n">
        <v>45160</v>
      </c>
      <c r="F1574" s="2" t="s">
        <v>15</v>
      </c>
      <c r="G1574" s="7" t="str">
        <f aca="false">HYPERLINK("https://mncourtfraud.com/file/MCRO_27-CR-21-13150_Order-Evaluation for Competency to Proceed (Rule 20.01)_2023-08-22_20251126183934.pdf","MCRO_27-CR-21-13150_Order-Evaluation for Competency to Proceed (Rule 20.01)_2023-08-22_20251126183934.pdf")</f>
        <v>MCRO_27-CR-21-13150_Order-Evaluation for Competency to Proceed (Rule 20.01)_2023-08-22_20251126183934.pdf</v>
      </c>
      <c r="H1574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1574" s="1" t="s">
        <v>3413</v>
      </c>
      <c r="J1574" s="2" t="s">
        <v>3449</v>
      </c>
      <c r="K1574" s="2" t="s">
        <v>3449</v>
      </c>
      <c r="L1574" s="2" t="s">
        <v>3415</v>
      </c>
      <c r="M1574" s="2" t="n">
        <v>125504</v>
      </c>
    </row>
    <row r="1575" customFormat="false" ht="18.7" hidden="false" customHeight="true" outlineLevel="0" collapsed="false">
      <c r="A1575" s="1" t="n">
        <v>1574</v>
      </c>
      <c r="B1575" s="7" t="str">
        <f aca="false">HYPERLINK("https://mncourtfraud.com/file/27-CR-21-13150.pdf","27-CR-21-13150")</f>
        <v>27-CR-21-13150</v>
      </c>
      <c r="C1575" s="1" t="n">
        <v>1</v>
      </c>
      <c r="D1575" s="2" t="s">
        <v>12</v>
      </c>
      <c r="E1575" s="8" t="n">
        <v>45160</v>
      </c>
      <c r="F1575" s="2" t="s">
        <v>15</v>
      </c>
      <c r="G1575" s="7" t="str">
        <f aca="false">HYPERLINK("https://mncourtfraud.com/file/MCRO_27-CR-21-13150_Order-Evaluation for Competency to Proceed (Rule 20.01)_2023-08-22_20251126183934.pdf","MCRO_27-CR-21-13150_Order-Evaluation for Competency to Proceed (Rule 20.01)_2023-08-22_20251126183934.pdf")</f>
        <v>MCRO_27-CR-21-13150_Order-Evaluation for Competency to Proceed (Rule 20.01)_2023-08-22_20251126183934.pdf</v>
      </c>
      <c r="H1575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1575" s="1" t="s">
        <v>3413</v>
      </c>
      <c r="J1575" s="2" t="s">
        <v>3449</v>
      </c>
      <c r="K1575" s="2" t="s">
        <v>3449</v>
      </c>
      <c r="L1575" s="2" t="s">
        <v>3415</v>
      </c>
      <c r="M1575" s="2" t="n">
        <v>125504</v>
      </c>
    </row>
    <row r="1576" customFormat="false" ht="18.7" hidden="false" customHeight="true" outlineLevel="0" collapsed="false">
      <c r="A1576" s="1" t="n">
        <v>1575</v>
      </c>
      <c r="B1576" s="7" t="str">
        <f aca="false">HYPERLINK("https://mncourtfraud.com/file/27-CR-21-13150.pdf","27-CR-21-13150")</f>
        <v>27-CR-21-13150</v>
      </c>
      <c r="C1576" s="1" t="n">
        <v>1</v>
      </c>
      <c r="D1576" s="2" t="s">
        <v>12</v>
      </c>
      <c r="E1576" s="8" t="n">
        <v>45160</v>
      </c>
      <c r="F1576" s="2" t="s">
        <v>15</v>
      </c>
      <c r="G1576" s="7" t="str">
        <f aca="false">HYPERLINK("https://mncourtfraud.com/file/MCRO_27-CR-21-13150_Order-Evaluation for Competency to Proceed (Rule 20.01)_2023-08-22_20251126183934.pdf","MCRO_27-CR-21-13150_Order-Evaluation for Competency to Proceed (Rule 20.01)_2023-08-22_20251126183934.pdf")</f>
        <v>MCRO_27-CR-21-13150_Order-Evaluation for Competency to Proceed (Rule 20.01)_2023-08-22_20251126183934.pdf</v>
      </c>
      <c r="H1576" s="7" t="str">
        <f aca="false">HYPERLINK("https://mncourtfraud.com/file/0174a154b1dd2c8824c0108a525fa6ced84bf8b7d2fc9696a847700a4f83bb3b.ttf","0174a154b1dd2c8824c0108a525fa6ced84bf8b7d2fc9696a847700a4f83bb3b")</f>
        <v>0174a154b1dd2c8824c0108a525fa6ced84bf8b7d2fc9696a847700a4f83bb3b</v>
      </c>
      <c r="I1576" s="1" t="s">
        <v>3413</v>
      </c>
      <c r="J1576" s="2" t="s">
        <v>3422</v>
      </c>
      <c r="K1576" s="2" t="s">
        <v>3422</v>
      </c>
      <c r="L1576" s="2" t="s">
        <v>3415</v>
      </c>
      <c r="M1576" s="2" t="n">
        <v>101216</v>
      </c>
    </row>
    <row r="1577" customFormat="false" ht="18.7" hidden="false" customHeight="true" outlineLevel="0" collapsed="false">
      <c r="A1577" s="1" t="n">
        <v>1576</v>
      </c>
      <c r="B1577" s="7" t="str">
        <f aca="false">HYPERLINK("https://mncourtfraud.com/file/27-CR-21-13150.pdf","27-CR-21-13150")</f>
        <v>27-CR-21-13150</v>
      </c>
      <c r="C1577" s="1" t="n">
        <v>1</v>
      </c>
      <c r="D1577" s="2" t="s">
        <v>12</v>
      </c>
      <c r="E1577" s="8" t="n">
        <v>45160</v>
      </c>
      <c r="F1577" s="2" t="s">
        <v>15</v>
      </c>
      <c r="G1577" s="7" t="str">
        <f aca="false">HYPERLINK("https://mncourtfraud.com/file/MCRO_27-CR-21-13150_Order-Evaluation for Competency to Proceed (Rule 20.01)_2023-08-22_20251126183934.pdf","MCRO_27-CR-21-13150_Order-Evaluation for Competency to Proceed (Rule 20.01)_2023-08-22_20251126183934.pdf")</f>
        <v>MCRO_27-CR-21-13150_Order-Evaluation for Competency to Proceed (Rule 20.01)_2023-08-22_20251126183934.pdf</v>
      </c>
      <c r="H1577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1577" s="1" t="s">
        <v>3413</v>
      </c>
      <c r="J1577" s="2" t="s">
        <v>3423</v>
      </c>
      <c r="K1577" s="2" t="s">
        <v>3423</v>
      </c>
      <c r="L1577" s="2" t="s">
        <v>3415</v>
      </c>
      <c r="M1577" s="2" t="n">
        <v>11088</v>
      </c>
    </row>
    <row r="1578" customFormat="false" ht="18.7" hidden="false" customHeight="true" outlineLevel="0" collapsed="false">
      <c r="A1578" s="1" t="n">
        <v>1577</v>
      </c>
      <c r="B1578" s="7" t="str">
        <f aca="false">HYPERLINK("https://mncourtfraud.com/file/27-CR-21-13150.pdf","27-CR-21-13150")</f>
        <v>27-CR-21-13150</v>
      </c>
      <c r="C1578" s="1" t="n">
        <v>1</v>
      </c>
      <c r="D1578" s="2" t="s">
        <v>12</v>
      </c>
      <c r="E1578" s="8" t="n">
        <v>45160</v>
      </c>
      <c r="F1578" s="2" t="s">
        <v>15</v>
      </c>
      <c r="G1578" s="7" t="str">
        <f aca="false">HYPERLINK("https://mncourtfraud.com/file/MCRO_27-CR-21-13150_Order-Evaluation for Competency to Proceed (Rule 20.01)_2023-08-22_20251126183934.pdf","MCRO_27-CR-21-13150_Order-Evaluation for Competency to Proceed (Rule 20.01)_2023-08-22_20251126183934.pdf")</f>
        <v>MCRO_27-CR-21-13150_Order-Evaluation for Competency to Proceed (Rule 20.01)_2023-08-22_20251126183934.pdf</v>
      </c>
      <c r="H1578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1578" s="1" t="s">
        <v>3413</v>
      </c>
      <c r="J1578" s="2" t="s">
        <v>3446</v>
      </c>
      <c r="K1578" s="2" t="s">
        <v>3446</v>
      </c>
      <c r="L1578" s="2" t="s">
        <v>3415</v>
      </c>
      <c r="M1578" s="2" t="n">
        <v>55072</v>
      </c>
      <c r="N1578" s="2" t="s">
        <v>3447</v>
      </c>
    </row>
    <row r="1579" customFormat="false" ht="18.7" hidden="false" customHeight="true" outlineLevel="0" collapsed="false">
      <c r="A1579" s="1" t="n">
        <v>1578</v>
      </c>
      <c r="B1579" s="7" t="str">
        <f aca="false">HYPERLINK("https://mncourtfraud.com/file/27-CR-21-13150.pdf","27-CR-21-13150")</f>
        <v>27-CR-21-13150</v>
      </c>
      <c r="C1579" s="1" t="n">
        <v>1</v>
      </c>
      <c r="D1579" s="2" t="s">
        <v>12</v>
      </c>
      <c r="E1579" s="8" t="n">
        <v>45160</v>
      </c>
      <c r="F1579" s="2" t="s">
        <v>15</v>
      </c>
      <c r="G1579" s="7" t="str">
        <f aca="false">HYPERLINK("https://mncourtfraud.com/file/MCRO_27-CR-21-13150_Order-Evaluation for Competency to Proceed (Rule 20.01)_2023-08-22_20251126183934.pdf","MCRO_27-CR-21-13150_Order-Evaluation for Competency to Proceed (Rule 20.01)_2023-08-22_20251126183934.pdf")</f>
        <v>MCRO_27-CR-21-13150_Order-Evaluation for Competency to Proceed (Rule 20.01)_2023-08-22_20251126183934.pdf</v>
      </c>
      <c r="H1579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1579" s="1" t="s">
        <v>3413</v>
      </c>
      <c r="J1579" s="2" t="s">
        <v>3424</v>
      </c>
      <c r="K1579" s="2" t="s">
        <v>3424</v>
      </c>
      <c r="L1579" s="2" t="s">
        <v>3415</v>
      </c>
      <c r="M1579" s="2" t="n">
        <v>14252</v>
      </c>
    </row>
    <row r="1580" customFormat="false" ht="18.7" hidden="false" customHeight="true" outlineLevel="0" collapsed="false">
      <c r="A1580" s="1" t="n">
        <v>1579</v>
      </c>
      <c r="B1580" s="7" t="str">
        <f aca="false">HYPERLINK("https://mncourtfraud.com/file/27-CR-21-13150.pdf","27-CR-21-13150")</f>
        <v>27-CR-21-13150</v>
      </c>
      <c r="C1580" s="1" t="n">
        <v>1</v>
      </c>
      <c r="D1580" s="2" t="s">
        <v>12</v>
      </c>
      <c r="E1580" s="8" t="n">
        <v>45160</v>
      </c>
      <c r="F1580" s="2" t="s">
        <v>15</v>
      </c>
      <c r="G1580" s="7" t="str">
        <f aca="false">HYPERLINK("https://mncourtfraud.com/file/MCRO_27-CR-21-13150_Order-Evaluation for Competency to Proceed (Rule 20.01)_2023-08-22_20251126183934.pdf","MCRO_27-CR-21-13150_Order-Evaluation for Competency to Proceed (Rule 20.01)_2023-08-22_20251126183934.pdf")</f>
        <v>MCRO_27-CR-21-13150_Order-Evaluation for Competency to Proceed (Rule 20.01)_2023-08-22_20251126183934.pdf</v>
      </c>
      <c r="H1580" s="7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1580" s="1" t="s">
        <v>3406</v>
      </c>
      <c r="L1580" s="2" t="s">
        <v>3412</v>
      </c>
      <c r="M1580" s="2" t="n">
        <v>5012</v>
      </c>
      <c r="S1580" s="2" t="n">
        <v>2740</v>
      </c>
      <c r="T1580" s="2" t="n">
        <v>180</v>
      </c>
    </row>
    <row r="1581" customFormat="false" ht="18.7" hidden="false" customHeight="true" outlineLevel="0" collapsed="false">
      <c r="A1581" s="1" t="n">
        <v>1580</v>
      </c>
      <c r="B1581" s="7" t="str">
        <f aca="false">HYPERLINK("https://mncourtfraud.com/file/27-CR-21-13150.pdf","27-CR-21-13150")</f>
        <v>27-CR-21-13150</v>
      </c>
      <c r="C1581" s="1" t="n">
        <v>1</v>
      </c>
      <c r="D1581" s="2" t="s">
        <v>12</v>
      </c>
      <c r="E1581" s="8" t="n">
        <v>45160</v>
      </c>
      <c r="F1581" s="2" t="s">
        <v>15</v>
      </c>
      <c r="G1581" s="7" t="str">
        <f aca="false">HYPERLINK("https://mncourtfraud.com/file/MCRO_27-CR-21-13150_Order-Evaluation for Competency to Proceed (Rule 20.01)_2023-08-22_20251126183934.pdf","MCRO_27-CR-21-13150_Order-Evaluation for Competency to Proceed (Rule 20.01)_2023-08-22_20251126183934.pdf")</f>
        <v>MCRO_27-CR-21-13150_Order-Evaluation for Competency to Proceed (Rule 20.01)_2023-08-22_20251126183934.pdf</v>
      </c>
      <c r="H1581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1581" s="1" t="s">
        <v>3413</v>
      </c>
      <c r="J1581" s="2" t="s">
        <v>3448</v>
      </c>
      <c r="K1581" s="2" t="s">
        <v>3448</v>
      </c>
      <c r="L1581" s="2" t="s">
        <v>3415</v>
      </c>
      <c r="M1581" s="2" t="n">
        <v>916684</v>
      </c>
    </row>
    <row r="1582" customFormat="false" ht="18.7" hidden="false" customHeight="true" outlineLevel="0" collapsed="false">
      <c r="A1582" s="1" t="n">
        <v>1581</v>
      </c>
      <c r="B1582" s="7" t="str">
        <f aca="false">HYPERLINK("https://mncourtfraud.com/file/27-CR-21-13150.pdf","27-CR-21-13150")</f>
        <v>27-CR-21-13150</v>
      </c>
      <c r="C1582" s="1" t="n">
        <v>1</v>
      </c>
      <c r="D1582" s="2" t="s">
        <v>12</v>
      </c>
      <c r="E1582" s="8" t="n">
        <v>45160</v>
      </c>
      <c r="F1582" s="2" t="s">
        <v>15</v>
      </c>
      <c r="G1582" s="7" t="str">
        <f aca="false">HYPERLINK("https://mncourtfraud.com/file/MCRO_27-CR-21-13150_Order-Evaluation for Competency to Proceed (Rule 20.01)_2023-08-22_20251126183934.pdf","MCRO_27-CR-21-13150_Order-Evaluation for Competency to Proceed (Rule 20.01)_2023-08-22_20251126183934.pdf")</f>
        <v>MCRO_27-CR-21-13150_Order-Evaluation for Competency to Proceed (Rule 20.01)_2023-08-22_20251126183934.pdf</v>
      </c>
      <c r="H1582" s="7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1582" s="1" t="s">
        <v>3406</v>
      </c>
      <c r="K1582" s="2" t="s">
        <v>3459</v>
      </c>
      <c r="L1582" s="2" t="s">
        <v>3408</v>
      </c>
      <c r="M1582" s="2" t="n">
        <v>5220</v>
      </c>
      <c r="O1582" s="2" t="s">
        <v>3460</v>
      </c>
      <c r="P1582" s="2" t="s">
        <v>3410</v>
      </c>
      <c r="S1582" s="2" t="n">
        <v>881</v>
      </c>
      <c r="T1582" s="2" t="n">
        <v>216</v>
      </c>
    </row>
    <row r="1583" customFormat="false" ht="18.7" hidden="false" customHeight="true" outlineLevel="0" collapsed="false">
      <c r="A1583" s="1" t="n">
        <v>1582</v>
      </c>
      <c r="B1583" s="7" t="str">
        <f aca="false">HYPERLINK("https://mncourtfraud.com/file/27-CR-21-13150.pdf","27-CR-21-13150")</f>
        <v>27-CR-21-13150</v>
      </c>
      <c r="C1583" s="1" t="n">
        <v>1</v>
      </c>
      <c r="D1583" s="2" t="s">
        <v>12</v>
      </c>
      <c r="E1583" s="8" t="n">
        <v>45412</v>
      </c>
      <c r="F1583" s="2" t="s">
        <v>15</v>
      </c>
      <c r="G1583" s="7" t="str">
        <f aca="false">HYPERLINK("https://mncourtfraud.com/file/MCRO_27-CR-21-13150_Order-Evaluation for Competency to Proceed (Rule 20.01)_2024-04-30_20251126183942.pdf","MCRO_27-CR-21-13150_Order-Evaluation for Competency to Proceed (Rule 20.01)_2024-04-30_20251126183942.pdf")</f>
        <v>MCRO_27-CR-21-13150_Order-Evaluation for Competency to Proceed (Rule 20.01)_2024-04-30_20251126183942.pdf</v>
      </c>
      <c r="H1583" s="7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1583" s="1" t="s">
        <v>3406</v>
      </c>
      <c r="L1583" s="2" t="s">
        <v>3412</v>
      </c>
      <c r="M1583" s="2" t="n">
        <v>154549</v>
      </c>
      <c r="S1583" s="2" t="n">
        <v>2560</v>
      </c>
      <c r="T1583" s="2" t="n">
        <v>3300</v>
      </c>
    </row>
    <row r="1584" customFormat="false" ht="18.7" hidden="false" customHeight="true" outlineLevel="0" collapsed="false">
      <c r="A1584" s="1" t="n">
        <v>1583</v>
      </c>
      <c r="B1584" s="7" t="str">
        <f aca="false">HYPERLINK("https://mncourtfraud.com/file/27-CR-21-13150.pdf","27-CR-21-13150")</f>
        <v>27-CR-21-13150</v>
      </c>
      <c r="C1584" s="1" t="n">
        <v>1</v>
      </c>
      <c r="D1584" s="2" t="s">
        <v>12</v>
      </c>
      <c r="E1584" s="8" t="n">
        <v>45412</v>
      </c>
      <c r="F1584" s="2" t="s">
        <v>15</v>
      </c>
      <c r="G1584" s="7" t="str">
        <f aca="false">HYPERLINK("https://mncourtfraud.com/file/MCRO_27-CR-21-13150_Order-Evaluation for Competency to Proceed (Rule 20.01)_2024-04-30_20251126183942.pdf","MCRO_27-CR-21-13150_Order-Evaluation for Competency to Proceed (Rule 20.01)_2024-04-30_20251126183942.pdf")</f>
        <v>MCRO_27-CR-21-13150_Order-Evaluation for Competency to Proceed (Rule 20.01)_2024-04-30_20251126183942.pdf</v>
      </c>
      <c r="H1584" s="7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1584" s="1" t="s">
        <v>3406</v>
      </c>
      <c r="L1584" s="2" t="s">
        <v>3412</v>
      </c>
      <c r="M1584" s="2" t="n">
        <v>180051</v>
      </c>
      <c r="S1584" s="2" t="n">
        <v>2560</v>
      </c>
      <c r="T1584" s="2" t="n">
        <v>3300</v>
      </c>
    </row>
    <row r="1585" customFormat="false" ht="18.7" hidden="false" customHeight="true" outlineLevel="0" collapsed="false">
      <c r="A1585" s="1" t="n">
        <v>1584</v>
      </c>
      <c r="B1585" s="7" t="str">
        <f aca="false">HYPERLINK("https://mncourtfraud.com/file/27-CR-21-13150.pdf","27-CR-21-13150")</f>
        <v>27-CR-21-13150</v>
      </c>
      <c r="C1585" s="1" t="n">
        <v>1</v>
      </c>
      <c r="D1585" s="2" t="s">
        <v>12</v>
      </c>
      <c r="E1585" s="8" t="n">
        <v>45412</v>
      </c>
      <c r="F1585" s="2" t="s">
        <v>24</v>
      </c>
      <c r="G1585" s="7" t="str">
        <f aca="false">HYPERLINK("https://mncourtfraud.com/file/MCRO_27-CR-21-13150_Order for Conditional Release_2024-04-30_20251126183833.pdf","MCRO_27-CR-21-13150_Order for Conditional Release_2024-04-30_20251126183833.pdf")</f>
        <v>MCRO_27-CR-21-13150_Order for Conditional Release_2024-04-30_20251126183833.pdf</v>
      </c>
      <c r="H1585" s="7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1585" s="1" t="s">
        <v>3406</v>
      </c>
      <c r="L1585" s="2" t="s">
        <v>3412</v>
      </c>
      <c r="M1585" s="2" t="n">
        <v>38726</v>
      </c>
      <c r="S1585" s="2" t="n">
        <v>2560</v>
      </c>
      <c r="T1585" s="2" t="n">
        <v>3300</v>
      </c>
    </row>
    <row r="1586" customFormat="false" ht="18.7" hidden="false" customHeight="true" outlineLevel="0" collapsed="false">
      <c r="A1586" s="1" t="n">
        <v>1585</v>
      </c>
      <c r="B1586" s="7" t="str">
        <f aca="false">HYPERLINK("https://mncourtfraud.com/file/27-CR-21-13150.pdf","27-CR-21-13150")</f>
        <v>27-CR-21-13150</v>
      </c>
      <c r="C1586" s="1" t="n">
        <v>1</v>
      </c>
      <c r="D1586" s="2" t="s">
        <v>12</v>
      </c>
      <c r="E1586" s="8" t="n">
        <v>45412</v>
      </c>
      <c r="F1586" s="2" t="s">
        <v>15</v>
      </c>
      <c r="G1586" s="7" t="str">
        <f aca="false">HYPERLINK("https://mncourtfraud.com/file/MCRO_27-CR-21-13150_Order-Evaluation for Competency to Proceed (Rule 20.01)_2024-04-30_20251126183942.pdf","MCRO_27-CR-21-13150_Order-Evaluation for Competency to Proceed (Rule 20.01)_2024-04-30_20251126183942.pdf")</f>
        <v>MCRO_27-CR-21-13150_Order-Evaluation for Competency to Proceed (Rule 20.01)_2024-04-30_20251126183942.pdf</v>
      </c>
      <c r="H1586" s="7" t="str">
        <f aca="false">HYPERLINK("https://mncourtfraud.com/file/4db7d2599119dc45c08adba3b9b2ba67e6a3d697261d3f95ca4c5b01777bcfbe.ttf","4db7d2599119dc45c08adba3b9b2ba67e6a3d697261d3f95ca4c5b01777bcfbe")</f>
        <v>4db7d2599119dc45c08adba3b9b2ba67e6a3d697261d3f95ca4c5b01777bcfbe</v>
      </c>
      <c r="I1586" s="1" t="s">
        <v>3413</v>
      </c>
      <c r="L1586" s="2" t="s">
        <v>3415</v>
      </c>
      <c r="M1586" s="2" t="n">
        <v>333576</v>
      </c>
    </row>
    <row r="1587" customFormat="false" ht="18.7" hidden="false" customHeight="true" outlineLevel="0" collapsed="false">
      <c r="A1587" s="1" t="n">
        <v>1586</v>
      </c>
      <c r="B1587" s="7" t="str">
        <f aca="false">HYPERLINK("https://mncourtfraud.com/file/27-CR-21-13150.pdf","27-CR-21-13150")</f>
        <v>27-CR-21-13150</v>
      </c>
      <c r="C1587" s="1" t="n">
        <v>1</v>
      </c>
      <c r="D1587" s="2" t="s">
        <v>12</v>
      </c>
      <c r="E1587" s="8" t="n">
        <v>45412</v>
      </c>
      <c r="F1587" s="2" t="s">
        <v>15</v>
      </c>
      <c r="G1587" s="7" t="str">
        <f aca="false">HYPERLINK("https://mncourtfraud.com/file/MCRO_27-CR-21-13150_Order-Evaluation for Competency to Proceed (Rule 20.01)_2024-04-30_20251126183942.pdf","MCRO_27-CR-21-13150_Order-Evaluation for Competency to Proceed (Rule 20.01)_2024-04-30_20251126183942.pdf")</f>
        <v>MCRO_27-CR-21-13150_Order-Evaluation for Competency to Proceed (Rule 20.01)_2024-04-30_20251126183942.pdf</v>
      </c>
      <c r="H1587" s="7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1587" s="1" t="s">
        <v>3406</v>
      </c>
      <c r="L1587" s="2" t="s">
        <v>3412</v>
      </c>
      <c r="M1587" s="2" t="n">
        <v>71271</v>
      </c>
      <c r="S1587" s="2" t="n">
        <v>2560</v>
      </c>
      <c r="T1587" s="2" t="n">
        <v>3300</v>
      </c>
    </row>
    <row r="1588" customFormat="false" ht="18.7" hidden="false" customHeight="true" outlineLevel="0" collapsed="false">
      <c r="A1588" s="1" t="n">
        <v>1587</v>
      </c>
      <c r="B1588" s="7" t="str">
        <f aca="false">HYPERLINK("https://mncourtfraud.com/file/27-CR-21-13150.pdf","27-CR-21-13150")</f>
        <v>27-CR-21-13150</v>
      </c>
      <c r="C1588" s="1" t="n">
        <v>1</v>
      </c>
      <c r="D1588" s="2" t="s">
        <v>12</v>
      </c>
      <c r="E1588" s="8" t="n">
        <v>45412</v>
      </c>
      <c r="F1588" s="2" t="s">
        <v>24</v>
      </c>
      <c r="G1588" s="7" t="str">
        <f aca="false">HYPERLINK("https://mncourtfraud.com/file/MCRO_27-CR-21-13150_Order for Conditional Release_2024-04-30_20251126183833.pdf","MCRO_27-CR-21-13150_Order for Conditional Release_2024-04-30_20251126183833.pdf")</f>
        <v>MCRO_27-CR-21-13150_Order for Conditional Release_2024-04-30_20251126183833.pdf</v>
      </c>
      <c r="H1588" s="7" t="str">
        <f aca="false">HYPERLINK("https://mncourtfraud.com/file/d5cf4f06aaee8f372e6af86dab12d75d131a3ba68ba6baeac4b7b514ef3e0b85.ttf","d5cf4f06aaee8f372e6af86dab12d75d131a3ba68ba6baeac4b7b514ef3e0b85")</f>
        <v>d5cf4f06aaee8f372e6af86dab12d75d131a3ba68ba6baeac4b7b514ef3e0b85</v>
      </c>
      <c r="I1588" s="1" t="s">
        <v>3413</v>
      </c>
      <c r="L1588" s="2" t="s">
        <v>3415</v>
      </c>
      <c r="M1588" s="2" t="n">
        <v>333576</v>
      </c>
    </row>
    <row r="1589" customFormat="false" ht="18.7" hidden="false" customHeight="true" outlineLevel="0" collapsed="false">
      <c r="A1589" s="1" t="n">
        <v>1588</v>
      </c>
      <c r="B1589" s="7" t="str">
        <f aca="false">HYPERLINK("https://mncourtfraud.com/file/27-CR-21-13150.pdf","27-CR-21-13150")</f>
        <v>27-CR-21-13150</v>
      </c>
      <c r="C1589" s="1" t="n">
        <v>1</v>
      </c>
      <c r="D1589" s="2" t="s">
        <v>12</v>
      </c>
      <c r="E1589" s="8" t="n">
        <v>45412</v>
      </c>
      <c r="F1589" s="2" t="s">
        <v>24</v>
      </c>
      <c r="G1589" s="7" t="str">
        <f aca="false">HYPERLINK("https://mncourtfraud.com/file/MCRO_27-CR-21-13150_Order for Conditional Release_2024-04-30_20251126183833.pdf","MCRO_27-CR-21-13150_Order for Conditional Release_2024-04-30_20251126183833.pdf")</f>
        <v>MCRO_27-CR-21-13150_Order for Conditional Release_2024-04-30_20251126183833.pdf</v>
      </c>
      <c r="H1589" s="7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1589" s="1" t="s">
        <v>3406</v>
      </c>
      <c r="L1589" s="2" t="s">
        <v>3412</v>
      </c>
      <c r="M1589" s="2" t="n">
        <v>195018</v>
      </c>
      <c r="S1589" s="2" t="n">
        <v>2560</v>
      </c>
      <c r="T1589" s="2" t="n">
        <v>3300</v>
      </c>
    </row>
    <row r="1590" customFormat="false" ht="18.7" hidden="false" customHeight="true" outlineLevel="0" collapsed="false">
      <c r="A1590" s="1" t="n">
        <v>1589</v>
      </c>
      <c r="B1590" s="7" t="str">
        <f aca="false">HYPERLINK("https://mncourtfraud.com/file/27-CR-21-13526.pdf","27-CR-21-13526")</f>
        <v>27-CR-21-13526</v>
      </c>
      <c r="C1590" s="1" t="n">
        <v>5</v>
      </c>
      <c r="D1590" s="2" t="s">
        <v>267</v>
      </c>
      <c r="E1590" s="8" t="n">
        <v>44733</v>
      </c>
      <c r="F1590" s="2" t="s">
        <v>17</v>
      </c>
      <c r="G1590" s="7" t="str">
        <f aca="false">HYPERLINK("https://mncourtfraud.com/file/MCRO_27-CR-21-13526_Returned Mail_2022-06-21_20251126164634.pdf","MCRO_27-CR-21-13526_Returned Mail_2022-06-21_20251126164634.pdf")</f>
        <v>MCRO_27-CR-21-13526_Returned Mail_2022-06-21_20251126164634.pdf</v>
      </c>
      <c r="H1590" s="7" t="str">
        <f aca="false">HYPERLINK("https://mncourtfraud.com/file/a9900bc320d6f8f8e6faf6cb6a19d94fb75f155c51567cbc0c3ade5f0be1cf36.ttf","a9900bc320d6f8f8e6faf6cb6a19d94fb75f155c51567cbc0c3ade5f0be1cf36")</f>
        <v>a9900bc320d6f8f8e6faf6cb6a19d94fb75f155c51567cbc0c3ade5f0be1cf36</v>
      </c>
      <c r="I1590" s="1" t="s">
        <v>3413</v>
      </c>
      <c r="L1590" s="2" t="s">
        <v>3415</v>
      </c>
      <c r="M1590" s="2" t="n">
        <v>333584</v>
      </c>
    </row>
    <row r="1591" customFormat="false" ht="18.7" hidden="false" customHeight="true" outlineLevel="0" collapsed="false">
      <c r="A1591" s="1" t="n">
        <v>1590</v>
      </c>
      <c r="B1591" s="7" t="str">
        <f aca="false">HYPERLINK("https://mncourtfraud.com/file/27-CR-21-13526.pdf","27-CR-21-13526")</f>
        <v>27-CR-21-13526</v>
      </c>
      <c r="C1591" s="1" t="n">
        <v>5</v>
      </c>
      <c r="D1591" s="2" t="s">
        <v>267</v>
      </c>
      <c r="E1591" s="8" t="n">
        <v>44733</v>
      </c>
      <c r="F1591" s="2" t="s">
        <v>17</v>
      </c>
      <c r="G1591" s="7" t="str">
        <f aca="false">HYPERLINK("https://mncourtfraud.com/file/MCRO_27-CR-21-13526_Returned Mail_2022-06-21_20251126164634.pdf","MCRO_27-CR-21-13526_Returned Mail_2022-06-21_20251126164634.pdf")</f>
        <v>MCRO_27-CR-21-13526_Returned Mail_2022-06-21_20251126164634.pdf</v>
      </c>
      <c r="H1591" s="7" t="str">
        <f aca="false">HYPERLINK("https://mncourtfraud.com/file/ff8775b01064a21565185a32606f60efefdcc81fdffe3af20b8a06d10439e897.jpg","ff8775b01064a21565185a32606f60efefdcc81fdffe3af20b8a06d10439e897")</f>
        <v>ff8775b01064a21565185a32606f60efefdcc81fdffe3af20b8a06d10439e897</v>
      </c>
      <c r="I1591" s="1" t="s">
        <v>3417</v>
      </c>
      <c r="L1591" s="2" t="s">
        <v>3419</v>
      </c>
      <c r="M1591" s="2" t="n">
        <v>191047</v>
      </c>
      <c r="S1591" s="2" t="n">
        <v>2550</v>
      </c>
      <c r="T1591" s="2" t="n">
        <v>3300</v>
      </c>
    </row>
    <row r="1592" customFormat="false" ht="18.7" hidden="false" customHeight="true" outlineLevel="0" collapsed="false">
      <c r="A1592" s="1" t="n">
        <v>1591</v>
      </c>
      <c r="B1592" s="7" t="str">
        <f aca="false">HYPERLINK("https://mncourtfraud.com/file/27-CR-21-13526.pdf","27-CR-21-13526")</f>
        <v>27-CR-21-13526</v>
      </c>
      <c r="C1592" s="1" t="n">
        <v>5</v>
      </c>
      <c r="D1592" s="2" t="s">
        <v>267</v>
      </c>
      <c r="E1592" s="8" t="n">
        <v>44837</v>
      </c>
      <c r="F1592" s="2" t="s">
        <v>17</v>
      </c>
      <c r="G1592" s="7" t="str">
        <f aca="false">HYPERLINK("https://mncourtfraud.com/file/MCRO_27-CR-21-13526_Returned Mail_2022-10-03_20251126164501.pdf","MCRO_27-CR-21-13526_Returned Mail_2022-10-03_20251126164501.pdf")</f>
        <v>MCRO_27-CR-21-13526_Returned Mail_2022-10-03_20251126164501.pdf</v>
      </c>
      <c r="H1592" s="7" t="str">
        <f aca="false">HYPERLINK("https://mncourtfraud.com/file/237d5516e0c716146a65e7b2daf746fb6188c66f833317ba27cb286332d42dea.jpg","237d5516e0c716146a65e7b2daf746fb6188c66f833317ba27cb286332d42dea")</f>
        <v>237d5516e0c716146a65e7b2daf746fb6188c66f833317ba27cb286332d42dea</v>
      </c>
      <c r="I1592" s="1" t="s">
        <v>3417</v>
      </c>
      <c r="L1592" s="2" t="s">
        <v>3419</v>
      </c>
      <c r="M1592" s="2" t="n">
        <v>318425</v>
      </c>
      <c r="S1592" s="2" t="n">
        <v>2550</v>
      </c>
      <c r="T1592" s="2" t="n">
        <v>3300</v>
      </c>
    </row>
    <row r="1593" customFormat="false" ht="18.7" hidden="false" customHeight="true" outlineLevel="0" collapsed="false">
      <c r="A1593" s="1" t="n">
        <v>1592</v>
      </c>
      <c r="B1593" s="7" t="str">
        <f aca="false">HYPERLINK("https://mncourtfraud.com/file/27-CR-21-13526.pdf","27-CR-21-13526")</f>
        <v>27-CR-21-13526</v>
      </c>
      <c r="C1593" s="1" t="n">
        <v>5</v>
      </c>
      <c r="D1593" s="2" t="s">
        <v>267</v>
      </c>
      <c r="E1593" s="8" t="n">
        <v>44837</v>
      </c>
      <c r="F1593" s="2" t="s">
        <v>17</v>
      </c>
      <c r="G1593" s="7" t="str">
        <f aca="false">HYPERLINK("https://mncourtfraud.com/file/MCRO_27-CR-21-13526_Returned Mail_2022-10-03_20251126164501.pdf","MCRO_27-CR-21-13526_Returned Mail_2022-10-03_20251126164501.pdf")</f>
        <v>MCRO_27-CR-21-13526_Returned Mail_2022-10-03_20251126164501.pdf</v>
      </c>
      <c r="H1593" s="7" t="str">
        <f aca="false">HYPERLINK("https://mncourtfraud.com/file/a5e5c392eb46244eb2f6cb58ac26cd8ceafb56d6f16b754ee26ba4f3c1b3b729.ttf","a5e5c392eb46244eb2f6cb58ac26cd8ceafb56d6f16b754ee26ba4f3c1b3b729")</f>
        <v>a5e5c392eb46244eb2f6cb58ac26cd8ceafb56d6f16b754ee26ba4f3c1b3b729</v>
      </c>
      <c r="I1593" s="1" t="s">
        <v>3413</v>
      </c>
      <c r="L1593" s="2" t="s">
        <v>3415</v>
      </c>
      <c r="M1593" s="2" t="n">
        <v>333584</v>
      </c>
    </row>
    <row r="1594" customFormat="false" ht="18.7" hidden="false" customHeight="true" outlineLevel="0" collapsed="false">
      <c r="A1594" s="1" t="n">
        <v>1593</v>
      </c>
      <c r="B1594" s="7" t="str">
        <f aca="false">HYPERLINK("https://mncourtfraud.com/file/27-CR-21-13526.pdf","27-CR-21-13526")</f>
        <v>27-CR-21-13526</v>
      </c>
      <c r="C1594" s="1" t="n">
        <v>5</v>
      </c>
      <c r="D1594" s="2" t="s">
        <v>267</v>
      </c>
      <c r="E1594" s="8" t="n">
        <v>44873</v>
      </c>
      <c r="F1594" s="2" t="s">
        <v>15</v>
      </c>
      <c r="G1594" s="7" t="str">
        <f aca="false">HYPERLINK("https://mncourtfraud.com/file/MCRO_27-CR-21-13526_Order-Evaluation for Competency to Proceed (Rule 20.01)_2022-11-08_20251126164716.pdf","MCRO_27-CR-21-13526_Order-Evaluation for Competency to Proceed (Rule 20.01)_2022-11-08_20251126164716.pdf")</f>
        <v>MCRO_27-CR-21-13526_Order-Evaluation for Competency to Proceed (Rule 20.01)_2022-11-08_20251126164716.pdf</v>
      </c>
      <c r="H1594" s="7" t="str">
        <f aca="false">HYPERLINK("https://mncourtfraud.com/file/082f387ba4835f1cae3d2529d7afa13cbb922baebe03519ee43d2c14358c2398.jpg","082f387ba4835f1cae3d2529d7afa13cbb922baebe03519ee43d2c14358c2398")</f>
        <v>082f387ba4835f1cae3d2529d7afa13cbb922baebe03519ee43d2c14358c2398</v>
      </c>
      <c r="I1594" s="1" t="s">
        <v>3417</v>
      </c>
      <c r="L1594" s="2" t="s">
        <v>3418</v>
      </c>
      <c r="M1594" s="2" t="n">
        <v>300734</v>
      </c>
      <c r="S1594" s="2" t="n">
        <v>1700</v>
      </c>
      <c r="T1594" s="2" t="n">
        <v>2200</v>
      </c>
    </row>
    <row r="1595" customFormat="false" ht="18.7" hidden="false" customHeight="true" outlineLevel="0" collapsed="false">
      <c r="A1595" s="1" t="n">
        <v>1594</v>
      </c>
      <c r="B1595" s="7" t="str">
        <f aca="false">HYPERLINK("https://mncourtfraud.com/file/27-CR-21-13526.pdf","27-CR-21-13526")</f>
        <v>27-CR-21-13526</v>
      </c>
      <c r="C1595" s="1" t="n">
        <v>5</v>
      </c>
      <c r="D1595" s="2" t="s">
        <v>267</v>
      </c>
      <c r="E1595" s="8" t="n">
        <v>44873</v>
      </c>
      <c r="F1595" s="2" t="s">
        <v>15</v>
      </c>
      <c r="G1595" s="7" t="str">
        <f aca="false">HYPERLINK("https://mncourtfraud.com/file/MCRO_27-CR-21-13526_Order-Evaluation for Competency to Proceed (Rule 20.01)_2022-11-08_20251126164716.pdf","MCRO_27-CR-21-13526_Order-Evaluation for Competency to Proceed (Rule 20.01)_2022-11-08_20251126164716.pdf")</f>
        <v>MCRO_27-CR-21-13526_Order-Evaluation for Competency to Proceed (Rule 20.01)_2022-11-08_20251126164716.pdf</v>
      </c>
      <c r="H1595" s="7" t="str">
        <f aca="false">HYPERLINK("https://mncourtfraud.com/file/5ec6a5633be2d5f7201fcc405ec826928f8ebd9d0f347fee056c3ff04cd3e3d7.ttf","5ec6a5633be2d5f7201fcc405ec826928f8ebd9d0f347fee056c3ff04cd3e3d7")</f>
        <v>5ec6a5633be2d5f7201fcc405ec826928f8ebd9d0f347fee056c3ff04cd3e3d7</v>
      </c>
      <c r="I1595" s="1" t="s">
        <v>3413</v>
      </c>
      <c r="L1595" s="2" t="s">
        <v>3415</v>
      </c>
      <c r="M1595" s="2" t="n">
        <v>333576</v>
      </c>
    </row>
    <row r="1596" customFormat="false" ht="18.7" hidden="false" customHeight="true" outlineLevel="0" collapsed="false">
      <c r="A1596" s="1" t="n">
        <v>1595</v>
      </c>
      <c r="B1596" s="7" t="str">
        <f aca="false">HYPERLINK("https://mncourtfraud.com/file/27-CR-21-13526.pdf","27-CR-21-13526")</f>
        <v>27-CR-21-13526</v>
      </c>
      <c r="C1596" s="1" t="n">
        <v>5</v>
      </c>
      <c r="D1596" s="2" t="s">
        <v>267</v>
      </c>
      <c r="E1596" s="8" t="n">
        <v>44873</v>
      </c>
      <c r="F1596" s="2" t="s">
        <v>15</v>
      </c>
      <c r="G1596" s="7" t="str">
        <f aca="false">HYPERLINK("https://mncourtfraud.com/file/MCRO_27-CR-21-13526_Order-Evaluation for Competency to Proceed (Rule 20.01)_2022-11-08_20251126164716.pdf","MCRO_27-CR-21-13526_Order-Evaluation for Competency to Proceed (Rule 20.01)_2022-11-08_20251126164716.pdf")</f>
        <v>MCRO_27-CR-21-13526_Order-Evaluation for Competency to Proceed (Rule 20.01)_2022-11-08_20251126164716.pdf</v>
      </c>
      <c r="H1596" s="7" t="str">
        <f aca="false">HYPERLINK("https://mncourtfraud.com/file/6efe5689334238d45a24a51d7cd932b18f0bce47806d862dbcc29a63132d5402.jpg","6efe5689334238d45a24a51d7cd932b18f0bce47806d862dbcc29a63132d5402")</f>
        <v>6efe5689334238d45a24a51d7cd932b18f0bce47806d862dbcc29a63132d5402</v>
      </c>
      <c r="I1596" s="1" t="s">
        <v>3417</v>
      </c>
      <c r="L1596" s="2" t="s">
        <v>3418</v>
      </c>
      <c r="M1596" s="2" t="n">
        <v>59609</v>
      </c>
      <c r="S1596" s="2" t="n">
        <v>1700</v>
      </c>
      <c r="T1596" s="2" t="n">
        <v>2200</v>
      </c>
    </row>
    <row r="1597" customFormat="false" ht="18.7" hidden="false" customHeight="true" outlineLevel="0" collapsed="false">
      <c r="A1597" s="1" t="n">
        <v>1596</v>
      </c>
      <c r="B1597" s="7" t="str">
        <f aca="false">HYPERLINK("https://mncourtfraud.com/file/27-CR-21-13526.pdf","27-CR-21-13526")</f>
        <v>27-CR-21-13526</v>
      </c>
      <c r="C1597" s="1" t="n">
        <v>5</v>
      </c>
      <c r="D1597" s="2" t="s">
        <v>267</v>
      </c>
      <c r="E1597" s="8" t="n">
        <v>44873</v>
      </c>
      <c r="F1597" s="2" t="s">
        <v>15</v>
      </c>
      <c r="G1597" s="7" t="str">
        <f aca="false">HYPERLINK("https://mncourtfraud.com/file/MCRO_27-CR-21-13526_Order-Evaluation for Competency to Proceed (Rule 20.01)_2022-11-08_20251126164716.pdf","MCRO_27-CR-21-13526_Order-Evaluation for Competency to Proceed (Rule 20.01)_2022-11-08_20251126164716.pdf")</f>
        <v>MCRO_27-CR-21-13526_Order-Evaluation for Competency to Proceed (Rule 20.01)_2022-11-08_20251126164716.pdf</v>
      </c>
      <c r="H1597" s="7" t="str">
        <f aca="false">HYPERLINK("https://mncourtfraud.com/file/fc4055f8addb8eece144843412a390d7992a7db6c5473e9a7648f1bd742f06a0.jpg","fc4055f8addb8eece144843412a390d7992a7db6c5473e9a7648f1bd742f06a0")</f>
        <v>fc4055f8addb8eece144843412a390d7992a7db6c5473e9a7648f1bd742f06a0</v>
      </c>
      <c r="I1597" s="1" t="s">
        <v>3417</v>
      </c>
      <c r="L1597" s="2" t="s">
        <v>3418</v>
      </c>
      <c r="M1597" s="2" t="n">
        <v>366016</v>
      </c>
      <c r="S1597" s="2" t="n">
        <v>1700</v>
      </c>
      <c r="T1597" s="2" t="n">
        <v>2200</v>
      </c>
    </row>
    <row r="1598" customFormat="false" ht="18.7" hidden="false" customHeight="true" outlineLevel="0" collapsed="false">
      <c r="A1598" s="1" t="n">
        <v>1597</v>
      </c>
      <c r="B1598" s="7" t="str">
        <f aca="false">HYPERLINK("https://mncourtfraud.com/file/27-CR-21-13526.pdf","27-CR-21-13526")</f>
        <v>27-CR-21-13526</v>
      </c>
      <c r="C1598" s="1" t="n">
        <v>5</v>
      </c>
      <c r="D1598" s="2" t="s">
        <v>267</v>
      </c>
      <c r="E1598" s="8" t="n">
        <v>45023</v>
      </c>
      <c r="F1598" s="2" t="s">
        <v>15</v>
      </c>
      <c r="G1598" s="7" t="str">
        <f aca="false">HYPERLINK("https://mncourtfraud.com/file/MCRO_27-CR-21-13526_Order-Evaluation for Competency to Proceed (Rule 20.01)_2023-04-07_20251126164730.pdf","MCRO_27-CR-21-13526_Order-Evaluation for Competency to Proceed (Rule 20.01)_2023-04-07_20251126164730.pdf")</f>
        <v>MCRO_27-CR-21-13526_Order-Evaluation for Competency to Proceed (Rule 20.01)_2023-04-07_20251126164730.pdf</v>
      </c>
      <c r="H1598" s="7" t="str">
        <f aca="false">HYPERLINK("https://mncourtfraud.com/file/14e5c97e4209944039ddc298531a625503005f058a38a9ee086b77a1e8af7d80.jpg","14e5c97e4209944039ddc298531a625503005f058a38a9ee086b77a1e8af7d80")</f>
        <v>14e5c97e4209944039ddc298531a625503005f058a38a9ee086b77a1e8af7d80</v>
      </c>
      <c r="I1598" s="1" t="s">
        <v>3417</v>
      </c>
      <c r="L1598" s="2" t="s">
        <v>3418</v>
      </c>
      <c r="M1598" s="2" t="n">
        <v>515743</v>
      </c>
      <c r="S1598" s="2" t="n">
        <v>2550</v>
      </c>
      <c r="T1598" s="2" t="n">
        <v>3300</v>
      </c>
    </row>
    <row r="1599" customFormat="false" ht="18.7" hidden="false" customHeight="true" outlineLevel="0" collapsed="false">
      <c r="A1599" s="1" t="n">
        <v>1598</v>
      </c>
      <c r="B1599" s="7" t="str">
        <f aca="false">HYPERLINK("https://mncourtfraud.com/file/27-CR-21-13526.pdf","27-CR-21-13526")</f>
        <v>27-CR-21-13526</v>
      </c>
      <c r="C1599" s="1" t="n">
        <v>5</v>
      </c>
      <c r="D1599" s="2" t="s">
        <v>267</v>
      </c>
      <c r="E1599" s="8" t="n">
        <v>45023</v>
      </c>
      <c r="F1599" s="2" t="s">
        <v>15</v>
      </c>
      <c r="G1599" s="7" t="str">
        <f aca="false">HYPERLINK("https://mncourtfraud.com/file/MCRO_27-CR-21-13526_Order-Evaluation for Competency to Proceed (Rule 20.01)_2023-04-07_20251126164730.pdf","MCRO_27-CR-21-13526_Order-Evaluation for Competency to Proceed (Rule 20.01)_2023-04-07_20251126164730.pdf")</f>
        <v>MCRO_27-CR-21-13526_Order-Evaluation for Competency to Proceed (Rule 20.01)_2023-04-07_20251126164730.pdf</v>
      </c>
      <c r="H1599" s="7" t="str">
        <f aca="false">HYPERLINK("https://mncourtfraud.com/file/5cdc4c250253082bfbea45004e2e19666f11a61a4e7cc3bfcddfef4ee9730ebb.jpg","5cdc4c250253082bfbea45004e2e19666f11a61a4e7cc3bfcddfef4ee9730ebb")</f>
        <v>5cdc4c250253082bfbea45004e2e19666f11a61a4e7cc3bfcddfef4ee9730ebb</v>
      </c>
      <c r="I1599" s="1" t="s">
        <v>3417</v>
      </c>
      <c r="L1599" s="2" t="s">
        <v>3418</v>
      </c>
      <c r="M1599" s="2" t="n">
        <v>644494</v>
      </c>
      <c r="S1599" s="2" t="n">
        <v>2550</v>
      </c>
      <c r="T1599" s="2" t="n">
        <v>3300</v>
      </c>
    </row>
    <row r="1600" customFormat="false" ht="18.7" hidden="false" customHeight="true" outlineLevel="0" collapsed="false">
      <c r="A1600" s="1" t="n">
        <v>1599</v>
      </c>
      <c r="B1600" s="7" t="str">
        <f aca="false">HYPERLINK("https://mncourtfraud.com/file/27-CR-21-13526.pdf","27-CR-21-13526")</f>
        <v>27-CR-21-13526</v>
      </c>
      <c r="C1600" s="1" t="n">
        <v>5</v>
      </c>
      <c r="D1600" s="2" t="s">
        <v>267</v>
      </c>
      <c r="E1600" s="8" t="n">
        <v>45023</v>
      </c>
      <c r="F1600" s="2" t="s">
        <v>15</v>
      </c>
      <c r="G1600" s="7" t="str">
        <f aca="false">HYPERLINK("https://mncourtfraud.com/file/MCRO_27-CR-21-13526_Order-Evaluation for Competency to Proceed (Rule 20.01)_2023-04-07_20251126164730.pdf","MCRO_27-CR-21-13526_Order-Evaluation for Competency to Proceed (Rule 20.01)_2023-04-07_20251126164730.pdf")</f>
        <v>MCRO_27-CR-21-13526_Order-Evaluation for Competency to Proceed (Rule 20.01)_2023-04-07_20251126164730.pdf</v>
      </c>
      <c r="H1600" s="7" t="str">
        <f aca="false">HYPERLINK("https://mncourtfraud.com/file/fa64f47660b7fa2744d5c9e2707fcfc024b819af8877f042d668f61baa0bb0ae.ttf","fa64f47660b7fa2744d5c9e2707fcfc024b819af8877f042d668f61baa0bb0ae")</f>
        <v>fa64f47660b7fa2744d5c9e2707fcfc024b819af8877f042d668f61baa0bb0ae</v>
      </c>
      <c r="I1600" s="1" t="s">
        <v>3413</v>
      </c>
      <c r="L1600" s="2" t="s">
        <v>3415</v>
      </c>
      <c r="M1600" s="2" t="n">
        <v>8688</v>
      </c>
    </row>
    <row r="1601" customFormat="false" ht="18.7" hidden="false" customHeight="true" outlineLevel="0" collapsed="false">
      <c r="A1601" s="1" t="n">
        <v>1600</v>
      </c>
      <c r="B1601" s="7" t="str">
        <f aca="false">HYPERLINK("https://mncourtfraud.com/file/27-CR-21-13526.pdf","27-CR-21-13526")</f>
        <v>27-CR-21-13526</v>
      </c>
      <c r="C1601" s="1" t="n">
        <v>5</v>
      </c>
      <c r="D1601" s="2" t="s">
        <v>267</v>
      </c>
      <c r="E1601" s="8" t="n">
        <v>45194</v>
      </c>
      <c r="F1601" s="2" t="s">
        <v>15</v>
      </c>
      <c r="G1601" s="7" t="str">
        <f aca="false">HYPERLINK("https://mncourtfraud.com/file/MCRO_27-CR-21-13526_Order-Evaluation for Competency to Proceed (Rule 20.01)_2023-09-25_20251126164657.pdf","MCRO_27-CR-21-13526_Order-Evaluation for Competency to Proceed (Rule 20.01)_2023-09-25_20251126164657.pdf")</f>
        <v>MCRO_27-CR-21-13526_Order-Evaluation for Competency to Proceed (Rule 20.01)_2023-09-25_20251126164657.pdf</v>
      </c>
      <c r="H1601" s="7" t="str">
        <f aca="false">HYPERLINK("https://mncourtfraud.com/file/4c385f7ae8b1b78bc4ac3302e35eeaeb47e175305fd776c018ad0582a082d2f1.png","4c385f7ae8b1b78bc4ac3302e35eeaeb47e175305fd776c018ad0582a082d2f1")</f>
        <v>4c385f7ae8b1b78bc4ac3302e35eeaeb47e175305fd776c018ad0582a082d2f1</v>
      </c>
      <c r="I1601" s="1" t="s">
        <v>3406</v>
      </c>
      <c r="L1601" s="2" t="s">
        <v>3412</v>
      </c>
      <c r="M1601" s="2" t="n">
        <v>162309</v>
      </c>
      <c r="S1601" s="2" t="n">
        <v>2560</v>
      </c>
      <c r="T1601" s="2" t="n">
        <v>3300</v>
      </c>
    </row>
    <row r="1602" customFormat="false" ht="18.7" hidden="false" customHeight="true" outlineLevel="0" collapsed="false">
      <c r="A1602" s="1" t="n">
        <v>1601</v>
      </c>
      <c r="B1602" s="7" t="str">
        <f aca="false">HYPERLINK("https://mncourtfraud.com/file/27-CR-21-13526.pdf","27-CR-21-13526")</f>
        <v>27-CR-21-13526</v>
      </c>
      <c r="C1602" s="1" t="n">
        <v>5</v>
      </c>
      <c r="D1602" s="2" t="s">
        <v>267</v>
      </c>
      <c r="E1602" s="8" t="n">
        <v>45194</v>
      </c>
      <c r="F1602" s="2" t="s">
        <v>15</v>
      </c>
      <c r="G1602" s="7" t="str">
        <f aca="false">HYPERLINK("https://mncourtfraud.com/file/MCRO_27-CR-21-13526_Order-Evaluation for Competency to Proceed (Rule 20.01)_2023-09-25_20251126164657.pdf","MCRO_27-CR-21-13526_Order-Evaluation for Competency to Proceed (Rule 20.01)_2023-09-25_20251126164657.pdf")</f>
        <v>MCRO_27-CR-21-13526_Order-Evaluation for Competency to Proceed (Rule 20.01)_2023-09-25_20251126164657.pdf</v>
      </c>
      <c r="H1602" s="7" t="str">
        <f aca="false">HYPERLINK("https://mncourtfraud.com/file/9f61d1c86b92a1cfe4c2425ebe7c20689b4132fc43316fa8ae4829c07f8dccd6.ttf","9f61d1c86b92a1cfe4c2425ebe7c20689b4132fc43316fa8ae4829c07f8dccd6")</f>
        <v>9f61d1c86b92a1cfe4c2425ebe7c20689b4132fc43316fa8ae4829c07f8dccd6</v>
      </c>
      <c r="I1602" s="1" t="s">
        <v>3413</v>
      </c>
      <c r="L1602" s="2" t="s">
        <v>3415</v>
      </c>
      <c r="M1602" s="2" t="n">
        <v>333576</v>
      </c>
    </row>
    <row r="1603" customFormat="false" ht="18.7" hidden="false" customHeight="true" outlineLevel="0" collapsed="false">
      <c r="A1603" s="1" t="n">
        <v>1602</v>
      </c>
      <c r="B1603" s="7" t="str">
        <f aca="false">HYPERLINK("https://mncourtfraud.com/file/27-CR-21-13526.pdf","27-CR-21-13526")</f>
        <v>27-CR-21-13526</v>
      </c>
      <c r="C1603" s="1" t="n">
        <v>5</v>
      </c>
      <c r="D1603" s="2" t="s">
        <v>267</v>
      </c>
      <c r="E1603" s="8" t="n">
        <v>45194</v>
      </c>
      <c r="F1603" s="2" t="s">
        <v>15</v>
      </c>
      <c r="G1603" s="7" t="str">
        <f aca="false">HYPERLINK("https://mncourtfraud.com/file/MCRO_27-CR-21-13526_Order-Evaluation for Competency to Proceed (Rule 20.01)_2023-09-25_20251126164657.pdf","MCRO_27-CR-21-13526_Order-Evaluation for Competency to Proceed (Rule 20.01)_2023-09-25_20251126164657.pdf")</f>
        <v>MCRO_27-CR-21-13526_Order-Evaluation for Competency to Proceed (Rule 20.01)_2023-09-25_20251126164657.pdf</v>
      </c>
      <c r="H1603" s="7" t="str">
        <f aca="false">HYPERLINK("https://mncourtfraud.com/file/e8ec090484db08b3be9daaa10e2fef35a99135ae0a2f234de7613cfacc2f6cac.png","e8ec090484db08b3be9daaa10e2fef35a99135ae0a2f234de7613cfacc2f6cac")</f>
        <v>e8ec090484db08b3be9daaa10e2fef35a99135ae0a2f234de7613cfacc2f6cac</v>
      </c>
      <c r="I1603" s="1" t="s">
        <v>3406</v>
      </c>
      <c r="L1603" s="2" t="s">
        <v>3412</v>
      </c>
      <c r="M1603" s="2" t="n">
        <v>133015</v>
      </c>
      <c r="S1603" s="2" t="n">
        <v>2560</v>
      </c>
      <c r="T1603" s="2" t="n">
        <v>3300</v>
      </c>
    </row>
    <row r="1604" customFormat="false" ht="18.7" hidden="false" customHeight="true" outlineLevel="0" collapsed="false">
      <c r="A1604" s="1" t="n">
        <v>1603</v>
      </c>
      <c r="B1604" s="7" t="str">
        <f aca="false">HYPERLINK("https://mncourtfraud.com/file/27-CR-21-14266.pdf","27-CR-21-14266")</f>
        <v>27-CR-21-14266</v>
      </c>
      <c r="C1604" s="1" t="n">
        <v>5</v>
      </c>
      <c r="D1604" s="2" t="s">
        <v>267</v>
      </c>
      <c r="E1604" s="8" t="n">
        <v>44733</v>
      </c>
      <c r="F1604" s="2" t="s">
        <v>17</v>
      </c>
      <c r="G1604" s="7" t="str">
        <f aca="false">HYPERLINK("https://mncourtfraud.com/file/MCRO_27-CR-21-14266_Returned Mail_2022-06-21_20251126164918.pdf","MCRO_27-CR-21-14266_Returned Mail_2022-06-21_20251126164918.pdf")</f>
        <v>MCRO_27-CR-21-14266_Returned Mail_2022-06-21_20251126164918.pdf</v>
      </c>
      <c r="H1604" s="7" t="str">
        <f aca="false">HYPERLINK("https://mncourtfraud.com/file/a9900bc320d6f8f8e6faf6cb6a19d94fb75f155c51567cbc0c3ade5f0be1cf36.ttf","a9900bc320d6f8f8e6faf6cb6a19d94fb75f155c51567cbc0c3ade5f0be1cf36")</f>
        <v>a9900bc320d6f8f8e6faf6cb6a19d94fb75f155c51567cbc0c3ade5f0be1cf36</v>
      </c>
      <c r="I1604" s="1" t="s">
        <v>3413</v>
      </c>
      <c r="L1604" s="2" t="s">
        <v>3415</v>
      </c>
      <c r="M1604" s="2" t="n">
        <v>333584</v>
      </c>
    </row>
    <row r="1605" customFormat="false" ht="18.7" hidden="false" customHeight="true" outlineLevel="0" collapsed="false">
      <c r="A1605" s="1" t="n">
        <v>1604</v>
      </c>
      <c r="B1605" s="7" t="str">
        <f aca="false">HYPERLINK("https://mncourtfraud.com/file/27-CR-21-14266.pdf","27-CR-21-14266")</f>
        <v>27-CR-21-14266</v>
      </c>
      <c r="C1605" s="1" t="n">
        <v>5</v>
      </c>
      <c r="D1605" s="2" t="s">
        <v>267</v>
      </c>
      <c r="E1605" s="8" t="n">
        <v>44733</v>
      </c>
      <c r="F1605" s="2" t="s">
        <v>17</v>
      </c>
      <c r="G1605" s="7" t="str">
        <f aca="false">HYPERLINK("https://mncourtfraud.com/file/MCRO_27-CR-21-14266_Returned Mail_2022-06-21_20251126164918.pdf","MCRO_27-CR-21-14266_Returned Mail_2022-06-21_20251126164918.pdf")</f>
        <v>MCRO_27-CR-21-14266_Returned Mail_2022-06-21_20251126164918.pdf</v>
      </c>
      <c r="H1605" s="7" t="str">
        <f aca="false">HYPERLINK("https://mncourtfraud.com/file/ff8775b01064a21565185a32606f60efefdcc81fdffe3af20b8a06d10439e897.jpg","ff8775b01064a21565185a32606f60efefdcc81fdffe3af20b8a06d10439e897")</f>
        <v>ff8775b01064a21565185a32606f60efefdcc81fdffe3af20b8a06d10439e897</v>
      </c>
      <c r="I1605" s="1" t="s">
        <v>3417</v>
      </c>
      <c r="L1605" s="2" t="s">
        <v>3419</v>
      </c>
      <c r="M1605" s="2" t="n">
        <v>191047</v>
      </c>
      <c r="S1605" s="2" t="n">
        <v>2550</v>
      </c>
      <c r="T1605" s="2" t="n">
        <v>3300</v>
      </c>
    </row>
    <row r="1606" customFormat="false" ht="18.7" hidden="false" customHeight="true" outlineLevel="0" collapsed="false">
      <c r="A1606" s="1" t="n">
        <v>1605</v>
      </c>
      <c r="B1606" s="7" t="str">
        <f aca="false">HYPERLINK("https://mncourtfraud.com/file/27-CR-21-14266.pdf","27-CR-21-14266")</f>
        <v>27-CR-21-14266</v>
      </c>
      <c r="C1606" s="1" t="n">
        <v>5</v>
      </c>
      <c r="D1606" s="2" t="s">
        <v>267</v>
      </c>
      <c r="E1606" s="8" t="n">
        <v>44837</v>
      </c>
      <c r="F1606" s="2" t="s">
        <v>17</v>
      </c>
      <c r="G1606" s="7" t="str">
        <f aca="false">HYPERLINK("https://mncourtfraud.com/file/MCRO_27-CR-21-14266_Returned Mail_2022-10-03_20251126164905.pdf","MCRO_27-CR-21-14266_Returned Mail_2022-10-03_20251126164905.pdf")</f>
        <v>MCRO_27-CR-21-14266_Returned Mail_2022-10-03_20251126164905.pdf</v>
      </c>
      <c r="H1606" s="7" t="str">
        <f aca="false">HYPERLINK("https://mncourtfraud.com/file/237d5516e0c716146a65e7b2daf746fb6188c66f833317ba27cb286332d42dea.jpg","237d5516e0c716146a65e7b2daf746fb6188c66f833317ba27cb286332d42dea")</f>
        <v>237d5516e0c716146a65e7b2daf746fb6188c66f833317ba27cb286332d42dea</v>
      </c>
      <c r="I1606" s="1" t="s">
        <v>3417</v>
      </c>
      <c r="L1606" s="2" t="s">
        <v>3419</v>
      </c>
      <c r="M1606" s="2" t="n">
        <v>318425</v>
      </c>
      <c r="S1606" s="2" t="n">
        <v>2550</v>
      </c>
      <c r="T1606" s="2" t="n">
        <v>3300</v>
      </c>
    </row>
    <row r="1607" customFormat="false" ht="18.7" hidden="false" customHeight="true" outlineLevel="0" collapsed="false">
      <c r="A1607" s="1" t="n">
        <v>1606</v>
      </c>
      <c r="B1607" s="7" t="str">
        <f aca="false">HYPERLINK("https://mncourtfraud.com/file/27-CR-21-14266.pdf","27-CR-21-14266")</f>
        <v>27-CR-21-14266</v>
      </c>
      <c r="C1607" s="1" t="n">
        <v>5</v>
      </c>
      <c r="D1607" s="2" t="s">
        <v>267</v>
      </c>
      <c r="E1607" s="8" t="n">
        <v>44837</v>
      </c>
      <c r="F1607" s="2" t="s">
        <v>17</v>
      </c>
      <c r="G1607" s="7" t="str">
        <f aca="false">HYPERLINK("https://mncourtfraud.com/file/MCRO_27-CR-21-14266_Returned Mail_2022-10-03_20251126164905.pdf","MCRO_27-CR-21-14266_Returned Mail_2022-10-03_20251126164905.pdf")</f>
        <v>MCRO_27-CR-21-14266_Returned Mail_2022-10-03_20251126164905.pdf</v>
      </c>
      <c r="H1607" s="7" t="str">
        <f aca="false">HYPERLINK("https://mncourtfraud.com/file/a5e5c392eb46244eb2f6cb58ac26cd8ceafb56d6f16b754ee26ba4f3c1b3b729.ttf","a5e5c392eb46244eb2f6cb58ac26cd8ceafb56d6f16b754ee26ba4f3c1b3b729")</f>
        <v>a5e5c392eb46244eb2f6cb58ac26cd8ceafb56d6f16b754ee26ba4f3c1b3b729</v>
      </c>
      <c r="I1607" s="1" t="s">
        <v>3413</v>
      </c>
      <c r="L1607" s="2" t="s">
        <v>3415</v>
      </c>
      <c r="M1607" s="2" t="n">
        <v>333584</v>
      </c>
    </row>
    <row r="1608" customFormat="false" ht="18.7" hidden="false" customHeight="true" outlineLevel="0" collapsed="false">
      <c r="A1608" s="1" t="n">
        <v>1607</v>
      </c>
      <c r="B1608" s="7" t="str">
        <f aca="false">HYPERLINK("https://mncourtfraud.com/file/27-CR-21-14266.pdf","27-CR-21-14266")</f>
        <v>27-CR-21-14266</v>
      </c>
      <c r="C1608" s="1" t="n">
        <v>5</v>
      </c>
      <c r="D1608" s="2" t="s">
        <v>267</v>
      </c>
      <c r="E1608" s="8" t="n">
        <v>44873</v>
      </c>
      <c r="F1608" s="2" t="s">
        <v>15</v>
      </c>
      <c r="G1608" s="7" t="str">
        <f aca="false">HYPERLINK("https://mncourtfraud.com/file/MCRO_27-CR-21-14266_Order-Evaluation for Competency to Proceed (Rule 20.01)_2022-11-08_20251126164836.pdf","MCRO_27-CR-21-14266_Order-Evaluation for Competency to Proceed (Rule 20.01)_2022-11-08_20251126164836.pdf")</f>
        <v>MCRO_27-CR-21-14266_Order-Evaluation for Competency to Proceed (Rule 20.01)_2022-11-08_20251126164836.pdf</v>
      </c>
      <c r="H1608" s="7" t="str">
        <f aca="false">HYPERLINK("https://mncourtfraud.com/file/082f387ba4835f1cae3d2529d7afa13cbb922baebe03519ee43d2c14358c2398.jpg","082f387ba4835f1cae3d2529d7afa13cbb922baebe03519ee43d2c14358c2398")</f>
        <v>082f387ba4835f1cae3d2529d7afa13cbb922baebe03519ee43d2c14358c2398</v>
      </c>
      <c r="I1608" s="1" t="s">
        <v>3417</v>
      </c>
      <c r="L1608" s="2" t="s">
        <v>3418</v>
      </c>
      <c r="M1608" s="2" t="n">
        <v>300734</v>
      </c>
      <c r="S1608" s="2" t="n">
        <v>1700</v>
      </c>
      <c r="T1608" s="2" t="n">
        <v>2200</v>
      </c>
    </row>
    <row r="1609" customFormat="false" ht="18.7" hidden="false" customHeight="true" outlineLevel="0" collapsed="false">
      <c r="A1609" s="1" t="n">
        <v>1608</v>
      </c>
      <c r="B1609" s="7" t="str">
        <f aca="false">HYPERLINK("https://mncourtfraud.com/file/27-CR-21-14266.pdf","27-CR-21-14266")</f>
        <v>27-CR-21-14266</v>
      </c>
      <c r="C1609" s="1" t="n">
        <v>5</v>
      </c>
      <c r="D1609" s="2" t="s">
        <v>267</v>
      </c>
      <c r="E1609" s="8" t="n">
        <v>44873</v>
      </c>
      <c r="F1609" s="2" t="s">
        <v>15</v>
      </c>
      <c r="G1609" s="7" t="str">
        <f aca="false">HYPERLINK("https://mncourtfraud.com/file/MCRO_27-CR-21-14266_Order-Evaluation for Competency to Proceed (Rule 20.01)_2022-11-08_20251126164836.pdf","MCRO_27-CR-21-14266_Order-Evaluation for Competency to Proceed (Rule 20.01)_2022-11-08_20251126164836.pdf")</f>
        <v>MCRO_27-CR-21-14266_Order-Evaluation for Competency to Proceed (Rule 20.01)_2022-11-08_20251126164836.pdf</v>
      </c>
      <c r="H1609" s="7" t="str">
        <f aca="false">HYPERLINK("https://mncourtfraud.com/file/5ec6a5633be2d5f7201fcc405ec826928f8ebd9d0f347fee056c3ff04cd3e3d7.ttf","5ec6a5633be2d5f7201fcc405ec826928f8ebd9d0f347fee056c3ff04cd3e3d7")</f>
        <v>5ec6a5633be2d5f7201fcc405ec826928f8ebd9d0f347fee056c3ff04cd3e3d7</v>
      </c>
      <c r="I1609" s="1" t="s">
        <v>3413</v>
      </c>
      <c r="L1609" s="2" t="s">
        <v>3415</v>
      </c>
      <c r="M1609" s="2" t="n">
        <v>333576</v>
      </c>
    </row>
    <row r="1610" customFormat="false" ht="18.7" hidden="false" customHeight="true" outlineLevel="0" collapsed="false">
      <c r="A1610" s="1" t="n">
        <v>1609</v>
      </c>
      <c r="B1610" s="7" t="str">
        <f aca="false">HYPERLINK("https://mncourtfraud.com/file/27-CR-21-14266.pdf","27-CR-21-14266")</f>
        <v>27-CR-21-14266</v>
      </c>
      <c r="C1610" s="1" t="n">
        <v>5</v>
      </c>
      <c r="D1610" s="2" t="s">
        <v>267</v>
      </c>
      <c r="E1610" s="8" t="n">
        <v>44873</v>
      </c>
      <c r="F1610" s="2" t="s">
        <v>15</v>
      </c>
      <c r="G1610" s="7" t="str">
        <f aca="false">HYPERLINK("https://mncourtfraud.com/file/MCRO_27-CR-21-14266_Order-Evaluation for Competency to Proceed (Rule 20.01)_2022-11-08_20251126164836.pdf","MCRO_27-CR-21-14266_Order-Evaluation for Competency to Proceed (Rule 20.01)_2022-11-08_20251126164836.pdf")</f>
        <v>MCRO_27-CR-21-14266_Order-Evaluation for Competency to Proceed (Rule 20.01)_2022-11-08_20251126164836.pdf</v>
      </c>
      <c r="H1610" s="7" t="str">
        <f aca="false">HYPERLINK("https://mncourtfraud.com/file/6efe5689334238d45a24a51d7cd932b18f0bce47806d862dbcc29a63132d5402.jpg","6efe5689334238d45a24a51d7cd932b18f0bce47806d862dbcc29a63132d5402")</f>
        <v>6efe5689334238d45a24a51d7cd932b18f0bce47806d862dbcc29a63132d5402</v>
      </c>
      <c r="I1610" s="1" t="s">
        <v>3417</v>
      </c>
      <c r="L1610" s="2" t="s">
        <v>3418</v>
      </c>
      <c r="M1610" s="2" t="n">
        <v>59609</v>
      </c>
      <c r="S1610" s="2" t="n">
        <v>1700</v>
      </c>
      <c r="T1610" s="2" t="n">
        <v>2200</v>
      </c>
    </row>
    <row r="1611" customFormat="false" ht="18.7" hidden="false" customHeight="true" outlineLevel="0" collapsed="false">
      <c r="A1611" s="1" t="n">
        <v>1610</v>
      </c>
      <c r="B1611" s="7" t="str">
        <f aca="false">HYPERLINK("https://mncourtfraud.com/file/27-CR-21-14266.pdf","27-CR-21-14266")</f>
        <v>27-CR-21-14266</v>
      </c>
      <c r="C1611" s="1" t="n">
        <v>5</v>
      </c>
      <c r="D1611" s="2" t="s">
        <v>267</v>
      </c>
      <c r="E1611" s="8" t="n">
        <v>44873</v>
      </c>
      <c r="F1611" s="2" t="s">
        <v>15</v>
      </c>
      <c r="G1611" s="7" t="str">
        <f aca="false">HYPERLINK("https://mncourtfraud.com/file/MCRO_27-CR-21-14266_Order-Evaluation for Competency to Proceed (Rule 20.01)_2022-11-08_20251126164836.pdf","MCRO_27-CR-21-14266_Order-Evaluation for Competency to Proceed (Rule 20.01)_2022-11-08_20251126164836.pdf")</f>
        <v>MCRO_27-CR-21-14266_Order-Evaluation for Competency to Proceed (Rule 20.01)_2022-11-08_20251126164836.pdf</v>
      </c>
      <c r="H1611" s="7" t="str">
        <f aca="false">HYPERLINK("https://mncourtfraud.com/file/fc4055f8addb8eece144843412a390d7992a7db6c5473e9a7648f1bd742f06a0.jpg","fc4055f8addb8eece144843412a390d7992a7db6c5473e9a7648f1bd742f06a0")</f>
        <v>fc4055f8addb8eece144843412a390d7992a7db6c5473e9a7648f1bd742f06a0</v>
      </c>
      <c r="I1611" s="1" t="s">
        <v>3417</v>
      </c>
      <c r="L1611" s="2" t="s">
        <v>3418</v>
      </c>
      <c r="M1611" s="2" t="n">
        <v>366016</v>
      </c>
      <c r="S1611" s="2" t="n">
        <v>1700</v>
      </c>
      <c r="T1611" s="2" t="n">
        <v>2200</v>
      </c>
    </row>
    <row r="1612" customFormat="false" ht="18.7" hidden="false" customHeight="true" outlineLevel="0" collapsed="false">
      <c r="A1612" s="1" t="n">
        <v>1611</v>
      </c>
      <c r="B1612" s="7" t="str">
        <f aca="false">HYPERLINK("https://mncourtfraud.com/file/27-CR-21-14266.pdf","27-CR-21-14266")</f>
        <v>27-CR-21-14266</v>
      </c>
      <c r="C1612" s="1" t="n">
        <v>5</v>
      </c>
      <c r="D1612" s="2" t="s">
        <v>267</v>
      </c>
      <c r="E1612" s="8" t="n">
        <v>45023</v>
      </c>
      <c r="F1612" s="2" t="s">
        <v>15</v>
      </c>
      <c r="G1612" s="7" t="str">
        <f aca="false">HYPERLINK("https://mncourtfraud.com/file/MCRO_27-CR-21-14266_Order-Evaluation for Competency to Proceed (Rule 20.01)_2023-04-07_20251126164851.pdf","MCRO_27-CR-21-14266_Order-Evaluation for Competency to Proceed (Rule 20.01)_2023-04-07_20251126164851.pdf")</f>
        <v>MCRO_27-CR-21-14266_Order-Evaluation for Competency to Proceed (Rule 20.01)_2023-04-07_20251126164851.pdf</v>
      </c>
      <c r="H1612" s="7" t="str">
        <f aca="false">HYPERLINK("https://mncourtfraud.com/file/3423d385ee64b92fe5dde6dfc56c847fc3fe999904e9fee4820de17bafdea970.jpg","3423d385ee64b92fe5dde6dfc56c847fc3fe999904e9fee4820de17bafdea970")</f>
        <v>3423d385ee64b92fe5dde6dfc56c847fc3fe999904e9fee4820de17bafdea970</v>
      </c>
      <c r="I1612" s="1" t="s">
        <v>3417</v>
      </c>
      <c r="L1612" s="2" t="s">
        <v>3418</v>
      </c>
      <c r="M1612" s="2" t="n">
        <v>516298</v>
      </c>
      <c r="S1612" s="2" t="n">
        <v>2550</v>
      </c>
      <c r="T1612" s="2" t="n">
        <v>3300</v>
      </c>
    </row>
    <row r="1613" customFormat="false" ht="18.7" hidden="false" customHeight="true" outlineLevel="0" collapsed="false">
      <c r="A1613" s="1" t="n">
        <v>1612</v>
      </c>
      <c r="B1613" s="7" t="str">
        <f aca="false">HYPERLINK("https://mncourtfraud.com/file/27-CR-21-14266.pdf","27-CR-21-14266")</f>
        <v>27-CR-21-14266</v>
      </c>
      <c r="C1613" s="1" t="n">
        <v>5</v>
      </c>
      <c r="D1613" s="2" t="s">
        <v>267</v>
      </c>
      <c r="E1613" s="8" t="n">
        <v>45023</v>
      </c>
      <c r="F1613" s="2" t="s">
        <v>15</v>
      </c>
      <c r="G1613" s="7" t="str">
        <f aca="false">HYPERLINK("https://mncourtfraud.com/file/MCRO_27-CR-21-14266_Order-Evaluation for Competency to Proceed (Rule 20.01)_2023-04-07_20251126164851.pdf","MCRO_27-CR-21-14266_Order-Evaluation for Competency to Proceed (Rule 20.01)_2023-04-07_20251126164851.pdf")</f>
        <v>MCRO_27-CR-21-14266_Order-Evaluation for Competency to Proceed (Rule 20.01)_2023-04-07_20251126164851.pdf</v>
      </c>
      <c r="H1613" s="7" t="str">
        <f aca="false">HYPERLINK("https://mncourtfraud.com/file/36eadf4ea7afe5f9338567b9213b465881ee86db6016c4c42dcd2f029356bd7c.ttf","36eadf4ea7afe5f9338567b9213b465881ee86db6016c4c42dcd2f029356bd7c")</f>
        <v>36eadf4ea7afe5f9338567b9213b465881ee86db6016c4c42dcd2f029356bd7c</v>
      </c>
      <c r="I1613" s="1" t="s">
        <v>3413</v>
      </c>
      <c r="L1613" s="2" t="s">
        <v>3415</v>
      </c>
      <c r="M1613" s="2" t="n">
        <v>333576</v>
      </c>
    </row>
    <row r="1614" customFormat="false" ht="18.7" hidden="false" customHeight="true" outlineLevel="0" collapsed="false">
      <c r="A1614" s="1" t="n">
        <v>1613</v>
      </c>
      <c r="B1614" s="7" t="str">
        <f aca="false">HYPERLINK("https://mncourtfraud.com/file/27-CR-21-14266.pdf","27-CR-21-14266")</f>
        <v>27-CR-21-14266</v>
      </c>
      <c r="C1614" s="1" t="n">
        <v>5</v>
      </c>
      <c r="D1614" s="2" t="s">
        <v>267</v>
      </c>
      <c r="E1614" s="8" t="n">
        <v>45023</v>
      </c>
      <c r="F1614" s="2" t="s">
        <v>15</v>
      </c>
      <c r="G1614" s="7" t="str">
        <f aca="false">HYPERLINK("https://mncourtfraud.com/file/MCRO_27-CR-21-14266_Order-Evaluation for Competency to Proceed (Rule 20.01)_2023-04-07_20251126164851.pdf","MCRO_27-CR-21-14266_Order-Evaluation for Competency to Proceed (Rule 20.01)_2023-04-07_20251126164851.pdf")</f>
        <v>MCRO_27-CR-21-14266_Order-Evaluation for Competency to Proceed (Rule 20.01)_2023-04-07_20251126164851.pdf</v>
      </c>
      <c r="H1614" s="7" t="str">
        <f aca="false">HYPERLINK("https://mncourtfraud.com/file/ba72e4147ccc26a677081d9a354af77646c3fde371ae2dc2739a89caec647067.jpg","ba72e4147ccc26a677081d9a354af77646c3fde371ae2dc2739a89caec647067")</f>
        <v>ba72e4147ccc26a677081d9a354af77646c3fde371ae2dc2739a89caec647067</v>
      </c>
      <c r="I1614" s="1" t="s">
        <v>3417</v>
      </c>
      <c r="L1614" s="2" t="s">
        <v>3418</v>
      </c>
      <c r="M1614" s="2" t="n">
        <v>646459</v>
      </c>
      <c r="S1614" s="2" t="n">
        <v>2550</v>
      </c>
      <c r="T1614" s="2" t="n">
        <v>3300</v>
      </c>
    </row>
    <row r="1615" customFormat="false" ht="18.7" hidden="false" customHeight="true" outlineLevel="0" collapsed="false">
      <c r="A1615" s="1" t="n">
        <v>1614</v>
      </c>
      <c r="B1615" s="7" t="str">
        <f aca="false">HYPERLINK("https://mncourtfraud.com/file/27-CR-21-14266.pdf","27-CR-21-14266")</f>
        <v>27-CR-21-14266</v>
      </c>
      <c r="C1615" s="1" t="n">
        <v>5</v>
      </c>
      <c r="D1615" s="2" t="s">
        <v>267</v>
      </c>
      <c r="E1615" s="8" t="n">
        <v>45194</v>
      </c>
      <c r="F1615" s="2" t="s">
        <v>15</v>
      </c>
      <c r="G1615" s="7" t="str">
        <f aca="false">HYPERLINK("https://mncourtfraud.com/file/MCRO_27-CR-21-14266_Order-Evaluation for Competency to Proceed (Rule 20.01)_2023-09-25_20251126164823.pdf","MCRO_27-CR-21-14266_Order-Evaluation for Competency to Proceed (Rule 20.01)_2023-09-25_20251126164823.pdf")</f>
        <v>MCRO_27-CR-21-14266_Order-Evaluation for Competency to Proceed (Rule 20.01)_2023-09-25_20251126164823.pdf</v>
      </c>
      <c r="H1615" s="7" t="str">
        <f aca="false">HYPERLINK("https://mncourtfraud.com/file/4c385f7ae8b1b78bc4ac3302e35eeaeb47e175305fd776c018ad0582a082d2f1.png","4c385f7ae8b1b78bc4ac3302e35eeaeb47e175305fd776c018ad0582a082d2f1")</f>
        <v>4c385f7ae8b1b78bc4ac3302e35eeaeb47e175305fd776c018ad0582a082d2f1</v>
      </c>
      <c r="I1615" s="1" t="s">
        <v>3406</v>
      </c>
      <c r="L1615" s="2" t="s">
        <v>3412</v>
      </c>
      <c r="M1615" s="2" t="n">
        <v>162309</v>
      </c>
      <c r="S1615" s="2" t="n">
        <v>2560</v>
      </c>
      <c r="T1615" s="2" t="n">
        <v>3300</v>
      </c>
    </row>
    <row r="1616" customFormat="false" ht="18.7" hidden="false" customHeight="true" outlineLevel="0" collapsed="false">
      <c r="A1616" s="1" t="n">
        <v>1615</v>
      </c>
      <c r="B1616" s="7" t="str">
        <f aca="false">HYPERLINK("https://mncourtfraud.com/file/27-CR-21-14266.pdf","27-CR-21-14266")</f>
        <v>27-CR-21-14266</v>
      </c>
      <c r="C1616" s="1" t="n">
        <v>5</v>
      </c>
      <c r="D1616" s="2" t="s">
        <v>267</v>
      </c>
      <c r="E1616" s="8" t="n">
        <v>45194</v>
      </c>
      <c r="F1616" s="2" t="s">
        <v>15</v>
      </c>
      <c r="G1616" s="7" t="str">
        <f aca="false">HYPERLINK("https://mncourtfraud.com/file/MCRO_27-CR-21-14266_Order-Evaluation for Competency to Proceed (Rule 20.01)_2023-09-25_20251126164823.pdf","MCRO_27-CR-21-14266_Order-Evaluation for Competency to Proceed (Rule 20.01)_2023-09-25_20251126164823.pdf")</f>
        <v>MCRO_27-CR-21-14266_Order-Evaluation for Competency to Proceed (Rule 20.01)_2023-09-25_20251126164823.pdf</v>
      </c>
      <c r="H1616" s="7" t="str">
        <f aca="false">HYPERLINK("https://mncourtfraud.com/file/9f61d1c86b92a1cfe4c2425ebe7c20689b4132fc43316fa8ae4829c07f8dccd6.ttf","9f61d1c86b92a1cfe4c2425ebe7c20689b4132fc43316fa8ae4829c07f8dccd6")</f>
        <v>9f61d1c86b92a1cfe4c2425ebe7c20689b4132fc43316fa8ae4829c07f8dccd6</v>
      </c>
      <c r="I1616" s="1" t="s">
        <v>3413</v>
      </c>
      <c r="L1616" s="2" t="s">
        <v>3415</v>
      </c>
      <c r="M1616" s="2" t="n">
        <v>333576</v>
      </c>
    </row>
    <row r="1617" customFormat="false" ht="18.7" hidden="false" customHeight="true" outlineLevel="0" collapsed="false">
      <c r="A1617" s="1" t="n">
        <v>1616</v>
      </c>
      <c r="B1617" s="7" t="str">
        <f aca="false">HYPERLINK("https://mncourtfraud.com/file/27-CR-21-14266.pdf","27-CR-21-14266")</f>
        <v>27-CR-21-14266</v>
      </c>
      <c r="C1617" s="1" t="n">
        <v>5</v>
      </c>
      <c r="D1617" s="2" t="s">
        <v>267</v>
      </c>
      <c r="E1617" s="8" t="n">
        <v>45194</v>
      </c>
      <c r="F1617" s="2" t="s">
        <v>15</v>
      </c>
      <c r="G1617" s="7" t="str">
        <f aca="false">HYPERLINK("https://mncourtfraud.com/file/MCRO_27-CR-21-14266_Order-Evaluation for Competency to Proceed (Rule 20.01)_2023-09-25_20251126164823.pdf","MCRO_27-CR-21-14266_Order-Evaluation for Competency to Proceed (Rule 20.01)_2023-09-25_20251126164823.pdf")</f>
        <v>MCRO_27-CR-21-14266_Order-Evaluation for Competency to Proceed (Rule 20.01)_2023-09-25_20251126164823.pdf</v>
      </c>
      <c r="H1617" s="7" t="str">
        <f aca="false">HYPERLINK("https://mncourtfraud.com/file/e8ec090484db08b3be9daaa10e2fef35a99135ae0a2f234de7613cfacc2f6cac.png","e8ec090484db08b3be9daaa10e2fef35a99135ae0a2f234de7613cfacc2f6cac")</f>
        <v>e8ec090484db08b3be9daaa10e2fef35a99135ae0a2f234de7613cfacc2f6cac</v>
      </c>
      <c r="I1617" s="1" t="s">
        <v>3406</v>
      </c>
      <c r="L1617" s="2" t="s">
        <v>3412</v>
      </c>
      <c r="M1617" s="2" t="n">
        <v>133015</v>
      </c>
      <c r="S1617" s="2" t="n">
        <v>2560</v>
      </c>
      <c r="T1617" s="2" t="n">
        <v>3300</v>
      </c>
    </row>
    <row r="1618" customFormat="false" ht="18.7" hidden="false" customHeight="true" outlineLevel="0" collapsed="false">
      <c r="A1618" s="1" t="n">
        <v>1617</v>
      </c>
      <c r="B1618" s="7" t="str">
        <f aca="false">HYPERLINK("https://mncourtfraud.com/file/27-CR-21-17656.pdf","27-CR-21-17656")</f>
        <v>27-CR-21-17656</v>
      </c>
      <c r="C1618" s="1" t="n">
        <v>5</v>
      </c>
      <c r="D1618" s="2" t="s">
        <v>267</v>
      </c>
      <c r="E1618" s="8" t="n">
        <v>44733</v>
      </c>
      <c r="F1618" s="2" t="s">
        <v>17</v>
      </c>
      <c r="G1618" s="7" t="str">
        <f aca="false">HYPERLINK("https://mncourtfraud.com/file/MCRO_27-CR-21-17656_Returned Mail_2022-06-21_20251126165007.pdf","MCRO_27-CR-21-17656_Returned Mail_2022-06-21_20251126165007.pdf")</f>
        <v>MCRO_27-CR-21-17656_Returned Mail_2022-06-21_20251126165007.pdf</v>
      </c>
      <c r="H1618" s="7" t="str">
        <f aca="false">HYPERLINK("https://mncourtfraud.com/file/a9900bc320d6f8f8e6faf6cb6a19d94fb75f155c51567cbc0c3ade5f0be1cf36.ttf","a9900bc320d6f8f8e6faf6cb6a19d94fb75f155c51567cbc0c3ade5f0be1cf36")</f>
        <v>a9900bc320d6f8f8e6faf6cb6a19d94fb75f155c51567cbc0c3ade5f0be1cf36</v>
      </c>
      <c r="I1618" s="1" t="s">
        <v>3413</v>
      </c>
      <c r="L1618" s="2" t="s">
        <v>3415</v>
      </c>
      <c r="M1618" s="2" t="n">
        <v>333584</v>
      </c>
    </row>
    <row r="1619" customFormat="false" ht="18.7" hidden="false" customHeight="true" outlineLevel="0" collapsed="false">
      <c r="A1619" s="1" t="n">
        <v>1618</v>
      </c>
      <c r="B1619" s="7" t="str">
        <f aca="false">HYPERLINK("https://mncourtfraud.com/file/27-CR-21-17656.pdf","27-CR-21-17656")</f>
        <v>27-CR-21-17656</v>
      </c>
      <c r="C1619" s="1" t="n">
        <v>5</v>
      </c>
      <c r="D1619" s="2" t="s">
        <v>267</v>
      </c>
      <c r="E1619" s="8" t="n">
        <v>44733</v>
      </c>
      <c r="F1619" s="2" t="s">
        <v>17</v>
      </c>
      <c r="G1619" s="7" t="str">
        <f aca="false">HYPERLINK("https://mncourtfraud.com/file/MCRO_27-CR-21-17656_Returned Mail_2022-06-21_20251126165007.pdf","MCRO_27-CR-21-17656_Returned Mail_2022-06-21_20251126165007.pdf")</f>
        <v>MCRO_27-CR-21-17656_Returned Mail_2022-06-21_20251126165007.pdf</v>
      </c>
      <c r="H1619" s="7" t="str">
        <f aca="false">HYPERLINK("https://mncourtfraud.com/file/ff8775b01064a21565185a32606f60efefdcc81fdffe3af20b8a06d10439e897.jpg","ff8775b01064a21565185a32606f60efefdcc81fdffe3af20b8a06d10439e897")</f>
        <v>ff8775b01064a21565185a32606f60efefdcc81fdffe3af20b8a06d10439e897</v>
      </c>
      <c r="I1619" s="1" t="s">
        <v>3417</v>
      </c>
      <c r="L1619" s="2" t="s">
        <v>3419</v>
      </c>
      <c r="M1619" s="2" t="n">
        <v>191047</v>
      </c>
      <c r="S1619" s="2" t="n">
        <v>2550</v>
      </c>
      <c r="T1619" s="2" t="n">
        <v>3300</v>
      </c>
    </row>
    <row r="1620" customFormat="false" ht="18.7" hidden="false" customHeight="true" outlineLevel="0" collapsed="false">
      <c r="A1620" s="1" t="n">
        <v>1619</v>
      </c>
      <c r="B1620" s="7" t="str">
        <f aca="false">HYPERLINK("https://mncourtfraud.com/file/27-CR-21-17656.pdf","27-CR-21-17656")</f>
        <v>27-CR-21-17656</v>
      </c>
      <c r="C1620" s="1" t="n">
        <v>5</v>
      </c>
      <c r="D1620" s="2" t="s">
        <v>267</v>
      </c>
      <c r="E1620" s="8" t="n">
        <v>44837</v>
      </c>
      <c r="F1620" s="2" t="s">
        <v>17</v>
      </c>
      <c r="G1620" s="7" t="str">
        <f aca="false">HYPERLINK("https://mncourtfraud.com/file/MCRO_27-CR-21-17656_Returned Mail_2022-10-03_20251126164949.pdf","MCRO_27-CR-21-17656_Returned Mail_2022-10-03_20251126164949.pdf")</f>
        <v>MCRO_27-CR-21-17656_Returned Mail_2022-10-03_20251126164949.pdf</v>
      </c>
      <c r="H1620" s="7" t="str">
        <f aca="false">HYPERLINK("https://mncourtfraud.com/file/237d5516e0c716146a65e7b2daf746fb6188c66f833317ba27cb286332d42dea.jpg","237d5516e0c716146a65e7b2daf746fb6188c66f833317ba27cb286332d42dea")</f>
        <v>237d5516e0c716146a65e7b2daf746fb6188c66f833317ba27cb286332d42dea</v>
      </c>
      <c r="I1620" s="1" t="s">
        <v>3417</v>
      </c>
      <c r="L1620" s="2" t="s">
        <v>3419</v>
      </c>
      <c r="M1620" s="2" t="n">
        <v>318425</v>
      </c>
      <c r="S1620" s="2" t="n">
        <v>2550</v>
      </c>
      <c r="T1620" s="2" t="n">
        <v>3300</v>
      </c>
    </row>
    <row r="1621" customFormat="false" ht="18.7" hidden="false" customHeight="true" outlineLevel="0" collapsed="false">
      <c r="A1621" s="1" t="n">
        <v>1620</v>
      </c>
      <c r="B1621" s="7" t="str">
        <f aca="false">HYPERLINK("https://mncourtfraud.com/file/27-CR-21-17656.pdf","27-CR-21-17656")</f>
        <v>27-CR-21-17656</v>
      </c>
      <c r="C1621" s="1" t="n">
        <v>5</v>
      </c>
      <c r="D1621" s="2" t="s">
        <v>267</v>
      </c>
      <c r="E1621" s="8" t="n">
        <v>44837</v>
      </c>
      <c r="F1621" s="2" t="s">
        <v>17</v>
      </c>
      <c r="G1621" s="7" t="str">
        <f aca="false">HYPERLINK("https://mncourtfraud.com/file/MCRO_27-CR-21-17656_Returned Mail_2022-10-03_20251126164949.pdf","MCRO_27-CR-21-17656_Returned Mail_2022-10-03_20251126164949.pdf")</f>
        <v>MCRO_27-CR-21-17656_Returned Mail_2022-10-03_20251126164949.pdf</v>
      </c>
      <c r="H1621" s="7" t="str">
        <f aca="false">HYPERLINK("https://mncourtfraud.com/file/a5e5c392eb46244eb2f6cb58ac26cd8ceafb56d6f16b754ee26ba4f3c1b3b729.ttf","a5e5c392eb46244eb2f6cb58ac26cd8ceafb56d6f16b754ee26ba4f3c1b3b729")</f>
        <v>a5e5c392eb46244eb2f6cb58ac26cd8ceafb56d6f16b754ee26ba4f3c1b3b729</v>
      </c>
      <c r="I1621" s="1" t="s">
        <v>3413</v>
      </c>
      <c r="L1621" s="2" t="s">
        <v>3415</v>
      </c>
      <c r="M1621" s="2" t="n">
        <v>333584</v>
      </c>
    </row>
    <row r="1622" customFormat="false" ht="18.7" hidden="false" customHeight="true" outlineLevel="0" collapsed="false">
      <c r="A1622" s="1" t="n">
        <v>1621</v>
      </c>
      <c r="B1622" s="7" t="str">
        <f aca="false">HYPERLINK("https://mncourtfraud.com/file/27-CR-21-17656.pdf","27-CR-21-17656")</f>
        <v>27-CR-21-17656</v>
      </c>
      <c r="C1622" s="1" t="n">
        <v>5</v>
      </c>
      <c r="D1622" s="2" t="s">
        <v>267</v>
      </c>
      <c r="E1622" s="8" t="n">
        <v>44873</v>
      </c>
      <c r="F1622" s="2" t="s">
        <v>15</v>
      </c>
      <c r="G1622" s="7" t="str">
        <f aca="false">HYPERLINK("https://mncourtfraud.com/file/MCRO_27-CR-21-17656_Order-Evaluation for Competency to Proceed (Rule 20.01)_2022-11-08_20251126165032.pdf","MCRO_27-CR-21-17656_Order-Evaluation for Competency to Proceed (Rule 20.01)_2022-11-08_20251126165032.pdf")</f>
        <v>MCRO_27-CR-21-17656_Order-Evaluation for Competency to Proceed (Rule 20.01)_2022-11-08_20251126165032.pdf</v>
      </c>
      <c r="H1622" s="7" t="str">
        <f aca="false">HYPERLINK("https://mncourtfraud.com/file/082f387ba4835f1cae3d2529d7afa13cbb922baebe03519ee43d2c14358c2398.jpg","082f387ba4835f1cae3d2529d7afa13cbb922baebe03519ee43d2c14358c2398")</f>
        <v>082f387ba4835f1cae3d2529d7afa13cbb922baebe03519ee43d2c14358c2398</v>
      </c>
      <c r="I1622" s="1" t="s">
        <v>3417</v>
      </c>
      <c r="L1622" s="2" t="s">
        <v>3418</v>
      </c>
      <c r="M1622" s="2" t="n">
        <v>300734</v>
      </c>
      <c r="S1622" s="2" t="n">
        <v>1700</v>
      </c>
      <c r="T1622" s="2" t="n">
        <v>2200</v>
      </c>
    </row>
    <row r="1623" customFormat="false" ht="18.7" hidden="false" customHeight="true" outlineLevel="0" collapsed="false">
      <c r="A1623" s="1" t="n">
        <v>1622</v>
      </c>
      <c r="B1623" s="7" t="str">
        <f aca="false">HYPERLINK("https://mncourtfraud.com/file/27-CR-21-17656.pdf","27-CR-21-17656")</f>
        <v>27-CR-21-17656</v>
      </c>
      <c r="C1623" s="1" t="n">
        <v>5</v>
      </c>
      <c r="D1623" s="2" t="s">
        <v>267</v>
      </c>
      <c r="E1623" s="8" t="n">
        <v>44873</v>
      </c>
      <c r="F1623" s="2" t="s">
        <v>15</v>
      </c>
      <c r="G1623" s="7" t="str">
        <f aca="false">HYPERLINK("https://mncourtfraud.com/file/MCRO_27-CR-21-17656_Order-Evaluation for Competency to Proceed (Rule 20.01)_2022-11-08_20251126165032.pdf","MCRO_27-CR-21-17656_Order-Evaluation for Competency to Proceed (Rule 20.01)_2022-11-08_20251126165032.pdf")</f>
        <v>MCRO_27-CR-21-17656_Order-Evaluation for Competency to Proceed (Rule 20.01)_2022-11-08_20251126165032.pdf</v>
      </c>
      <c r="H1623" s="7" t="str">
        <f aca="false">HYPERLINK("https://mncourtfraud.com/file/5ec6a5633be2d5f7201fcc405ec826928f8ebd9d0f347fee056c3ff04cd3e3d7.ttf","5ec6a5633be2d5f7201fcc405ec826928f8ebd9d0f347fee056c3ff04cd3e3d7")</f>
        <v>5ec6a5633be2d5f7201fcc405ec826928f8ebd9d0f347fee056c3ff04cd3e3d7</v>
      </c>
      <c r="I1623" s="1" t="s">
        <v>3413</v>
      </c>
      <c r="L1623" s="2" t="s">
        <v>3415</v>
      </c>
      <c r="M1623" s="2" t="n">
        <v>333576</v>
      </c>
    </row>
    <row r="1624" customFormat="false" ht="18.7" hidden="false" customHeight="true" outlineLevel="0" collapsed="false">
      <c r="A1624" s="1" t="n">
        <v>1623</v>
      </c>
      <c r="B1624" s="7" t="str">
        <f aca="false">HYPERLINK("https://mncourtfraud.com/file/27-CR-21-17656.pdf","27-CR-21-17656")</f>
        <v>27-CR-21-17656</v>
      </c>
      <c r="C1624" s="1" t="n">
        <v>5</v>
      </c>
      <c r="D1624" s="2" t="s">
        <v>267</v>
      </c>
      <c r="E1624" s="8" t="n">
        <v>44873</v>
      </c>
      <c r="F1624" s="2" t="s">
        <v>15</v>
      </c>
      <c r="G1624" s="7" t="str">
        <f aca="false">HYPERLINK("https://mncourtfraud.com/file/MCRO_27-CR-21-17656_Order-Evaluation for Competency to Proceed (Rule 20.01)_2022-11-08_20251126165032.pdf","MCRO_27-CR-21-17656_Order-Evaluation for Competency to Proceed (Rule 20.01)_2022-11-08_20251126165032.pdf")</f>
        <v>MCRO_27-CR-21-17656_Order-Evaluation for Competency to Proceed (Rule 20.01)_2022-11-08_20251126165032.pdf</v>
      </c>
      <c r="H1624" s="7" t="str">
        <f aca="false">HYPERLINK("https://mncourtfraud.com/file/6efe5689334238d45a24a51d7cd932b18f0bce47806d862dbcc29a63132d5402.jpg","6efe5689334238d45a24a51d7cd932b18f0bce47806d862dbcc29a63132d5402")</f>
        <v>6efe5689334238d45a24a51d7cd932b18f0bce47806d862dbcc29a63132d5402</v>
      </c>
      <c r="I1624" s="1" t="s">
        <v>3417</v>
      </c>
      <c r="L1624" s="2" t="s">
        <v>3418</v>
      </c>
      <c r="M1624" s="2" t="n">
        <v>59609</v>
      </c>
      <c r="S1624" s="2" t="n">
        <v>1700</v>
      </c>
      <c r="T1624" s="2" t="n">
        <v>2200</v>
      </c>
    </row>
    <row r="1625" customFormat="false" ht="18.7" hidden="false" customHeight="true" outlineLevel="0" collapsed="false">
      <c r="A1625" s="1" t="n">
        <v>1624</v>
      </c>
      <c r="B1625" s="7" t="str">
        <f aca="false">HYPERLINK("https://mncourtfraud.com/file/27-CR-21-17656.pdf","27-CR-21-17656")</f>
        <v>27-CR-21-17656</v>
      </c>
      <c r="C1625" s="1" t="n">
        <v>5</v>
      </c>
      <c r="D1625" s="2" t="s">
        <v>267</v>
      </c>
      <c r="E1625" s="8" t="n">
        <v>44873</v>
      </c>
      <c r="F1625" s="2" t="s">
        <v>15</v>
      </c>
      <c r="G1625" s="7" t="str">
        <f aca="false">HYPERLINK("https://mncourtfraud.com/file/MCRO_27-CR-21-17656_Order-Evaluation for Competency to Proceed (Rule 20.01)_2022-11-08_20251126165032.pdf","MCRO_27-CR-21-17656_Order-Evaluation for Competency to Proceed (Rule 20.01)_2022-11-08_20251126165032.pdf")</f>
        <v>MCRO_27-CR-21-17656_Order-Evaluation for Competency to Proceed (Rule 20.01)_2022-11-08_20251126165032.pdf</v>
      </c>
      <c r="H1625" s="7" t="str">
        <f aca="false">HYPERLINK("https://mncourtfraud.com/file/fc4055f8addb8eece144843412a390d7992a7db6c5473e9a7648f1bd742f06a0.jpg","fc4055f8addb8eece144843412a390d7992a7db6c5473e9a7648f1bd742f06a0")</f>
        <v>fc4055f8addb8eece144843412a390d7992a7db6c5473e9a7648f1bd742f06a0</v>
      </c>
      <c r="I1625" s="1" t="s">
        <v>3417</v>
      </c>
      <c r="L1625" s="2" t="s">
        <v>3418</v>
      </c>
      <c r="M1625" s="2" t="n">
        <v>366016</v>
      </c>
      <c r="S1625" s="2" t="n">
        <v>1700</v>
      </c>
      <c r="T1625" s="2" t="n">
        <v>2200</v>
      </c>
    </row>
    <row r="1626" customFormat="false" ht="18.7" hidden="false" customHeight="true" outlineLevel="0" collapsed="false">
      <c r="A1626" s="1" t="n">
        <v>1625</v>
      </c>
      <c r="B1626" s="7" t="str">
        <f aca="false">HYPERLINK("https://mncourtfraud.com/file/27-CR-21-17656.pdf","27-CR-21-17656")</f>
        <v>27-CR-21-17656</v>
      </c>
      <c r="C1626" s="1" t="n">
        <v>5</v>
      </c>
      <c r="D1626" s="2" t="s">
        <v>267</v>
      </c>
      <c r="E1626" s="8" t="n">
        <v>45023</v>
      </c>
      <c r="F1626" s="2" t="s">
        <v>15</v>
      </c>
      <c r="G1626" s="7" t="str">
        <f aca="false">HYPERLINK("https://mncourtfraud.com/file/MCRO_27-CR-21-17656_Order-Evaluation for Competency to Proceed (Rule 20.01)_2023-04-07_20251126165044.pdf","MCRO_27-CR-21-17656_Order-Evaluation for Competency to Proceed (Rule 20.01)_2023-04-07_20251126165044.pdf")</f>
        <v>MCRO_27-CR-21-17656_Order-Evaluation for Competency to Proceed (Rule 20.01)_2023-04-07_20251126165044.pdf</v>
      </c>
      <c r="H1626" s="7" t="str">
        <f aca="false">HYPERLINK("https://mncourtfraud.com/file/30acc57519cbb88e0c2c217d2b9200e67e976a63daf250baf192e8879edb0ffb.jpg","30acc57519cbb88e0c2c217d2b9200e67e976a63daf250baf192e8879edb0ffb")</f>
        <v>30acc57519cbb88e0c2c217d2b9200e67e976a63daf250baf192e8879edb0ffb</v>
      </c>
      <c r="I1626" s="1" t="s">
        <v>3417</v>
      </c>
      <c r="L1626" s="2" t="s">
        <v>3418</v>
      </c>
      <c r="M1626" s="2" t="n">
        <v>642083</v>
      </c>
      <c r="S1626" s="2" t="n">
        <v>2550</v>
      </c>
      <c r="T1626" s="2" t="n">
        <v>3300</v>
      </c>
    </row>
    <row r="1627" customFormat="false" ht="18.7" hidden="false" customHeight="true" outlineLevel="0" collapsed="false">
      <c r="A1627" s="1" t="n">
        <v>1626</v>
      </c>
      <c r="B1627" s="7" t="str">
        <f aca="false">HYPERLINK("https://mncourtfraud.com/file/27-CR-21-17656.pdf","27-CR-21-17656")</f>
        <v>27-CR-21-17656</v>
      </c>
      <c r="C1627" s="1" t="n">
        <v>5</v>
      </c>
      <c r="D1627" s="2" t="s">
        <v>267</v>
      </c>
      <c r="E1627" s="8" t="n">
        <v>45023</v>
      </c>
      <c r="F1627" s="2" t="s">
        <v>15</v>
      </c>
      <c r="G1627" s="7" t="str">
        <f aca="false">HYPERLINK("https://mncourtfraud.com/file/MCRO_27-CR-21-17656_Order-Evaluation for Competency to Proceed (Rule 20.01)_2023-04-07_20251126165044.pdf","MCRO_27-CR-21-17656_Order-Evaluation for Competency to Proceed (Rule 20.01)_2023-04-07_20251126165044.pdf")</f>
        <v>MCRO_27-CR-21-17656_Order-Evaluation for Competency to Proceed (Rule 20.01)_2023-04-07_20251126165044.pdf</v>
      </c>
      <c r="H1627" s="7" t="str">
        <f aca="false">HYPERLINK("https://mncourtfraud.com/file/5194579924fe6671f743eacd5875565e5d1d5e685a19315b2c50cba841dd3b48.jpg","5194579924fe6671f743eacd5875565e5d1d5e685a19315b2c50cba841dd3b48")</f>
        <v>5194579924fe6671f743eacd5875565e5d1d5e685a19315b2c50cba841dd3b48</v>
      </c>
      <c r="I1627" s="1" t="s">
        <v>3417</v>
      </c>
      <c r="L1627" s="2" t="s">
        <v>3418</v>
      </c>
      <c r="M1627" s="2" t="n">
        <v>513917</v>
      </c>
      <c r="S1627" s="2" t="n">
        <v>2550</v>
      </c>
      <c r="T1627" s="2" t="n">
        <v>3300</v>
      </c>
    </row>
    <row r="1628" customFormat="false" ht="18.7" hidden="false" customHeight="true" outlineLevel="0" collapsed="false">
      <c r="A1628" s="1" t="n">
        <v>1627</v>
      </c>
      <c r="B1628" s="7" t="str">
        <f aca="false">HYPERLINK("https://mncourtfraud.com/file/27-CR-21-17656.pdf","27-CR-21-17656")</f>
        <v>27-CR-21-17656</v>
      </c>
      <c r="C1628" s="1" t="n">
        <v>5</v>
      </c>
      <c r="D1628" s="2" t="s">
        <v>267</v>
      </c>
      <c r="E1628" s="8" t="n">
        <v>45023</v>
      </c>
      <c r="F1628" s="2" t="s">
        <v>15</v>
      </c>
      <c r="G1628" s="7" t="str">
        <f aca="false">HYPERLINK("https://mncourtfraud.com/file/MCRO_27-CR-21-17656_Order-Evaluation for Competency to Proceed (Rule 20.01)_2023-04-07_20251126165044.pdf","MCRO_27-CR-21-17656_Order-Evaluation for Competency to Proceed (Rule 20.01)_2023-04-07_20251126165044.pdf")</f>
        <v>MCRO_27-CR-21-17656_Order-Evaluation for Competency to Proceed (Rule 20.01)_2023-04-07_20251126165044.pdf</v>
      </c>
      <c r="H1628" s="7" t="str">
        <f aca="false">HYPERLINK("https://mncourtfraud.com/file/ea9af736a80d31de41ae5b0e7b3523dc9a6bd705b59262f58302b40163572f25.ttf","ea9af736a80d31de41ae5b0e7b3523dc9a6bd705b59262f58302b40163572f25")</f>
        <v>ea9af736a80d31de41ae5b0e7b3523dc9a6bd705b59262f58302b40163572f25</v>
      </c>
      <c r="I1628" s="1" t="s">
        <v>3413</v>
      </c>
      <c r="L1628" s="2" t="s">
        <v>3415</v>
      </c>
      <c r="M1628" s="2" t="n">
        <v>8688</v>
      </c>
    </row>
    <row r="1629" customFormat="false" ht="18.7" hidden="false" customHeight="true" outlineLevel="0" collapsed="false">
      <c r="A1629" s="1" t="n">
        <v>1628</v>
      </c>
      <c r="B1629" s="7" t="str">
        <f aca="false">HYPERLINK("https://mncourtfraud.com/file/27-CR-21-17656.pdf","27-CR-21-17656")</f>
        <v>27-CR-21-17656</v>
      </c>
      <c r="C1629" s="1" t="n">
        <v>5</v>
      </c>
      <c r="D1629" s="2" t="s">
        <v>267</v>
      </c>
      <c r="E1629" s="8" t="n">
        <v>45194</v>
      </c>
      <c r="F1629" s="2" t="s">
        <v>15</v>
      </c>
      <c r="G1629" s="7" t="str">
        <f aca="false">HYPERLINK("https://mncourtfraud.com/file/MCRO_27-CR-21-17656_Order-Evaluation for Competency to Proceed (Rule 20.01)_2023-09-25_20251126165021.pdf","MCRO_27-CR-21-17656_Order-Evaluation for Competency to Proceed (Rule 20.01)_2023-09-25_20251126165021.pdf")</f>
        <v>MCRO_27-CR-21-17656_Order-Evaluation for Competency to Proceed (Rule 20.01)_2023-09-25_20251126165021.pdf</v>
      </c>
      <c r="H1629" s="7" t="str">
        <f aca="false">HYPERLINK("https://mncourtfraud.com/file/4c385f7ae8b1b78bc4ac3302e35eeaeb47e175305fd776c018ad0582a082d2f1.png","4c385f7ae8b1b78bc4ac3302e35eeaeb47e175305fd776c018ad0582a082d2f1")</f>
        <v>4c385f7ae8b1b78bc4ac3302e35eeaeb47e175305fd776c018ad0582a082d2f1</v>
      </c>
      <c r="I1629" s="1" t="s">
        <v>3406</v>
      </c>
      <c r="L1629" s="2" t="s">
        <v>3412</v>
      </c>
      <c r="M1629" s="2" t="n">
        <v>162309</v>
      </c>
      <c r="S1629" s="2" t="n">
        <v>2560</v>
      </c>
      <c r="T1629" s="2" t="n">
        <v>3300</v>
      </c>
    </row>
    <row r="1630" customFormat="false" ht="18.7" hidden="false" customHeight="true" outlineLevel="0" collapsed="false">
      <c r="A1630" s="1" t="n">
        <v>1629</v>
      </c>
      <c r="B1630" s="7" t="str">
        <f aca="false">HYPERLINK("https://mncourtfraud.com/file/27-CR-21-17656.pdf","27-CR-21-17656")</f>
        <v>27-CR-21-17656</v>
      </c>
      <c r="C1630" s="1" t="n">
        <v>5</v>
      </c>
      <c r="D1630" s="2" t="s">
        <v>267</v>
      </c>
      <c r="E1630" s="8" t="n">
        <v>45194</v>
      </c>
      <c r="F1630" s="2" t="s">
        <v>15</v>
      </c>
      <c r="G1630" s="7" t="str">
        <f aca="false">HYPERLINK("https://mncourtfraud.com/file/MCRO_27-CR-21-17656_Order-Evaluation for Competency to Proceed (Rule 20.01)_2023-09-25_20251126165021.pdf","MCRO_27-CR-21-17656_Order-Evaluation for Competency to Proceed (Rule 20.01)_2023-09-25_20251126165021.pdf")</f>
        <v>MCRO_27-CR-21-17656_Order-Evaluation for Competency to Proceed (Rule 20.01)_2023-09-25_20251126165021.pdf</v>
      </c>
      <c r="H1630" s="7" t="str">
        <f aca="false">HYPERLINK("https://mncourtfraud.com/file/9f61d1c86b92a1cfe4c2425ebe7c20689b4132fc43316fa8ae4829c07f8dccd6.ttf","9f61d1c86b92a1cfe4c2425ebe7c20689b4132fc43316fa8ae4829c07f8dccd6")</f>
        <v>9f61d1c86b92a1cfe4c2425ebe7c20689b4132fc43316fa8ae4829c07f8dccd6</v>
      </c>
      <c r="I1630" s="1" t="s">
        <v>3413</v>
      </c>
      <c r="L1630" s="2" t="s">
        <v>3415</v>
      </c>
      <c r="M1630" s="2" t="n">
        <v>333576</v>
      </c>
    </row>
    <row r="1631" customFormat="false" ht="18.7" hidden="false" customHeight="true" outlineLevel="0" collapsed="false">
      <c r="A1631" s="1" t="n">
        <v>1630</v>
      </c>
      <c r="B1631" s="7" t="str">
        <f aca="false">HYPERLINK("https://mncourtfraud.com/file/27-CR-21-17656.pdf","27-CR-21-17656")</f>
        <v>27-CR-21-17656</v>
      </c>
      <c r="C1631" s="1" t="n">
        <v>5</v>
      </c>
      <c r="D1631" s="2" t="s">
        <v>267</v>
      </c>
      <c r="E1631" s="8" t="n">
        <v>45194</v>
      </c>
      <c r="F1631" s="2" t="s">
        <v>15</v>
      </c>
      <c r="G1631" s="7" t="str">
        <f aca="false">HYPERLINK("https://mncourtfraud.com/file/MCRO_27-CR-21-17656_Order-Evaluation for Competency to Proceed (Rule 20.01)_2023-09-25_20251126165021.pdf","MCRO_27-CR-21-17656_Order-Evaluation for Competency to Proceed (Rule 20.01)_2023-09-25_20251126165021.pdf")</f>
        <v>MCRO_27-CR-21-17656_Order-Evaluation for Competency to Proceed (Rule 20.01)_2023-09-25_20251126165021.pdf</v>
      </c>
      <c r="H1631" s="7" t="str">
        <f aca="false">HYPERLINK("https://mncourtfraud.com/file/e8ec090484db08b3be9daaa10e2fef35a99135ae0a2f234de7613cfacc2f6cac.png","e8ec090484db08b3be9daaa10e2fef35a99135ae0a2f234de7613cfacc2f6cac")</f>
        <v>e8ec090484db08b3be9daaa10e2fef35a99135ae0a2f234de7613cfacc2f6cac</v>
      </c>
      <c r="I1631" s="1" t="s">
        <v>3406</v>
      </c>
      <c r="L1631" s="2" t="s">
        <v>3412</v>
      </c>
      <c r="M1631" s="2" t="n">
        <v>133015</v>
      </c>
      <c r="S1631" s="2" t="n">
        <v>2560</v>
      </c>
      <c r="T1631" s="2" t="n">
        <v>3300</v>
      </c>
    </row>
    <row r="1632" customFormat="false" ht="18.7" hidden="false" customHeight="true" outlineLevel="0" collapsed="false">
      <c r="A1632" s="1" t="n">
        <v>1631</v>
      </c>
      <c r="B1632" s="7" t="str">
        <f aca="false">HYPERLINK("https://mncourtfraud.com/file/27-CR-21-21707.pdf","27-CR-21-21707")</f>
        <v>27-CR-21-21707</v>
      </c>
      <c r="C1632" s="1" t="n">
        <v>5</v>
      </c>
      <c r="D1632" s="2" t="s">
        <v>267</v>
      </c>
      <c r="E1632" s="8" t="n">
        <v>44733</v>
      </c>
      <c r="F1632" s="2" t="s">
        <v>17</v>
      </c>
      <c r="G1632" s="7" t="str">
        <f aca="false">HYPERLINK("https://mncourtfraud.com/file/MCRO_27-CR-21-21707_Returned Mail_2022-06-21_20251126165201.pdf","MCRO_27-CR-21-21707_Returned Mail_2022-06-21_20251126165201.pdf")</f>
        <v>MCRO_27-CR-21-21707_Returned Mail_2022-06-21_20251126165201.pdf</v>
      </c>
      <c r="H1632" s="7" t="str">
        <f aca="false">HYPERLINK("https://mncourtfraud.com/file/a9900bc320d6f8f8e6faf6cb6a19d94fb75f155c51567cbc0c3ade5f0be1cf36.ttf","a9900bc320d6f8f8e6faf6cb6a19d94fb75f155c51567cbc0c3ade5f0be1cf36")</f>
        <v>a9900bc320d6f8f8e6faf6cb6a19d94fb75f155c51567cbc0c3ade5f0be1cf36</v>
      </c>
      <c r="I1632" s="1" t="s">
        <v>3413</v>
      </c>
      <c r="L1632" s="2" t="s">
        <v>3415</v>
      </c>
      <c r="M1632" s="2" t="n">
        <v>333584</v>
      </c>
    </row>
    <row r="1633" customFormat="false" ht="18.7" hidden="false" customHeight="true" outlineLevel="0" collapsed="false">
      <c r="A1633" s="1" t="n">
        <v>1632</v>
      </c>
      <c r="B1633" s="7" t="str">
        <f aca="false">HYPERLINK("https://mncourtfraud.com/file/27-CR-21-21707.pdf","27-CR-21-21707")</f>
        <v>27-CR-21-21707</v>
      </c>
      <c r="C1633" s="1" t="n">
        <v>5</v>
      </c>
      <c r="D1633" s="2" t="s">
        <v>267</v>
      </c>
      <c r="E1633" s="8" t="n">
        <v>44733</v>
      </c>
      <c r="F1633" s="2" t="s">
        <v>17</v>
      </c>
      <c r="G1633" s="7" t="str">
        <f aca="false">HYPERLINK("https://mncourtfraud.com/file/MCRO_27-CR-21-21707_Returned Mail_2022-06-21_20251126165201.pdf","MCRO_27-CR-21-21707_Returned Mail_2022-06-21_20251126165201.pdf")</f>
        <v>MCRO_27-CR-21-21707_Returned Mail_2022-06-21_20251126165201.pdf</v>
      </c>
      <c r="H1633" s="7" t="str">
        <f aca="false">HYPERLINK("https://mncourtfraud.com/file/ff8775b01064a21565185a32606f60efefdcc81fdffe3af20b8a06d10439e897.jpg","ff8775b01064a21565185a32606f60efefdcc81fdffe3af20b8a06d10439e897")</f>
        <v>ff8775b01064a21565185a32606f60efefdcc81fdffe3af20b8a06d10439e897</v>
      </c>
      <c r="I1633" s="1" t="s">
        <v>3417</v>
      </c>
      <c r="L1633" s="2" t="s">
        <v>3419</v>
      </c>
      <c r="M1633" s="2" t="n">
        <v>191047</v>
      </c>
      <c r="S1633" s="2" t="n">
        <v>2550</v>
      </c>
      <c r="T1633" s="2" t="n">
        <v>3300</v>
      </c>
    </row>
    <row r="1634" customFormat="false" ht="18.7" hidden="false" customHeight="true" outlineLevel="0" collapsed="false">
      <c r="A1634" s="1" t="n">
        <v>1633</v>
      </c>
      <c r="B1634" s="7" t="str">
        <f aca="false">HYPERLINK("https://mncourtfraud.com/file/27-CR-21-21707.pdf","27-CR-21-21707")</f>
        <v>27-CR-21-21707</v>
      </c>
      <c r="C1634" s="1" t="n">
        <v>5</v>
      </c>
      <c r="D1634" s="2" t="s">
        <v>267</v>
      </c>
      <c r="E1634" s="8" t="n">
        <v>44837</v>
      </c>
      <c r="F1634" s="2" t="s">
        <v>17</v>
      </c>
      <c r="G1634" s="7" t="str">
        <f aca="false">HYPERLINK("https://mncourtfraud.com/file/MCRO_27-CR-21-21707_Returned Mail_2022-10-03_20251126165146.pdf","MCRO_27-CR-21-21707_Returned Mail_2022-10-03_20251126165146.pdf")</f>
        <v>MCRO_27-CR-21-21707_Returned Mail_2022-10-03_20251126165146.pdf</v>
      </c>
      <c r="H1634" s="7" t="str">
        <f aca="false">HYPERLINK("https://mncourtfraud.com/file/237d5516e0c716146a65e7b2daf746fb6188c66f833317ba27cb286332d42dea.jpg","237d5516e0c716146a65e7b2daf746fb6188c66f833317ba27cb286332d42dea")</f>
        <v>237d5516e0c716146a65e7b2daf746fb6188c66f833317ba27cb286332d42dea</v>
      </c>
      <c r="I1634" s="1" t="s">
        <v>3417</v>
      </c>
      <c r="L1634" s="2" t="s">
        <v>3419</v>
      </c>
      <c r="M1634" s="2" t="n">
        <v>318425</v>
      </c>
      <c r="S1634" s="2" t="n">
        <v>2550</v>
      </c>
      <c r="T1634" s="2" t="n">
        <v>3300</v>
      </c>
    </row>
    <row r="1635" customFormat="false" ht="18.7" hidden="false" customHeight="true" outlineLevel="0" collapsed="false">
      <c r="A1635" s="1" t="n">
        <v>1634</v>
      </c>
      <c r="B1635" s="7" t="str">
        <f aca="false">HYPERLINK("https://mncourtfraud.com/file/27-CR-21-21707.pdf","27-CR-21-21707")</f>
        <v>27-CR-21-21707</v>
      </c>
      <c r="C1635" s="1" t="n">
        <v>5</v>
      </c>
      <c r="D1635" s="2" t="s">
        <v>267</v>
      </c>
      <c r="E1635" s="8" t="n">
        <v>44837</v>
      </c>
      <c r="F1635" s="2" t="s">
        <v>17</v>
      </c>
      <c r="G1635" s="7" t="str">
        <f aca="false">HYPERLINK("https://mncourtfraud.com/file/MCRO_27-CR-21-21707_Returned Mail_2022-10-03_20251126165146.pdf","MCRO_27-CR-21-21707_Returned Mail_2022-10-03_20251126165146.pdf")</f>
        <v>MCRO_27-CR-21-21707_Returned Mail_2022-10-03_20251126165146.pdf</v>
      </c>
      <c r="H1635" s="7" t="str">
        <f aca="false">HYPERLINK("https://mncourtfraud.com/file/a5e5c392eb46244eb2f6cb58ac26cd8ceafb56d6f16b754ee26ba4f3c1b3b729.ttf","a5e5c392eb46244eb2f6cb58ac26cd8ceafb56d6f16b754ee26ba4f3c1b3b729")</f>
        <v>a5e5c392eb46244eb2f6cb58ac26cd8ceafb56d6f16b754ee26ba4f3c1b3b729</v>
      </c>
      <c r="I1635" s="1" t="s">
        <v>3413</v>
      </c>
      <c r="L1635" s="2" t="s">
        <v>3415</v>
      </c>
      <c r="M1635" s="2" t="n">
        <v>333584</v>
      </c>
    </row>
    <row r="1636" customFormat="false" ht="18.7" hidden="false" customHeight="true" outlineLevel="0" collapsed="false">
      <c r="A1636" s="1" t="n">
        <v>1635</v>
      </c>
      <c r="B1636" s="7" t="str">
        <f aca="false">HYPERLINK("https://mncourtfraud.com/file/27-CR-21-21707.pdf","27-CR-21-21707")</f>
        <v>27-CR-21-21707</v>
      </c>
      <c r="C1636" s="1" t="n">
        <v>5</v>
      </c>
      <c r="D1636" s="2" t="s">
        <v>267</v>
      </c>
      <c r="E1636" s="8" t="n">
        <v>44873</v>
      </c>
      <c r="F1636" s="2" t="s">
        <v>15</v>
      </c>
      <c r="G1636" s="7" t="str">
        <f aca="false">HYPERLINK("https://mncourtfraud.com/file/MCRO_27-CR-21-21707_Order-Evaluation for Competency to Proceed (Rule 20.01)_2022-11-08_20251126165112.pdf","MCRO_27-CR-21-21707_Order-Evaluation for Competency to Proceed (Rule 20.01)_2022-11-08_20251126165112.pdf")</f>
        <v>MCRO_27-CR-21-21707_Order-Evaluation for Competency to Proceed (Rule 20.01)_2022-11-08_20251126165112.pdf</v>
      </c>
      <c r="H1636" s="7" t="str">
        <f aca="false">HYPERLINK("https://mncourtfraud.com/file/082f387ba4835f1cae3d2529d7afa13cbb922baebe03519ee43d2c14358c2398.jpg","082f387ba4835f1cae3d2529d7afa13cbb922baebe03519ee43d2c14358c2398")</f>
        <v>082f387ba4835f1cae3d2529d7afa13cbb922baebe03519ee43d2c14358c2398</v>
      </c>
      <c r="I1636" s="1" t="s">
        <v>3417</v>
      </c>
      <c r="L1636" s="2" t="s">
        <v>3418</v>
      </c>
      <c r="M1636" s="2" t="n">
        <v>300734</v>
      </c>
      <c r="S1636" s="2" t="n">
        <v>1700</v>
      </c>
      <c r="T1636" s="2" t="n">
        <v>2200</v>
      </c>
    </row>
    <row r="1637" customFormat="false" ht="18.7" hidden="false" customHeight="true" outlineLevel="0" collapsed="false">
      <c r="A1637" s="1" t="n">
        <v>1636</v>
      </c>
      <c r="B1637" s="7" t="str">
        <f aca="false">HYPERLINK("https://mncourtfraud.com/file/27-CR-21-21707.pdf","27-CR-21-21707")</f>
        <v>27-CR-21-21707</v>
      </c>
      <c r="C1637" s="1" t="n">
        <v>5</v>
      </c>
      <c r="D1637" s="2" t="s">
        <v>267</v>
      </c>
      <c r="E1637" s="8" t="n">
        <v>44873</v>
      </c>
      <c r="F1637" s="2" t="s">
        <v>15</v>
      </c>
      <c r="G1637" s="7" t="str">
        <f aca="false">HYPERLINK("https://mncourtfraud.com/file/MCRO_27-CR-21-21707_Order-Evaluation for Competency to Proceed (Rule 20.01)_2022-11-08_20251126165112.pdf","MCRO_27-CR-21-21707_Order-Evaluation for Competency to Proceed (Rule 20.01)_2022-11-08_20251126165112.pdf")</f>
        <v>MCRO_27-CR-21-21707_Order-Evaluation for Competency to Proceed (Rule 20.01)_2022-11-08_20251126165112.pdf</v>
      </c>
      <c r="H1637" s="7" t="str">
        <f aca="false">HYPERLINK("https://mncourtfraud.com/file/5ec6a5633be2d5f7201fcc405ec826928f8ebd9d0f347fee056c3ff04cd3e3d7.ttf","5ec6a5633be2d5f7201fcc405ec826928f8ebd9d0f347fee056c3ff04cd3e3d7")</f>
        <v>5ec6a5633be2d5f7201fcc405ec826928f8ebd9d0f347fee056c3ff04cd3e3d7</v>
      </c>
      <c r="I1637" s="1" t="s">
        <v>3413</v>
      </c>
      <c r="L1637" s="2" t="s">
        <v>3415</v>
      </c>
      <c r="M1637" s="2" t="n">
        <v>333576</v>
      </c>
    </row>
    <row r="1638" customFormat="false" ht="18.7" hidden="false" customHeight="true" outlineLevel="0" collapsed="false">
      <c r="A1638" s="1" t="n">
        <v>1637</v>
      </c>
      <c r="B1638" s="7" t="str">
        <f aca="false">HYPERLINK("https://mncourtfraud.com/file/27-CR-21-21707.pdf","27-CR-21-21707")</f>
        <v>27-CR-21-21707</v>
      </c>
      <c r="C1638" s="1" t="n">
        <v>5</v>
      </c>
      <c r="D1638" s="2" t="s">
        <v>267</v>
      </c>
      <c r="E1638" s="8" t="n">
        <v>44873</v>
      </c>
      <c r="F1638" s="2" t="s">
        <v>15</v>
      </c>
      <c r="G1638" s="7" t="str">
        <f aca="false">HYPERLINK("https://mncourtfraud.com/file/MCRO_27-CR-21-21707_Order-Evaluation for Competency to Proceed (Rule 20.01)_2022-11-08_20251126165112.pdf","MCRO_27-CR-21-21707_Order-Evaluation for Competency to Proceed (Rule 20.01)_2022-11-08_20251126165112.pdf")</f>
        <v>MCRO_27-CR-21-21707_Order-Evaluation for Competency to Proceed (Rule 20.01)_2022-11-08_20251126165112.pdf</v>
      </c>
      <c r="H1638" s="7" t="str">
        <f aca="false">HYPERLINK("https://mncourtfraud.com/file/6efe5689334238d45a24a51d7cd932b18f0bce47806d862dbcc29a63132d5402.jpg","6efe5689334238d45a24a51d7cd932b18f0bce47806d862dbcc29a63132d5402")</f>
        <v>6efe5689334238d45a24a51d7cd932b18f0bce47806d862dbcc29a63132d5402</v>
      </c>
      <c r="I1638" s="1" t="s">
        <v>3417</v>
      </c>
      <c r="L1638" s="2" t="s">
        <v>3418</v>
      </c>
      <c r="M1638" s="2" t="n">
        <v>59609</v>
      </c>
      <c r="S1638" s="2" t="n">
        <v>1700</v>
      </c>
      <c r="T1638" s="2" t="n">
        <v>2200</v>
      </c>
    </row>
    <row r="1639" customFormat="false" ht="18.7" hidden="false" customHeight="true" outlineLevel="0" collapsed="false">
      <c r="A1639" s="1" t="n">
        <v>1638</v>
      </c>
      <c r="B1639" s="7" t="str">
        <f aca="false">HYPERLINK("https://mncourtfraud.com/file/27-CR-21-21707.pdf","27-CR-21-21707")</f>
        <v>27-CR-21-21707</v>
      </c>
      <c r="C1639" s="1" t="n">
        <v>5</v>
      </c>
      <c r="D1639" s="2" t="s">
        <v>267</v>
      </c>
      <c r="E1639" s="8" t="n">
        <v>44873</v>
      </c>
      <c r="F1639" s="2" t="s">
        <v>15</v>
      </c>
      <c r="G1639" s="7" t="str">
        <f aca="false">HYPERLINK("https://mncourtfraud.com/file/MCRO_27-CR-21-21707_Order-Evaluation for Competency to Proceed (Rule 20.01)_2022-11-08_20251126165112.pdf","MCRO_27-CR-21-21707_Order-Evaluation for Competency to Proceed (Rule 20.01)_2022-11-08_20251126165112.pdf")</f>
        <v>MCRO_27-CR-21-21707_Order-Evaluation for Competency to Proceed (Rule 20.01)_2022-11-08_20251126165112.pdf</v>
      </c>
      <c r="H1639" s="7" t="str">
        <f aca="false">HYPERLINK("https://mncourtfraud.com/file/fc4055f8addb8eece144843412a390d7992a7db6c5473e9a7648f1bd742f06a0.jpg","fc4055f8addb8eece144843412a390d7992a7db6c5473e9a7648f1bd742f06a0")</f>
        <v>fc4055f8addb8eece144843412a390d7992a7db6c5473e9a7648f1bd742f06a0</v>
      </c>
      <c r="I1639" s="1" t="s">
        <v>3417</v>
      </c>
      <c r="L1639" s="2" t="s">
        <v>3418</v>
      </c>
      <c r="M1639" s="2" t="n">
        <v>366016</v>
      </c>
      <c r="S1639" s="2" t="n">
        <v>1700</v>
      </c>
      <c r="T1639" s="2" t="n">
        <v>2200</v>
      </c>
    </row>
    <row r="1640" customFormat="false" ht="18.7" hidden="false" customHeight="true" outlineLevel="0" collapsed="false">
      <c r="A1640" s="1" t="n">
        <v>1639</v>
      </c>
      <c r="B1640" s="7" t="str">
        <f aca="false">HYPERLINK("https://mncourtfraud.com/file/27-CR-21-21707.pdf","27-CR-21-21707")</f>
        <v>27-CR-21-21707</v>
      </c>
      <c r="C1640" s="1" t="n">
        <v>5</v>
      </c>
      <c r="D1640" s="2" t="s">
        <v>267</v>
      </c>
      <c r="E1640" s="8" t="n">
        <v>45023</v>
      </c>
      <c r="F1640" s="2" t="s">
        <v>15</v>
      </c>
      <c r="G1640" s="7" t="str">
        <f aca="false">HYPERLINK("https://mncourtfraud.com/file/MCRO_27-CR-21-21707_Order-Evaluation for Competency to Proceed (Rule 20.01)_2023-04-07_20251126165123.pdf","MCRO_27-CR-21-21707_Order-Evaluation for Competency to Proceed (Rule 20.01)_2023-04-07_20251126165123.pdf")</f>
        <v>MCRO_27-CR-21-21707_Order-Evaluation for Competency to Proceed (Rule 20.01)_2023-04-07_20251126165123.pdf</v>
      </c>
      <c r="H1640" s="7" t="str">
        <f aca="false">HYPERLINK("https://mncourtfraud.com/file/366d52f11f4df7bb166ab86d925355098cc705943f7e388c656790845c72d7e6.jpg","366d52f11f4df7bb166ab86d925355098cc705943f7e388c656790845c72d7e6")</f>
        <v>366d52f11f4df7bb166ab86d925355098cc705943f7e388c656790845c72d7e6</v>
      </c>
      <c r="I1640" s="1" t="s">
        <v>3417</v>
      </c>
      <c r="L1640" s="2" t="s">
        <v>3418</v>
      </c>
      <c r="M1640" s="2" t="n">
        <v>513957</v>
      </c>
      <c r="S1640" s="2" t="n">
        <v>2550</v>
      </c>
      <c r="T1640" s="2" t="n">
        <v>3300</v>
      </c>
    </row>
    <row r="1641" customFormat="false" ht="18.7" hidden="false" customHeight="true" outlineLevel="0" collapsed="false">
      <c r="A1641" s="1" t="n">
        <v>1640</v>
      </c>
      <c r="B1641" s="7" t="str">
        <f aca="false">HYPERLINK("https://mncourtfraud.com/file/27-CR-21-21707.pdf","27-CR-21-21707")</f>
        <v>27-CR-21-21707</v>
      </c>
      <c r="C1641" s="1" t="n">
        <v>5</v>
      </c>
      <c r="D1641" s="2" t="s">
        <v>267</v>
      </c>
      <c r="E1641" s="8" t="n">
        <v>45023</v>
      </c>
      <c r="F1641" s="2" t="s">
        <v>15</v>
      </c>
      <c r="G1641" s="7" t="str">
        <f aca="false">HYPERLINK("https://mncourtfraud.com/file/MCRO_27-CR-21-21707_Order-Evaluation for Competency to Proceed (Rule 20.01)_2023-04-07_20251126165123.pdf","MCRO_27-CR-21-21707_Order-Evaluation for Competency to Proceed (Rule 20.01)_2023-04-07_20251126165123.pdf")</f>
        <v>MCRO_27-CR-21-21707_Order-Evaluation for Competency to Proceed (Rule 20.01)_2023-04-07_20251126165123.pdf</v>
      </c>
      <c r="H1641" s="7" t="str">
        <f aca="false">HYPERLINK("https://mncourtfraud.com/file/8fd3c912244cdbeab629c3188fc7ff37b8a29efcb2db1448e35b96c7584212d0.jpg","8fd3c912244cdbeab629c3188fc7ff37b8a29efcb2db1448e35b96c7584212d0")</f>
        <v>8fd3c912244cdbeab629c3188fc7ff37b8a29efcb2db1448e35b96c7584212d0</v>
      </c>
      <c r="I1641" s="1" t="s">
        <v>3417</v>
      </c>
      <c r="L1641" s="2" t="s">
        <v>3418</v>
      </c>
      <c r="M1641" s="2" t="n">
        <v>640580</v>
      </c>
      <c r="S1641" s="2" t="n">
        <v>2550</v>
      </c>
      <c r="T1641" s="2" t="n">
        <v>3300</v>
      </c>
    </row>
    <row r="1642" customFormat="false" ht="18.7" hidden="false" customHeight="true" outlineLevel="0" collapsed="false">
      <c r="A1642" s="1" t="n">
        <v>1641</v>
      </c>
      <c r="B1642" s="7" t="str">
        <f aca="false">HYPERLINK("https://mncourtfraud.com/file/27-CR-21-21707.pdf","27-CR-21-21707")</f>
        <v>27-CR-21-21707</v>
      </c>
      <c r="C1642" s="1" t="n">
        <v>5</v>
      </c>
      <c r="D1642" s="2" t="s">
        <v>267</v>
      </c>
      <c r="E1642" s="8" t="n">
        <v>45023</v>
      </c>
      <c r="F1642" s="2" t="s">
        <v>15</v>
      </c>
      <c r="G1642" s="7" t="str">
        <f aca="false">HYPERLINK("https://mncourtfraud.com/file/MCRO_27-CR-21-21707_Order-Evaluation for Competency to Proceed (Rule 20.01)_2023-04-07_20251126165123.pdf","MCRO_27-CR-21-21707_Order-Evaluation for Competency to Proceed (Rule 20.01)_2023-04-07_20251126165123.pdf")</f>
        <v>MCRO_27-CR-21-21707_Order-Evaluation for Competency to Proceed (Rule 20.01)_2023-04-07_20251126165123.pdf</v>
      </c>
      <c r="H1642" s="7" t="str">
        <f aca="false">HYPERLINK("https://mncourtfraud.com/file/a390126f6fc05d44e1d4d15d88574b8d945844e0bf80e08828737df564fd861f.ttf","a390126f6fc05d44e1d4d15d88574b8d945844e0bf80e08828737df564fd861f")</f>
        <v>a390126f6fc05d44e1d4d15d88574b8d945844e0bf80e08828737df564fd861f</v>
      </c>
      <c r="I1642" s="1" t="s">
        <v>3413</v>
      </c>
      <c r="L1642" s="2" t="s">
        <v>3415</v>
      </c>
      <c r="M1642" s="2" t="n">
        <v>333576</v>
      </c>
    </row>
    <row r="1643" customFormat="false" ht="18.7" hidden="false" customHeight="true" outlineLevel="0" collapsed="false">
      <c r="A1643" s="1" t="n">
        <v>1642</v>
      </c>
      <c r="B1643" s="7" t="str">
        <f aca="false">HYPERLINK("https://mncourtfraud.com/file/27-CR-21-21707.pdf","27-CR-21-21707")</f>
        <v>27-CR-21-21707</v>
      </c>
      <c r="C1643" s="1" t="n">
        <v>5</v>
      </c>
      <c r="D1643" s="2" t="s">
        <v>267</v>
      </c>
      <c r="E1643" s="8" t="n">
        <v>45194</v>
      </c>
      <c r="F1643" s="2" t="s">
        <v>15</v>
      </c>
      <c r="G1643" s="7" t="str">
        <f aca="false">HYPERLINK("https://mncourtfraud.com/file/MCRO_27-CR-21-21707_Order-Evaluation for Competency to Proceed (Rule 20.01)_2023-09-25_20251126165133.pdf","MCRO_27-CR-21-21707_Order-Evaluation for Competency to Proceed (Rule 20.01)_2023-09-25_20251126165133.pdf")</f>
        <v>MCRO_27-CR-21-21707_Order-Evaluation for Competency to Proceed (Rule 20.01)_2023-09-25_20251126165133.pdf</v>
      </c>
      <c r="H1643" s="7" t="str">
        <f aca="false">HYPERLINK("https://mncourtfraud.com/file/4c385f7ae8b1b78bc4ac3302e35eeaeb47e175305fd776c018ad0582a082d2f1.png","4c385f7ae8b1b78bc4ac3302e35eeaeb47e175305fd776c018ad0582a082d2f1")</f>
        <v>4c385f7ae8b1b78bc4ac3302e35eeaeb47e175305fd776c018ad0582a082d2f1</v>
      </c>
      <c r="I1643" s="1" t="s">
        <v>3406</v>
      </c>
      <c r="L1643" s="2" t="s">
        <v>3412</v>
      </c>
      <c r="M1643" s="2" t="n">
        <v>162309</v>
      </c>
      <c r="S1643" s="2" t="n">
        <v>2560</v>
      </c>
      <c r="T1643" s="2" t="n">
        <v>3300</v>
      </c>
    </row>
    <row r="1644" customFormat="false" ht="18.7" hidden="false" customHeight="true" outlineLevel="0" collapsed="false">
      <c r="A1644" s="1" t="n">
        <v>1643</v>
      </c>
      <c r="B1644" s="7" t="str">
        <f aca="false">HYPERLINK("https://mncourtfraud.com/file/27-CR-21-21707.pdf","27-CR-21-21707")</f>
        <v>27-CR-21-21707</v>
      </c>
      <c r="C1644" s="1" t="n">
        <v>5</v>
      </c>
      <c r="D1644" s="2" t="s">
        <v>267</v>
      </c>
      <c r="E1644" s="8" t="n">
        <v>45194</v>
      </c>
      <c r="F1644" s="2" t="s">
        <v>15</v>
      </c>
      <c r="G1644" s="7" t="str">
        <f aca="false">HYPERLINK("https://mncourtfraud.com/file/MCRO_27-CR-21-21707_Order-Evaluation for Competency to Proceed (Rule 20.01)_2023-09-25_20251126165133.pdf","MCRO_27-CR-21-21707_Order-Evaluation for Competency to Proceed (Rule 20.01)_2023-09-25_20251126165133.pdf")</f>
        <v>MCRO_27-CR-21-21707_Order-Evaluation for Competency to Proceed (Rule 20.01)_2023-09-25_20251126165133.pdf</v>
      </c>
      <c r="H1644" s="7" t="str">
        <f aca="false">HYPERLINK("https://mncourtfraud.com/file/9f61d1c86b92a1cfe4c2425ebe7c20689b4132fc43316fa8ae4829c07f8dccd6.ttf","9f61d1c86b92a1cfe4c2425ebe7c20689b4132fc43316fa8ae4829c07f8dccd6")</f>
        <v>9f61d1c86b92a1cfe4c2425ebe7c20689b4132fc43316fa8ae4829c07f8dccd6</v>
      </c>
      <c r="I1644" s="1" t="s">
        <v>3413</v>
      </c>
      <c r="L1644" s="2" t="s">
        <v>3415</v>
      </c>
      <c r="M1644" s="2" t="n">
        <v>333576</v>
      </c>
    </row>
    <row r="1645" customFormat="false" ht="18.7" hidden="false" customHeight="true" outlineLevel="0" collapsed="false">
      <c r="A1645" s="1" t="n">
        <v>1644</v>
      </c>
      <c r="B1645" s="7" t="str">
        <f aca="false">HYPERLINK("https://mncourtfraud.com/file/27-CR-21-21707.pdf","27-CR-21-21707")</f>
        <v>27-CR-21-21707</v>
      </c>
      <c r="C1645" s="1" t="n">
        <v>5</v>
      </c>
      <c r="D1645" s="2" t="s">
        <v>267</v>
      </c>
      <c r="E1645" s="8" t="n">
        <v>45194</v>
      </c>
      <c r="F1645" s="2" t="s">
        <v>15</v>
      </c>
      <c r="G1645" s="7" t="str">
        <f aca="false">HYPERLINK("https://mncourtfraud.com/file/MCRO_27-CR-21-21707_Order-Evaluation for Competency to Proceed (Rule 20.01)_2023-09-25_20251126165133.pdf","MCRO_27-CR-21-21707_Order-Evaluation for Competency to Proceed (Rule 20.01)_2023-09-25_20251126165133.pdf")</f>
        <v>MCRO_27-CR-21-21707_Order-Evaluation for Competency to Proceed (Rule 20.01)_2023-09-25_20251126165133.pdf</v>
      </c>
      <c r="H1645" s="7" t="str">
        <f aca="false">HYPERLINK("https://mncourtfraud.com/file/e8ec090484db08b3be9daaa10e2fef35a99135ae0a2f234de7613cfacc2f6cac.png","e8ec090484db08b3be9daaa10e2fef35a99135ae0a2f234de7613cfacc2f6cac")</f>
        <v>e8ec090484db08b3be9daaa10e2fef35a99135ae0a2f234de7613cfacc2f6cac</v>
      </c>
      <c r="I1645" s="1" t="s">
        <v>3406</v>
      </c>
      <c r="L1645" s="2" t="s">
        <v>3412</v>
      </c>
      <c r="M1645" s="2" t="n">
        <v>133015</v>
      </c>
      <c r="S1645" s="2" t="n">
        <v>2560</v>
      </c>
      <c r="T1645" s="2" t="n">
        <v>3300</v>
      </c>
    </row>
    <row r="1646" customFormat="false" ht="18.7" hidden="false" customHeight="true" outlineLevel="0" collapsed="false">
      <c r="A1646" s="1" t="n">
        <v>1645</v>
      </c>
      <c r="B1646" s="7" t="str">
        <f aca="false">HYPERLINK("https://mncourtfraud.com/file/27-CR-21-21833.pdf","27-CR-21-21833")</f>
        <v>27-CR-21-21833</v>
      </c>
      <c r="C1646" s="1" t="n">
        <v>5</v>
      </c>
      <c r="D1646" s="2" t="s">
        <v>267</v>
      </c>
      <c r="E1646" s="8" t="n">
        <v>44733</v>
      </c>
      <c r="F1646" s="2" t="s">
        <v>17</v>
      </c>
      <c r="G1646" s="7" t="str">
        <f aca="false">HYPERLINK("https://mncourtfraud.com/file/MCRO_27-CR-21-21833_Returned Mail_2022-06-21_20251126165240.pdf","MCRO_27-CR-21-21833_Returned Mail_2022-06-21_20251126165240.pdf")</f>
        <v>MCRO_27-CR-21-21833_Returned Mail_2022-06-21_20251126165240.pdf</v>
      </c>
      <c r="H1646" s="7" t="str">
        <f aca="false">HYPERLINK("https://mncourtfraud.com/file/a9900bc320d6f8f8e6faf6cb6a19d94fb75f155c51567cbc0c3ade5f0be1cf36.ttf","a9900bc320d6f8f8e6faf6cb6a19d94fb75f155c51567cbc0c3ade5f0be1cf36")</f>
        <v>a9900bc320d6f8f8e6faf6cb6a19d94fb75f155c51567cbc0c3ade5f0be1cf36</v>
      </c>
      <c r="I1646" s="1" t="s">
        <v>3413</v>
      </c>
      <c r="L1646" s="2" t="s">
        <v>3415</v>
      </c>
      <c r="M1646" s="2" t="n">
        <v>333584</v>
      </c>
    </row>
    <row r="1647" customFormat="false" ht="18.7" hidden="false" customHeight="true" outlineLevel="0" collapsed="false">
      <c r="A1647" s="1" t="n">
        <v>1646</v>
      </c>
      <c r="B1647" s="7" t="str">
        <f aca="false">HYPERLINK("https://mncourtfraud.com/file/27-CR-21-21833.pdf","27-CR-21-21833")</f>
        <v>27-CR-21-21833</v>
      </c>
      <c r="C1647" s="1" t="n">
        <v>5</v>
      </c>
      <c r="D1647" s="2" t="s">
        <v>267</v>
      </c>
      <c r="E1647" s="8" t="n">
        <v>44733</v>
      </c>
      <c r="F1647" s="2" t="s">
        <v>17</v>
      </c>
      <c r="G1647" s="7" t="str">
        <f aca="false">HYPERLINK("https://mncourtfraud.com/file/MCRO_27-CR-21-21833_Returned Mail_2022-06-21_20251126165240.pdf","MCRO_27-CR-21-21833_Returned Mail_2022-06-21_20251126165240.pdf")</f>
        <v>MCRO_27-CR-21-21833_Returned Mail_2022-06-21_20251126165240.pdf</v>
      </c>
      <c r="H1647" s="7" t="str">
        <f aca="false">HYPERLINK("https://mncourtfraud.com/file/ff8775b01064a21565185a32606f60efefdcc81fdffe3af20b8a06d10439e897.jpg","ff8775b01064a21565185a32606f60efefdcc81fdffe3af20b8a06d10439e897")</f>
        <v>ff8775b01064a21565185a32606f60efefdcc81fdffe3af20b8a06d10439e897</v>
      </c>
      <c r="I1647" s="1" t="s">
        <v>3417</v>
      </c>
      <c r="L1647" s="2" t="s">
        <v>3419</v>
      </c>
      <c r="M1647" s="2" t="n">
        <v>191047</v>
      </c>
      <c r="S1647" s="2" t="n">
        <v>2550</v>
      </c>
      <c r="T1647" s="2" t="n">
        <v>3300</v>
      </c>
    </row>
    <row r="1648" customFormat="false" ht="18.7" hidden="false" customHeight="true" outlineLevel="0" collapsed="false">
      <c r="A1648" s="1" t="n">
        <v>1647</v>
      </c>
      <c r="B1648" s="7" t="str">
        <f aca="false">HYPERLINK("https://mncourtfraud.com/file/27-CR-21-21833.pdf","27-CR-21-21833")</f>
        <v>27-CR-21-21833</v>
      </c>
      <c r="C1648" s="1" t="n">
        <v>5</v>
      </c>
      <c r="D1648" s="2" t="s">
        <v>267</v>
      </c>
      <c r="E1648" s="8" t="n">
        <v>44837</v>
      </c>
      <c r="F1648" s="2" t="s">
        <v>17</v>
      </c>
      <c r="G1648" s="7" t="str">
        <f aca="false">HYPERLINK("https://mncourtfraud.com/file/MCRO_27-CR-21-21833_Returned Mail_2022-10-03_20251126165252.pdf","MCRO_27-CR-21-21833_Returned Mail_2022-10-03_20251126165252.pdf")</f>
        <v>MCRO_27-CR-21-21833_Returned Mail_2022-10-03_20251126165252.pdf</v>
      </c>
      <c r="H1648" s="7" t="str">
        <f aca="false">HYPERLINK("https://mncourtfraud.com/file/237d5516e0c716146a65e7b2daf746fb6188c66f833317ba27cb286332d42dea.jpg","237d5516e0c716146a65e7b2daf746fb6188c66f833317ba27cb286332d42dea")</f>
        <v>237d5516e0c716146a65e7b2daf746fb6188c66f833317ba27cb286332d42dea</v>
      </c>
      <c r="I1648" s="1" t="s">
        <v>3417</v>
      </c>
      <c r="L1648" s="2" t="s">
        <v>3419</v>
      </c>
      <c r="M1648" s="2" t="n">
        <v>318425</v>
      </c>
      <c r="S1648" s="2" t="n">
        <v>2550</v>
      </c>
      <c r="T1648" s="2" t="n">
        <v>3300</v>
      </c>
    </row>
    <row r="1649" customFormat="false" ht="18.7" hidden="false" customHeight="true" outlineLevel="0" collapsed="false">
      <c r="A1649" s="1" t="n">
        <v>1648</v>
      </c>
      <c r="B1649" s="7" t="str">
        <f aca="false">HYPERLINK("https://mncourtfraud.com/file/27-CR-21-21833.pdf","27-CR-21-21833")</f>
        <v>27-CR-21-21833</v>
      </c>
      <c r="C1649" s="1" t="n">
        <v>5</v>
      </c>
      <c r="D1649" s="2" t="s">
        <v>267</v>
      </c>
      <c r="E1649" s="8" t="n">
        <v>44837</v>
      </c>
      <c r="F1649" s="2" t="s">
        <v>17</v>
      </c>
      <c r="G1649" s="7" t="str">
        <f aca="false">HYPERLINK("https://mncourtfraud.com/file/MCRO_27-CR-21-21833_Returned Mail_2022-10-03_20251126165252.pdf","MCRO_27-CR-21-21833_Returned Mail_2022-10-03_20251126165252.pdf")</f>
        <v>MCRO_27-CR-21-21833_Returned Mail_2022-10-03_20251126165252.pdf</v>
      </c>
      <c r="H1649" s="7" t="str">
        <f aca="false">HYPERLINK("https://mncourtfraud.com/file/a5e5c392eb46244eb2f6cb58ac26cd8ceafb56d6f16b754ee26ba4f3c1b3b729.ttf","a5e5c392eb46244eb2f6cb58ac26cd8ceafb56d6f16b754ee26ba4f3c1b3b729")</f>
        <v>a5e5c392eb46244eb2f6cb58ac26cd8ceafb56d6f16b754ee26ba4f3c1b3b729</v>
      </c>
      <c r="I1649" s="1" t="s">
        <v>3413</v>
      </c>
      <c r="L1649" s="2" t="s">
        <v>3415</v>
      </c>
      <c r="M1649" s="2" t="n">
        <v>333584</v>
      </c>
    </row>
    <row r="1650" customFormat="false" ht="18.7" hidden="false" customHeight="true" outlineLevel="0" collapsed="false">
      <c r="A1650" s="1" t="n">
        <v>1649</v>
      </c>
      <c r="B1650" s="7" t="str">
        <f aca="false">HYPERLINK("https://mncourtfraud.com/file/27-CR-21-21833.pdf","27-CR-21-21833")</f>
        <v>27-CR-21-21833</v>
      </c>
      <c r="C1650" s="1" t="n">
        <v>5</v>
      </c>
      <c r="D1650" s="2" t="s">
        <v>267</v>
      </c>
      <c r="E1650" s="8" t="n">
        <v>44873</v>
      </c>
      <c r="F1650" s="2" t="s">
        <v>15</v>
      </c>
      <c r="G1650" s="7" t="str">
        <f aca="false">HYPERLINK("https://mncourtfraud.com/file/MCRO_27-CR-21-21833_Order-Evaluation for Competency to Proceed (Rule 20.01)_2022-11-08_20251126165318.pdf","MCRO_27-CR-21-21833_Order-Evaluation for Competency to Proceed (Rule 20.01)_2022-11-08_20251126165318.pdf")</f>
        <v>MCRO_27-CR-21-21833_Order-Evaluation for Competency to Proceed (Rule 20.01)_2022-11-08_20251126165318.pdf</v>
      </c>
      <c r="H1650" s="7" t="str">
        <f aca="false">HYPERLINK("https://mncourtfraud.com/file/082f387ba4835f1cae3d2529d7afa13cbb922baebe03519ee43d2c14358c2398.jpg","082f387ba4835f1cae3d2529d7afa13cbb922baebe03519ee43d2c14358c2398")</f>
        <v>082f387ba4835f1cae3d2529d7afa13cbb922baebe03519ee43d2c14358c2398</v>
      </c>
      <c r="I1650" s="1" t="s">
        <v>3417</v>
      </c>
      <c r="L1650" s="2" t="s">
        <v>3418</v>
      </c>
      <c r="M1650" s="2" t="n">
        <v>300734</v>
      </c>
      <c r="S1650" s="2" t="n">
        <v>1700</v>
      </c>
      <c r="T1650" s="2" t="n">
        <v>2200</v>
      </c>
    </row>
    <row r="1651" customFormat="false" ht="18.7" hidden="false" customHeight="true" outlineLevel="0" collapsed="false">
      <c r="A1651" s="1" t="n">
        <v>1650</v>
      </c>
      <c r="B1651" s="7" t="str">
        <f aca="false">HYPERLINK("https://mncourtfraud.com/file/27-CR-21-21833.pdf","27-CR-21-21833")</f>
        <v>27-CR-21-21833</v>
      </c>
      <c r="C1651" s="1" t="n">
        <v>5</v>
      </c>
      <c r="D1651" s="2" t="s">
        <v>267</v>
      </c>
      <c r="E1651" s="8" t="n">
        <v>44873</v>
      </c>
      <c r="F1651" s="2" t="s">
        <v>15</v>
      </c>
      <c r="G1651" s="7" t="str">
        <f aca="false">HYPERLINK("https://mncourtfraud.com/file/MCRO_27-CR-21-21833_Order-Evaluation for Competency to Proceed (Rule 20.01)_2022-11-08_20251126165318.pdf","MCRO_27-CR-21-21833_Order-Evaluation for Competency to Proceed (Rule 20.01)_2022-11-08_20251126165318.pdf")</f>
        <v>MCRO_27-CR-21-21833_Order-Evaluation for Competency to Proceed (Rule 20.01)_2022-11-08_20251126165318.pdf</v>
      </c>
      <c r="H1651" s="7" t="str">
        <f aca="false">HYPERLINK("https://mncourtfraud.com/file/5ec6a5633be2d5f7201fcc405ec826928f8ebd9d0f347fee056c3ff04cd3e3d7.ttf","5ec6a5633be2d5f7201fcc405ec826928f8ebd9d0f347fee056c3ff04cd3e3d7")</f>
        <v>5ec6a5633be2d5f7201fcc405ec826928f8ebd9d0f347fee056c3ff04cd3e3d7</v>
      </c>
      <c r="I1651" s="1" t="s">
        <v>3413</v>
      </c>
      <c r="L1651" s="2" t="s">
        <v>3415</v>
      </c>
      <c r="M1651" s="2" t="n">
        <v>333576</v>
      </c>
    </row>
    <row r="1652" customFormat="false" ht="18.7" hidden="false" customHeight="true" outlineLevel="0" collapsed="false">
      <c r="A1652" s="1" t="n">
        <v>1651</v>
      </c>
      <c r="B1652" s="7" t="str">
        <f aca="false">HYPERLINK("https://mncourtfraud.com/file/27-CR-21-21833.pdf","27-CR-21-21833")</f>
        <v>27-CR-21-21833</v>
      </c>
      <c r="C1652" s="1" t="n">
        <v>5</v>
      </c>
      <c r="D1652" s="2" t="s">
        <v>267</v>
      </c>
      <c r="E1652" s="8" t="n">
        <v>44873</v>
      </c>
      <c r="F1652" s="2" t="s">
        <v>15</v>
      </c>
      <c r="G1652" s="7" t="str">
        <f aca="false">HYPERLINK("https://mncourtfraud.com/file/MCRO_27-CR-21-21833_Order-Evaluation for Competency to Proceed (Rule 20.01)_2022-11-08_20251126165318.pdf","MCRO_27-CR-21-21833_Order-Evaluation for Competency to Proceed (Rule 20.01)_2022-11-08_20251126165318.pdf")</f>
        <v>MCRO_27-CR-21-21833_Order-Evaluation for Competency to Proceed (Rule 20.01)_2022-11-08_20251126165318.pdf</v>
      </c>
      <c r="H1652" s="7" t="str">
        <f aca="false">HYPERLINK("https://mncourtfraud.com/file/6efe5689334238d45a24a51d7cd932b18f0bce47806d862dbcc29a63132d5402.jpg","6efe5689334238d45a24a51d7cd932b18f0bce47806d862dbcc29a63132d5402")</f>
        <v>6efe5689334238d45a24a51d7cd932b18f0bce47806d862dbcc29a63132d5402</v>
      </c>
      <c r="I1652" s="1" t="s">
        <v>3417</v>
      </c>
      <c r="L1652" s="2" t="s">
        <v>3418</v>
      </c>
      <c r="M1652" s="2" t="n">
        <v>59609</v>
      </c>
      <c r="S1652" s="2" t="n">
        <v>1700</v>
      </c>
      <c r="T1652" s="2" t="n">
        <v>2200</v>
      </c>
    </row>
    <row r="1653" customFormat="false" ht="18.7" hidden="false" customHeight="true" outlineLevel="0" collapsed="false">
      <c r="A1653" s="1" t="n">
        <v>1652</v>
      </c>
      <c r="B1653" s="7" t="str">
        <f aca="false">HYPERLINK("https://mncourtfraud.com/file/27-CR-21-21833.pdf","27-CR-21-21833")</f>
        <v>27-CR-21-21833</v>
      </c>
      <c r="C1653" s="1" t="n">
        <v>5</v>
      </c>
      <c r="D1653" s="2" t="s">
        <v>267</v>
      </c>
      <c r="E1653" s="8" t="n">
        <v>44873</v>
      </c>
      <c r="F1653" s="2" t="s">
        <v>15</v>
      </c>
      <c r="G1653" s="7" t="str">
        <f aca="false">HYPERLINK("https://mncourtfraud.com/file/MCRO_27-CR-21-21833_Order-Evaluation for Competency to Proceed (Rule 20.01)_2022-11-08_20251126165318.pdf","MCRO_27-CR-21-21833_Order-Evaluation for Competency to Proceed (Rule 20.01)_2022-11-08_20251126165318.pdf")</f>
        <v>MCRO_27-CR-21-21833_Order-Evaluation for Competency to Proceed (Rule 20.01)_2022-11-08_20251126165318.pdf</v>
      </c>
      <c r="H1653" s="7" t="str">
        <f aca="false">HYPERLINK("https://mncourtfraud.com/file/fc4055f8addb8eece144843412a390d7992a7db6c5473e9a7648f1bd742f06a0.jpg","fc4055f8addb8eece144843412a390d7992a7db6c5473e9a7648f1bd742f06a0")</f>
        <v>fc4055f8addb8eece144843412a390d7992a7db6c5473e9a7648f1bd742f06a0</v>
      </c>
      <c r="I1653" s="1" t="s">
        <v>3417</v>
      </c>
      <c r="L1653" s="2" t="s">
        <v>3418</v>
      </c>
      <c r="M1653" s="2" t="n">
        <v>366016</v>
      </c>
      <c r="S1653" s="2" t="n">
        <v>1700</v>
      </c>
      <c r="T1653" s="2" t="n">
        <v>2200</v>
      </c>
    </row>
    <row r="1654" customFormat="false" ht="18.7" hidden="false" customHeight="true" outlineLevel="0" collapsed="false">
      <c r="A1654" s="1" t="n">
        <v>1653</v>
      </c>
      <c r="B1654" s="7" t="str">
        <f aca="false">HYPERLINK("https://mncourtfraud.com/file/27-CR-21-21833.pdf","27-CR-21-21833")</f>
        <v>27-CR-21-21833</v>
      </c>
      <c r="C1654" s="1" t="n">
        <v>5</v>
      </c>
      <c r="D1654" s="2" t="s">
        <v>267</v>
      </c>
      <c r="E1654" s="8" t="n">
        <v>45023</v>
      </c>
      <c r="F1654" s="2" t="s">
        <v>15</v>
      </c>
      <c r="G1654" s="7" t="str">
        <f aca="false">HYPERLINK("https://mncourtfraud.com/file/MCRO_27-CR-21-21833_Order-Evaluation for Competency to Proceed (Rule 20.01)_2023-04-07_20251126165327.pdf","MCRO_27-CR-21-21833_Order-Evaluation for Competency to Proceed (Rule 20.01)_2023-04-07_20251126165327.pdf")</f>
        <v>MCRO_27-CR-21-21833_Order-Evaluation for Competency to Proceed (Rule 20.01)_2023-04-07_20251126165327.pdf</v>
      </c>
      <c r="H1654" s="7" t="str">
        <f aca="false">HYPERLINK("https://mncourtfraud.com/file/91d16c99b0285f737ed4eb2b687d5251e340165dcfa832d93207bfa62c8111b4.ttf","91d16c99b0285f737ed4eb2b687d5251e340165dcfa832d93207bfa62c8111b4")</f>
        <v>91d16c99b0285f737ed4eb2b687d5251e340165dcfa832d93207bfa62c8111b4</v>
      </c>
      <c r="I1654" s="1" t="s">
        <v>3413</v>
      </c>
      <c r="L1654" s="2" t="s">
        <v>3415</v>
      </c>
      <c r="M1654" s="2" t="n">
        <v>9084</v>
      </c>
    </row>
    <row r="1655" customFormat="false" ht="18.7" hidden="false" customHeight="true" outlineLevel="0" collapsed="false">
      <c r="A1655" s="1" t="n">
        <v>1654</v>
      </c>
      <c r="B1655" s="7" t="str">
        <f aca="false">HYPERLINK("https://mncourtfraud.com/file/27-CR-21-21833.pdf","27-CR-21-21833")</f>
        <v>27-CR-21-21833</v>
      </c>
      <c r="C1655" s="1" t="n">
        <v>5</v>
      </c>
      <c r="D1655" s="2" t="s">
        <v>267</v>
      </c>
      <c r="E1655" s="8" t="n">
        <v>45023</v>
      </c>
      <c r="F1655" s="2" t="s">
        <v>15</v>
      </c>
      <c r="G1655" s="7" t="str">
        <f aca="false">HYPERLINK("https://mncourtfraud.com/file/MCRO_27-CR-21-21833_Order-Evaluation for Competency to Proceed (Rule 20.01)_2023-04-07_20251126165327.pdf","MCRO_27-CR-21-21833_Order-Evaluation for Competency to Proceed (Rule 20.01)_2023-04-07_20251126165327.pdf")</f>
        <v>MCRO_27-CR-21-21833_Order-Evaluation for Competency to Proceed (Rule 20.01)_2023-04-07_20251126165327.pdf</v>
      </c>
      <c r="H1655" s="7" t="str">
        <f aca="false">HYPERLINK("https://mncourtfraud.com/file/df35008edf009b4ed9316734478efd4d754335a8d64edd5934ce0b01f7b2b3ef.jpg","df35008edf009b4ed9316734478efd4d754335a8d64edd5934ce0b01f7b2b3ef")</f>
        <v>df35008edf009b4ed9316734478efd4d754335a8d64edd5934ce0b01f7b2b3ef</v>
      </c>
      <c r="I1655" s="1" t="s">
        <v>3417</v>
      </c>
      <c r="L1655" s="2" t="s">
        <v>3418</v>
      </c>
      <c r="M1655" s="2" t="n">
        <v>514884</v>
      </c>
      <c r="S1655" s="2" t="n">
        <v>2550</v>
      </c>
      <c r="T1655" s="2" t="n">
        <v>3300</v>
      </c>
    </row>
    <row r="1656" customFormat="false" ht="18.7" hidden="false" customHeight="true" outlineLevel="0" collapsed="false">
      <c r="A1656" s="1" t="n">
        <v>1655</v>
      </c>
      <c r="B1656" s="7" t="str">
        <f aca="false">HYPERLINK("https://mncourtfraud.com/file/27-CR-21-21833.pdf","27-CR-21-21833")</f>
        <v>27-CR-21-21833</v>
      </c>
      <c r="C1656" s="1" t="n">
        <v>5</v>
      </c>
      <c r="D1656" s="2" t="s">
        <v>267</v>
      </c>
      <c r="E1656" s="8" t="n">
        <v>45023</v>
      </c>
      <c r="F1656" s="2" t="s">
        <v>15</v>
      </c>
      <c r="G1656" s="7" t="str">
        <f aca="false">HYPERLINK("https://mncourtfraud.com/file/MCRO_27-CR-21-21833_Order-Evaluation for Competency to Proceed (Rule 20.01)_2023-04-07_20251126165327.pdf","MCRO_27-CR-21-21833_Order-Evaluation for Competency to Proceed (Rule 20.01)_2023-04-07_20251126165327.pdf")</f>
        <v>MCRO_27-CR-21-21833_Order-Evaluation for Competency to Proceed (Rule 20.01)_2023-04-07_20251126165327.pdf</v>
      </c>
      <c r="H1656" s="7" t="str">
        <f aca="false">HYPERLINK("https://mncourtfraud.com/file/fcef938b3ff41e56ccd46890deaa56dc646ec638e19443d93ac38bb98368df41.jpg","fcef938b3ff41e56ccd46890deaa56dc646ec638e19443d93ac38bb98368df41")</f>
        <v>fcef938b3ff41e56ccd46890deaa56dc646ec638e19443d93ac38bb98368df41</v>
      </c>
      <c r="I1656" s="1" t="s">
        <v>3417</v>
      </c>
      <c r="L1656" s="2" t="s">
        <v>3418</v>
      </c>
      <c r="M1656" s="2" t="n">
        <v>642162</v>
      </c>
      <c r="S1656" s="2" t="n">
        <v>2550</v>
      </c>
      <c r="T1656" s="2" t="n">
        <v>3300</v>
      </c>
    </row>
    <row r="1657" customFormat="false" ht="18.7" hidden="false" customHeight="true" outlineLevel="0" collapsed="false">
      <c r="A1657" s="1" t="n">
        <v>1656</v>
      </c>
      <c r="B1657" s="7" t="str">
        <f aca="false">HYPERLINK("https://mncourtfraud.com/file/27-CR-21-21833.pdf","27-CR-21-21833")</f>
        <v>27-CR-21-21833</v>
      </c>
      <c r="C1657" s="1" t="n">
        <v>5</v>
      </c>
      <c r="D1657" s="2" t="s">
        <v>267</v>
      </c>
      <c r="E1657" s="8" t="n">
        <v>45194</v>
      </c>
      <c r="F1657" s="2" t="s">
        <v>15</v>
      </c>
      <c r="G1657" s="7" t="str">
        <f aca="false">HYPERLINK("https://mncourtfraud.com/file/MCRO_27-CR-21-21833_Order-Evaluation for Competency to Proceed (Rule 20.01)_2023-09-25_20251126165306.pdf","MCRO_27-CR-21-21833_Order-Evaluation for Competency to Proceed (Rule 20.01)_2023-09-25_20251126165306.pdf")</f>
        <v>MCRO_27-CR-21-21833_Order-Evaluation for Competency to Proceed (Rule 20.01)_2023-09-25_20251126165306.pdf</v>
      </c>
      <c r="H1657" s="7" t="str">
        <f aca="false">HYPERLINK("https://mncourtfraud.com/file/4c385f7ae8b1b78bc4ac3302e35eeaeb47e175305fd776c018ad0582a082d2f1.png","4c385f7ae8b1b78bc4ac3302e35eeaeb47e175305fd776c018ad0582a082d2f1")</f>
        <v>4c385f7ae8b1b78bc4ac3302e35eeaeb47e175305fd776c018ad0582a082d2f1</v>
      </c>
      <c r="I1657" s="1" t="s">
        <v>3406</v>
      </c>
      <c r="L1657" s="2" t="s">
        <v>3412</v>
      </c>
      <c r="M1657" s="2" t="n">
        <v>162309</v>
      </c>
      <c r="S1657" s="2" t="n">
        <v>2560</v>
      </c>
      <c r="T1657" s="2" t="n">
        <v>3300</v>
      </c>
    </row>
    <row r="1658" customFormat="false" ht="18.7" hidden="false" customHeight="true" outlineLevel="0" collapsed="false">
      <c r="A1658" s="1" t="n">
        <v>1657</v>
      </c>
      <c r="B1658" s="7" t="str">
        <f aca="false">HYPERLINK("https://mncourtfraud.com/file/27-CR-21-21833.pdf","27-CR-21-21833")</f>
        <v>27-CR-21-21833</v>
      </c>
      <c r="C1658" s="1" t="n">
        <v>5</v>
      </c>
      <c r="D1658" s="2" t="s">
        <v>267</v>
      </c>
      <c r="E1658" s="8" t="n">
        <v>45194</v>
      </c>
      <c r="F1658" s="2" t="s">
        <v>15</v>
      </c>
      <c r="G1658" s="7" t="str">
        <f aca="false">HYPERLINK("https://mncourtfraud.com/file/MCRO_27-CR-21-21833_Order-Evaluation for Competency to Proceed (Rule 20.01)_2023-09-25_20251126165306.pdf","MCRO_27-CR-21-21833_Order-Evaluation for Competency to Proceed (Rule 20.01)_2023-09-25_20251126165306.pdf")</f>
        <v>MCRO_27-CR-21-21833_Order-Evaluation for Competency to Proceed (Rule 20.01)_2023-09-25_20251126165306.pdf</v>
      </c>
      <c r="H1658" s="7" t="str">
        <f aca="false">HYPERLINK("https://mncourtfraud.com/file/9f61d1c86b92a1cfe4c2425ebe7c20689b4132fc43316fa8ae4829c07f8dccd6.ttf","9f61d1c86b92a1cfe4c2425ebe7c20689b4132fc43316fa8ae4829c07f8dccd6")</f>
        <v>9f61d1c86b92a1cfe4c2425ebe7c20689b4132fc43316fa8ae4829c07f8dccd6</v>
      </c>
      <c r="I1658" s="1" t="s">
        <v>3413</v>
      </c>
      <c r="L1658" s="2" t="s">
        <v>3415</v>
      </c>
      <c r="M1658" s="2" t="n">
        <v>333576</v>
      </c>
    </row>
    <row r="1659" customFormat="false" ht="18.7" hidden="false" customHeight="true" outlineLevel="0" collapsed="false">
      <c r="A1659" s="1" t="n">
        <v>1658</v>
      </c>
      <c r="B1659" s="7" t="str">
        <f aca="false">HYPERLINK("https://mncourtfraud.com/file/27-CR-21-21833.pdf","27-CR-21-21833")</f>
        <v>27-CR-21-21833</v>
      </c>
      <c r="C1659" s="1" t="n">
        <v>5</v>
      </c>
      <c r="D1659" s="2" t="s">
        <v>267</v>
      </c>
      <c r="E1659" s="8" t="n">
        <v>45194</v>
      </c>
      <c r="F1659" s="2" t="s">
        <v>15</v>
      </c>
      <c r="G1659" s="7" t="str">
        <f aca="false">HYPERLINK("https://mncourtfraud.com/file/MCRO_27-CR-21-21833_Order-Evaluation for Competency to Proceed (Rule 20.01)_2023-09-25_20251126165306.pdf","MCRO_27-CR-21-21833_Order-Evaluation for Competency to Proceed (Rule 20.01)_2023-09-25_20251126165306.pdf")</f>
        <v>MCRO_27-CR-21-21833_Order-Evaluation for Competency to Proceed (Rule 20.01)_2023-09-25_20251126165306.pdf</v>
      </c>
      <c r="H1659" s="7" t="str">
        <f aca="false">HYPERLINK("https://mncourtfraud.com/file/e8ec090484db08b3be9daaa10e2fef35a99135ae0a2f234de7613cfacc2f6cac.png","e8ec090484db08b3be9daaa10e2fef35a99135ae0a2f234de7613cfacc2f6cac")</f>
        <v>e8ec090484db08b3be9daaa10e2fef35a99135ae0a2f234de7613cfacc2f6cac</v>
      </c>
      <c r="I1659" s="1" t="s">
        <v>3406</v>
      </c>
      <c r="L1659" s="2" t="s">
        <v>3412</v>
      </c>
      <c r="M1659" s="2" t="n">
        <v>133015</v>
      </c>
      <c r="S1659" s="2" t="n">
        <v>2560</v>
      </c>
      <c r="T1659" s="2" t="n">
        <v>3300</v>
      </c>
    </row>
    <row r="1660" customFormat="false" ht="18.7" hidden="false" customHeight="true" outlineLevel="0" collapsed="false">
      <c r="A1660" s="1" t="n">
        <v>1659</v>
      </c>
      <c r="B1660" s="7" t="str">
        <f aca="false">HYPERLINK("https://mncourtfraud.com/file/27-CR-21-22737.pdf","27-CR-21-22737")</f>
        <v>27-CR-21-22737</v>
      </c>
      <c r="C1660" s="1" t="n">
        <v>5</v>
      </c>
      <c r="D1660" s="2" t="s">
        <v>267</v>
      </c>
      <c r="E1660" s="8" t="n">
        <v>44733</v>
      </c>
      <c r="F1660" s="2" t="s">
        <v>17</v>
      </c>
      <c r="G1660" s="7" t="str">
        <f aca="false">HYPERLINK("https://mncourtfraud.com/file/MCRO_27-CR-21-22737_Returned Mail_2022-06-21_20251126165440.pdf","MCRO_27-CR-21-22737_Returned Mail_2022-06-21_20251126165440.pdf")</f>
        <v>MCRO_27-CR-21-22737_Returned Mail_2022-06-21_20251126165440.pdf</v>
      </c>
      <c r="H1660" s="7" t="str">
        <f aca="false">HYPERLINK("https://mncourtfraud.com/file/36b3055b082f8ced3c99becff1cdfcefb1bf74888f4ff4e73943f3703f3db59b.jpg","36b3055b082f8ced3c99becff1cdfcefb1bf74888f4ff4e73943f3703f3db59b")</f>
        <v>36b3055b082f8ced3c99becff1cdfcefb1bf74888f4ff4e73943f3703f3db59b</v>
      </c>
      <c r="I1660" s="1" t="s">
        <v>3417</v>
      </c>
      <c r="L1660" s="2" t="s">
        <v>3419</v>
      </c>
      <c r="M1660" s="2" t="n">
        <v>357245</v>
      </c>
      <c r="S1660" s="2" t="n">
        <v>2550</v>
      </c>
      <c r="T1660" s="2" t="n">
        <v>3300</v>
      </c>
    </row>
    <row r="1661" customFormat="false" ht="18.7" hidden="false" customHeight="true" outlineLevel="0" collapsed="false">
      <c r="A1661" s="1" t="n">
        <v>1660</v>
      </c>
      <c r="B1661" s="7" t="str">
        <f aca="false">HYPERLINK("https://mncourtfraud.com/file/27-CR-21-22737.pdf","27-CR-21-22737")</f>
        <v>27-CR-21-22737</v>
      </c>
      <c r="C1661" s="1" t="n">
        <v>5</v>
      </c>
      <c r="D1661" s="2" t="s">
        <v>267</v>
      </c>
      <c r="E1661" s="8" t="n">
        <v>44733</v>
      </c>
      <c r="F1661" s="2" t="s">
        <v>17</v>
      </c>
      <c r="G1661" s="7" t="str">
        <f aca="false">HYPERLINK("https://mncourtfraud.com/file/MCRO_27-CR-21-22737_Returned Mail_2022-06-21_20251126165440.pdf","MCRO_27-CR-21-22737_Returned Mail_2022-06-21_20251126165440.pdf")</f>
        <v>MCRO_27-CR-21-22737_Returned Mail_2022-06-21_20251126165440.pdf</v>
      </c>
      <c r="H1661" s="7" t="str">
        <f aca="false">HYPERLINK("https://mncourtfraud.com/file/f8f884f098449fb38c50402ff1244511b1491f8e0861eaea8d47e5e1dccecc68.ttf","f8f884f098449fb38c50402ff1244511b1491f8e0861eaea8d47e5e1dccecc68")</f>
        <v>f8f884f098449fb38c50402ff1244511b1491f8e0861eaea8d47e5e1dccecc68</v>
      </c>
      <c r="I1661" s="1" t="s">
        <v>3413</v>
      </c>
      <c r="L1661" s="2" t="s">
        <v>3415</v>
      </c>
      <c r="M1661" s="2" t="n">
        <v>333576</v>
      </c>
    </row>
    <row r="1662" customFormat="false" ht="18.7" hidden="false" customHeight="true" outlineLevel="0" collapsed="false">
      <c r="A1662" s="1" t="n">
        <v>1661</v>
      </c>
      <c r="B1662" s="7" t="str">
        <f aca="false">HYPERLINK("https://mncourtfraud.com/file/27-CR-21-22737.pdf","27-CR-21-22737")</f>
        <v>27-CR-21-22737</v>
      </c>
      <c r="C1662" s="1" t="n">
        <v>5</v>
      </c>
      <c r="D1662" s="2" t="s">
        <v>267</v>
      </c>
      <c r="E1662" s="8" t="n">
        <v>44837</v>
      </c>
      <c r="F1662" s="2" t="s">
        <v>17</v>
      </c>
      <c r="G1662" s="7" t="str">
        <f aca="false">HYPERLINK("https://mncourtfraud.com/file/MCRO_27-CR-21-22737_Returned Mail_2022-10-03_20251126165429.pdf","MCRO_27-CR-21-22737_Returned Mail_2022-10-03_20251126165429.pdf")</f>
        <v>MCRO_27-CR-21-22737_Returned Mail_2022-10-03_20251126165429.pdf</v>
      </c>
      <c r="H1662" s="7" t="str">
        <f aca="false">HYPERLINK("https://mncourtfraud.com/file/237d5516e0c716146a65e7b2daf746fb6188c66f833317ba27cb286332d42dea.jpg","237d5516e0c716146a65e7b2daf746fb6188c66f833317ba27cb286332d42dea")</f>
        <v>237d5516e0c716146a65e7b2daf746fb6188c66f833317ba27cb286332d42dea</v>
      </c>
      <c r="I1662" s="1" t="s">
        <v>3417</v>
      </c>
      <c r="L1662" s="2" t="s">
        <v>3419</v>
      </c>
      <c r="M1662" s="2" t="n">
        <v>318425</v>
      </c>
      <c r="S1662" s="2" t="n">
        <v>2550</v>
      </c>
      <c r="T1662" s="2" t="n">
        <v>3300</v>
      </c>
    </row>
    <row r="1663" customFormat="false" ht="18.7" hidden="false" customHeight="true" outlineLevel="0" collapsed="false">
      <c r="A1663" s="1" t="n">
        <v>1662</v>
      </c>
      <c r="B1663" s="7" t="str">
        <f aca="false">HYPERLINK("https://mncourtfraud.com/file/27-CR-21-22737.pdf","27-CR-21-22737")</f>
        <v>27-CR-21-22737</v>
      </c>
      <c r="C1663" s="1" t="n">
        <v>5</v>
      </c>
      <c r="D1663" s="2" t="s">
        <v>267</v>
      </c>
      <c r="E1663" s="8" t="n">
        <v>44837</v>
      </c>
      <c r="F1663" s="2" t="s">
        <v>17</v>
      </c>
      <c r="G1663" s="7" t="str">
        <f aca="false">HYPERLINK("https://mncourtfraud.com/file/MCRO_27-CR-21-22737_Returned Mail_2022-10-03_20251126165429.pdf","MCRO_27-CR-21-22737_Returned Mail_2022-10-03_20251126165429.pdf")</f>
        <v>MCRO_27-CR-21-22737_Returned Mail_2022-10-03_20251126165429.pdf</v>
      </c>
      <c r="H1663" s="7" t="str">
        <f aca="false">HYPERLINK("https://mncourtfraud.com/file/a5e5c392eb46244eb2f6cb58ac26cd8ceafb56d6f16b754ee26ba4f3c1b3b729.ttf","a5e5c392eb46244eb2f6cb58ac26cd8ceafb56d6f16b754ee26ba4f3c1b3b729")</f>
        <v>a5e5c392eb46244eb2f6cb58ac26cd8ceafb56d6f16b754ee26ba4f3c1b3b729</v>
      </c>
      <c r="I1663" s="1" t="s">
        <v>3413</v>
      </c>
      <c r="L1663" s="2" t="s">
        <v>3415</v>
      </c>
      <c r="M1663" s="2" t="n">
        <v>333584</v>
      </c>
    </row>
    <row r="1664" customFormat="false" ht="18.7" hidden="false" customHeight="true" outlineLevel="0" collapsed="false">
      <c r="A1664" s="1" t="n">
        <v>1663</v>
      </c>
      <c r="B1664" s="7" t="str">
        <f aca="false">HYPERLINK("https://mncourtfraud.com/file/27-CR-21-22737.pdf","27-CR-21-22737")</f>
        <v>27-CR-21-22737</v>
      </c>
      <c r="C1664" s="1" t="n">
        <v>5</v>
      </c>
      <c r="D1664" s="2" t="s">
        <v>267</v>
      </c>
      <c r="E1664" s="8" t="n">
        <v>44873</v>
      </c>
      <c r="F1664" s="2" t="s">
        <v>15</v>
      </c>
      <c r="G1664" s="7" t="str">
        <f aca="false">HYPERLINK("https://mncourtfraud.com/file/MCRO_27-CR-21-22737_Order-Evaluation for Competency to Proceed (Rule 20.01)_2022-11-08_20251126165353.pdf","MCRO_27-CR-21-22737_Order-Evaluation for Competency to Proceed (Rule 20.01)_2022-11-08_20251126165353.pdf")</f>
        <v>MCRO_27-CR-21-22737_Order-Evaluation for Competency to Proceed (Rule 20.01)_2022-11-08_20251126165353.pdf</v>
      </c>
      <c r="H1664" s="7" t="str">
        <f aca="false">HYPERLINK("https://mncourtfraud.com/file/082f387ba4835f1cae3d2529d7afa13cbb922baebe03519ee43d2c14358c2398.jpg","082f387ba4835f1cae3d2529d7afa13cbb922baebe03519ee43d2c14358c2398")</f>
        <v>082f387ba4835f1cae3d2529d7afa13cbb922baebe03519ee43d2c14358c2398</v>
      </c>
      <c r="I1664" s="1" t="s">
        <v>3417</v>
      </c>
      <c r="L1664" s="2" t="s">
        <v>3418</v>
      </c>
      <c r="M1664" s="2" t="n">
        <v>300734</v>
      </c>
      <c r="S1664" s="2" t="n">
        <v>1700</v>
      </c>
      <c r="T1664" s="2" t="n">
        <v>2200</v>
      </c>
    </row>
    <row r="1665" customFormat="false" ht="18.7" hidden="false" customHeight="true" outlineLevel="0" collapsed="false">
      <c r="A1665" s="1" t="n">
        <v>1664</v>
      </c>
      <c r="B1665" s="7" t="str">
        <f aca="false">HYPERLINK("https://mncourtfraud.com/file/27-CR-21-22737.pdf","27-CR-21-22737")</f>
        <v>27-CR-21-22737</v>
      </c>
      <c r="C1665" s="1" t="n">
        <v>5</v>
      </c>
      <c r="D1665" s="2" t="s">
        <v>267</v>
      </c>
      <c r="E1665" s="8" t="n">
        <v>44873</v>
      </c>
      <c r="F1665" s="2" t="s">
        <v>15</v>
      </c>
      <c r="G1665" s="7" t="str">
        <f aca="false">HYPERLINK("https://mncourtfraud.com/file/MCRO_27-CR-21-22737_Order-Evaluation for Competency to Proceed (Rule 20.01)_2022-11-08_20251126165353.pdf","MCRO_27-CR-21-22737_Order-Evaluation for Competency to Proceed (Rule 20.01)_2022-11-08_20251126165353.pdf")</f>
        <v>MCRO_27-CR-21-22737_Order-Evaluation for Competency to Proceed (Rule 20.01)_2022-11-08_20251126165353.pdf</v>
      </c>
      <c r="H1665" s="7" t="str">
        <f aca="false">HYPERLINK("https://mncourtfraud.com/file/5ec6a5633be2d5f7201fcc405ec826928f8ebd9d0f347fee056c3ff04cd3e3d7.ttf","5ec6a5633be2d5f7201fcc405ec826928f8ebd9d0f347fee056c3ff04cd3e3d7")</f>
        <v>5ec6a5633be2d5f7201fcc405ec826928f8ebd9d0f347fee056c3ff04cd3e3d7</v>
      </c>
      <c r="I1665" s="1" t="s">
        <v>3413</v>
      </c>
      <c r="L1665" s="2" t="s">
        <v>3415</v>
      </c>
      <c r="M1665" s="2" t="n">
        <v>333576</v>
      </c>
    </row>
    <row r="1666" customFormat="false" ht="18.7" hidden="false" customHeight="true" outlineLevel="0" collapsed="false">
      <c r="A1666" s="1" t="n">
        <v>1665</v>
      </c>
      <c r="B1666" s="7" t="str">
        <f aca="false">HYPERLINK("https://mncourtfraud.com/file/27-CR-21-22737.pdf","27-CR-21-22737")</f>
        <v>27-CR-21-22737</v>
      </c>
      <c r="C1666" s="1" t="n">
        <v>5</v>
      </c>
      <c r="D1666" s="2" t="s">
        <v>267</v>
      </c>
      <c r="E1666" s="8" t="n">
        <v>44873</v>
      </c>
      <c r="F1666" s="2" t="s">
        <v>15</v>
      </c>
      <c r="G1666" s="7" t="str">
        <f aca="false">HYPERLINK("https://mncourtfraud.com/file/MCRO_27-CR-21-22737_Order-Evaluation for Competency to Proceed (Rule 20.01)_2022-11-08_20251126165353.pdf","MCRO_27-CR-21-22737_Order-Evaluation for Competency to Proceed (Rule 20.01)_2022-11-08_20251126165353.pdf")</f>
        <v>MCRO_27-CR-21-22737_Order-Evaluation for Competency to Proceed (Rule 20.01)_2022-11-08_20251126165353.pdf</v>
      </c>
      <c r="H1666" s="7" t="str">
        <f aca="false">HYPERLINK("https://mncourtfraud.com/file/6efe5689334238d45a24a51d7cd932b18f0bce47806d862dbcc29a63132d5402.jpg","6efe5689334238d45a24a51d7cd932b18f0bce47806d862dbcc29a63132d5402")</f>
        <v>6efe5689334238d45a24a51d7cd932b18f0bce47806d862dbcc29a63132d5402</v>
      </c>
      <c r="I1666" s="1" t="s">
        <v>3417</v>
      </c>
      <c r="L1666" s="2" t="s">
        <v>3418</v>
      </c>
      <c r="M1666" s="2" t="n">
        <v>59609</v>
      </c>
      <c r="S1666" s="2" t="n">
        <v>1700</v>
      </c>
      <c r="T1666" s="2" t="n">
        <v>2200</v>
      </c>
    </row>
    <row r="1667" customFormat="false" ht="18.7" hidden="false" customHeight="true" outlineLevel="0" collapsed="false">
      <c r="A1667" s="1" t="n">
        <v>1666</v>
      </c>
      <c r="B1667" s="7" t="str">
        <f aca="false">HYPERLINK("https://mncourtfraud.com/file/27-CR-21-22737.pdf","27-CR-21-22737")</f>
        <v>27-CR-21-22737</v>
      </c>
      <c r="C1667" s="1" t="n">
        <v>5</v>
      </c>
      <c r="D1667" s="2" t="s">
        <v>267</v>
      </c>
      <c r="E1667" s="8" t="n">
        <v>44873</v>
      </c>
      <c r="F1667" s="2" t="s">
        <v>15</v>
      </c>
      <c r="G1667" s="7" t="str">
        <f aca="false">HYPERLINK("https://mncourtfraud.com/file/MCRO_27-CR-21-22737_Order-Evaluation for Competency to Proceed (Rule 20.01)_2022-11-08_20251126165353.pdf","MCRO_27-CR-21-22737_Order-Evaluation for Competency to Proceed (Rule 20.01)_2022-11-08_20251126165353.pdf")</f>
        <v>MCRO_27-CR-21-22737_Order-Evaluation for Competency to Proceed (Rule 20.01)_2022-11-08_20251126165353.pdf</v>
      </c>
      <c r="H1667" s="7" t="str">
        <f aca="false">HYPERLINK("https://mncourtfraud.com/file/fc4055f8addb8eece144843412a390d7992a7db6c5473e9a7648f1bd742f06a0.jpg","fc4055f8addb8eece144843412a390d7992a7db6c5473e9a7648f1bd742f06a0")</f>
        <v>fc4055f8addb8eece144843412a390d7992a7db6c5473e9a7648f1bd742f06a0</v>
      </c>
      <c r="I1667" s="1" t="s">
        <v>3417</v>
      </c>
      <c r="L1667" s="2" t="s">
        <v>3418</v>
      </c>
      <c r="M1667" s="2" t="n">
        <v>366016</v>
      </c>
      <c r="S1667" s="2" t="n">
        <v>1700</v>
      </c>
      <c r="T1667" s="2" t="n">
        <v>2200</v>
      </c>
    </row>
    <row r="1668" customFormat="false" ht="18.7" hidden="false" customHeight="true" outlineLevel="0" collapsed="false">
      <c r="A1668" s="1" t="n">
        <v>1667</v>
      </c>
      <c r="B1668" s="7" t="str">
        <f aca="false">HYPERLINK("https://mncourtfraud.com/file/27-CR-21-22737.pdf","27-CR-21-22737")</f>
        <v>27-CR-21-22737</v>
      </c>
      <c r="C1668" s="1" t="n">
        <v>5</v>
      </c>
      <c r="D1668" s="2" t="s">
        <v>267</v>
      </c>
      <c r="E1668" s="8" t="n">
        <v>45023</v>
      </c>
      <c r="F1668" s="2" t="s">
        <v>15</v>
      </c>
      <c r="G1668" s="7" t="str">
        <f aca="false">HYPERLINK("https://mncourtfraud.com/file/MCRO_27-CR-21-22737_Order-Evaluation for Competency to Proceed (Rule 20.01)_2023-04-07_20251126165404.pdf","MCRO_27-CR-21-22737_Order-Evaluation for Competency to Proceed (Rule 20.01)_2023-04-07_20251126165404.pdf")</f>
        <v>MCRO_27-CR-21-22737_Order-Evaluation for Competency to Proceed (Rule 20.01)_2023-04-07_20251126165404.pdf</v>
      </c>
      <c r="H1668" s="7" t="str">
        <f aca="false">HYPERLINK("https://mncourtfraud.com/file/0a6a5c8d0560d7245c883b9f064e35ad981f17316cc32a6b51ccbced233d1f06.jpg","0a6a5c8d0560d7245c883b9f064e35ad981f17316cc32a6b51ccbced233d1f06")</f>
        <v>0a6a5c8d0560d7245c883b9f064e35ad981f17316cc32a6b51ccbced233d1f06</v>
      </c>
      <c r="I1668" s="1" t="s">
        <v>3417</v>
      </c>
      <c r="L1668" s="2" t="s">
        <v>3418</v>
      </c>
      <c r="M1668" s="2" t="n">
        <v>515662</v>
      </c>
      <c r="S1668" s="2" t="n">
        <v>2550</v>
      </c>
      <c r="T1668" s="2" t="n">
        <v>3300</v>
      </c>
    </row>
    <row r="1669" customFormat="false" ht="18.7" hidden="false" customHeight="true" outlineLevel="0" collapsed="false">
      <c r="A1669" s="1" t="n">
        <v>1668</v>
      </c>
      <c r="B1669" s="7" t="str">
        <f aca="false">HYPERLINK("https://mncourtfraud.com/file/27-CR-21-22737.pdf","27-CR-21-22737")</f>
        <v>27-CR-21-22737</v>
      </c>
      <c r="C1669" s="1" t="n">
        <v>5</v>
      </c>
      <c r="D1669" s="2" t="s">
        <v>267</v>
      </c>
      <c r="E1669" s="8" t="n">
        <v>45023</v>
      </c>
      <c r="F1669" s="2" t="s">
        <v>15</v>
      </c>
      <c r="G1669" s="7" t="str">
        <f aca="false">HYPERLINK("https://mncourtfraud.com/file/MCRO_27-CR-21-22737_Order-Evaluation for Competency to Proceed (Rule 20.01)_2023-04-07_20251126165404.pdf","MCRO_27-CR-21-22737_Order-Evaluation for Competency to Proceed (Rule 20.01)_2023-04-07_20251126165404.pdf")</f>
        <v>MCRO_27-CR-21-22737_Order-Evaluation for Competency to Proceed (Rule 20.01)_2023-04-07_20251126165404.pdf</v>
      </c>
      <c r="H1669" s="7" t="str">
        <f aca="false">HYPERLINK("https://mncourtfraud.com/file/64e051c792dd11b313fefcde9122abaad3db917774fa488bb89dc0c930a036ca.jpg","64e051c792dd11b313fefcde9122abaad3db917774fa488bb89dc0c930a036ca")</f>
        <v>64e051c792dd11b313fefcde9122abaad3db917774fa488bb89dc0c930a036ca</v>
      </c>
      <c r="I1669" s="1" t="s">
        <v>3417</v>
      </c>
      <c r="L1669" s="2" t="s">
        <v>3418</v>
      </c>
      <c r="M1669" s="2" t="n">
        <v>655942</v>
      </c>
      <c r="S1669" s="2" t="n">
        <v>2550</v>
      </c>
      <c r="T1669" s="2" t="n">
        <v>3300</v>
      </c>
    </row>
    <row r="1670" customFormat="false" ht="18.7" hidden="false" customHeight="true" outlineLevel="0" collapsed="false">
      <c r="A1670" s="1" t="n">
        <v>1669</v>
      </c>
      <c r="B1670" s="7" t="str">
        <f aca="false">HYPERLINK("https://mncourtfraud.com/file/27-CR-21-22737.pdf","27-CR-21-22737")</f>
        <v>27-CR-21-22737</v>
      </c>
      <c r="C1670" s="1" t="n">
        <v>5</v>
      </c>
      <c r="D1670" s="2" t="s">
        <v>267</v>
      </c>
      <c r="E1670" s="8" t="n">
        <v>45023</v>
      </c>
      <c r="F1670" s="2" t="s">
        <v>15</v>
      </c>
      <c r="G1670" s="7" t="str">
        <f aca="false">HYPERLINK("https://mncourtfraud.com/file/MCRO_27-CR-21-22737_Order-Evaluation for Competency to Proceed (Rule 20.01)_2023-04-07_20251126165404.pdf","MCRO_27-CR-21-22737_Order-Evaluation for Competency to Proceed (Rule 20.01)_2023-04-07_20251126165404.pdf")</f>
        <v>MCRO_27-CR-21-22737_Order-Evaluation for Competency to Proceed (Rule 20.01)_2023-04-07_20251126165404.pdf</v>
      </c>
      <c r="H1670" s="7" t="str">
        <f aca="false">HYPERLINK("https://mncourtfraud.com/file/c59d765d32c7642e4cd1e044b4365377b7cae905fa7c625b83a1f5a19b21242f.ttf","c59d765d32c7642e4cd1e044b4365377b7cae905fa7c625b83a1f5a19b21242f")</f>
        <v>c59d765d32c7642e4cd1e044b4365377b7cae905fa7c625b83a1f5a19b21242f</v>
      </c>
      <c r="I1670" s="1" t="s">
        <v>3413</v>
      </c>
      <c r="L1670" s="2" t="s">
        <v>3415</v>
      </c>
      <c r="M1670" s="2" t="n">
        <v>8688</v>
      </c>
    </row>
    <row r="1671" customFormat="false" ht="18.7" hidden="false" customHeight="true" outlineLevel="0" collapsed="false">
      <c r="A1671" s="1" t="n">
        <v>1670</v>
      </c>
      <c r="B1671" s="7" t="str">
        <f aca="false">HYPERLINK("https://mncourtfraud.com/file/27-CR-21-22737.pdf","27-CR-21-22737")</f>
        <v>27-CR-21-22737</v>
      </c>
      <c r="C1671" s="1" t="n">
        <v>5</v>
      </c>
      <c r="D1671" s="2" t="s">
        <v>267</v>
      </c>
      <c r="E1671" s="8" t="n">
        <v>45194</v>
      </c>
      <c r="F1671" s="2" t="s">
        <v>15</v>
      </c>
      <c r="G1671" s="7" t="str">
        <f aca="false">HYPERLINK("https://mncourtfraud.com/file/MCRO_27-CR-21-22737_Order-Evaluation for Competency to Proceed (Rule 20.01)_2023-09-25_20251126165414.pdf","MCRO_27-CR-21-22737_Order-Evaluation for Competency to Proceed (Rule 20.01)_2023-09-25_20251126165414.pdf")</f>
        <v>MCRO_27-CR-21-22737_Order-Evaluation for Competency to Proceed (Rule 20.01)_2023-09-25_20251126165414.pdf</v>
      </c>
      <c r="H1671" s="7" t="str">
        <f aca="false">HYPERLINK("https://mncourtfraud.com/file/4c385f7ae8b1b78bc4ac3302e35eeaeb47e175305fd776c018ad0582a082d2f1.png","4c385f7ae8b1b78bc4ac3302e35eeaeb47e175305fd776c018ad0582a082d2f1")</f>
        <v>4c385f7ae8b1b78bc4ac3302e35eeaeb47e175305fd776c018ad0582a082d2f1</v>
      </c>
      <c r="I1671" s="1" t="s">
        <v>3406</v>
      </c>
      <c r="L1671" s="2" t="s">
        <v>3412</v>
      </c>
      <c r="M1671" s="2" t="n">
        <v>162309</v>
      </c>
      <c r="S1671" s="2" t="n">
        <v>2560</v>
      </c>
      <c r="T1671" s="2" t="n">
        <v>3300</v>
      </c>
    </row>
    <row r="1672" customFormat="false" ht="18.7" hidden="false" customHeight="true" outlineLevel="0" collapsed="false">
      <c r="A1672" s="1" t="n">
        <v>1671</v>
      </c>
      <c r="B1672" s="7" t="str">
        <f aca="false">HYPERLINK("https://mncourtfraud.com/file/27-CR-21-22737.pdf","27-CR-21-22737")</f>
        <v>27-CR-21-22737</v>
      </c>
      <c r="C1672" s="1" t="n">
        <v>5</v>
      </c>
      <c r="D1672" s="2" t="s">
        <v>267</v>
      </c>
      <c r="E1672" s="8" t="n">
        <v>45194</v>
      </c>
      <c r="F1672" s="2" t="s">
        <v>15</v>
      </c>
      <c r="G1672" s="7" t="str">
        <f aca="false">HYPERLINK("https://mncourtfraud.com/file/MCRO_27-CR-21-22737_Order-Evaluation for Competency to Proceed (Rule 20.01)_2023-09-25_20251126165414.pdf","MCRO_27-CR-21-22737_Order-Evaluation for Competency to Proceed (Rule 20.01)_2023-09-25_20251126165414.pdf")</f>
        <v>MCRO_27-CR-21-22737_Order-Evaluation for Competency to Proceed (Rule 20.01)_2023-09-25_20251126165414.pdf</v>
      </c>
      <c r="H1672" s="7" t="str">
        <f aca="false">HYPERLINK("https://mncourtfraud.com/file/9f61d1c86b92a1cfe4c2425ebe7c20689b4132fc43316fa8ae4829c07f8dccd6.ttf","9f61d1c86b92a1cfe4c2425ebe7c20689b4132fc43316fa8ae4829c07f8dccd6")</f>
        <v>9f61d1c86b92a1cfe4c2425ebe7c20689b4132fc43316fa8ae4829c07f8dccd6</v>
      </c>
      <c r="I1672" s="1" t="s">
        <v>3413</v>
      </c>
      <c r="L1672" s="2" t="s">
        <v>3415</v>
      </c>
      <c r="M1672" s="2" t="n">
        <v>333576</v>
      </c>
    </row>
    <row r="1673" customFormat="false" ht="18.7" hidden="false" customHeight="true" outlineLevel="0" collapsed="false">
      <c r="A1673" s="1" t="n">
        <v>1672</v>
      </c>
      <c r="B1673" s="7" t="str">
        <f aca="false">HYPERLINK("https://mncourtfraud.com/file/27-CR-21-22737.pdf","27-CR-21-22737")</f>
        <v>27-CR-21-22737</v>
      </c>
      <c r="C1673" s="1" t="n">
        <v>5</v>
      </c>
      <c r="D1673" s="2" t="s">
        <v>267</v>
      </c>
      <c r="E1673" s="8" t="n">
        <v>45194</v>
      </c>
      <c r="F1673" s="2" t="s">
        <v>15</v>
      </c>
      <c r="G1673" s="7" t="str">
        <f aca="false">HYPERLINK("https://mncourtfraud.com/file/MCRO_27-CR-21-22737_Order-Evaluation for Competency to Proceed (Rule 20.01)_2023-09-25_20251126165414.pdf","MCRO_27-CR-21-22737_Order-Evaluation for Competency to Proceed (Rule 20.01)_2023-09-25_20251126165414.pdf")</f>
        <v>MCRO_27-CR-21-22737_Order-Evaluation for Competency to Proceed (Rule 20.01)_2023-09-25_20251126165414.pdf</v>
      </c>
      <c r="H1673" s="7" t="str">
        <f aca="false">HYPERLINK("https://mncourtfraud.com/file/e8ec090484db08b3be9daaa10e2fef35a99135ae0a2f234de7613cfacc2f6cac.png","e8ec090484db08b3be9daaa10e2fef35a99135ae0a2f234de7613cfacc2f6cac")</f>
        <v>e8ec090484db08b3be9daaa10e2fef35a99135ae0a2f234de7613cfacc2f6cac</v>
      </c>
      <c r="I1673" s="1" t="s">
        <v>3406</v>
      </c>
      <c r="L1673" s="2" t="s">
        <v>3412</v>
      </c>
      <c r="M1673" s="2" t="n">
        <v>133015</v>
      </c>
      <c r="S1673" s="2" t="n">
        <v>2560</v>
      </c>
      <c r="T1673" s="2" t="n">
        <v>3300</v>
      </c>
    </row>
    <row r="1674" customFormat="false" ht="18.7" hidden="false" customHeight="true" outlineLevel="0" collapsed="false">
      <c r="A1674" s="1" t="n">
        <v>1673</v>
      </c>
      <c r="B1674" s="7" t="str">
        <f aca="false">HYPERLINK("https://mncourtfraud.com/file/27-CR-21-23724.pdf","27-CR-21-23724")</f>
        <v>27-CR-21-23724</v>
      </c>
      <c r="C1674" s="1" t="n">
        <v>1</v>
      </c>
      <c r="D1674" s="2" t="s">
        <v>12</v>
      </c>
      <c r="E1674" s="8" t="n">
        <v>44558</v>
      </c>
      <c r="F1674" s="2" t="s">
        <v>15</v>
      </c>
      <c r="G1674" s="7" t="str">
        <f aca="false">HYPERLINK("https://mncourtfraud.com/file/MCRO_27-CR-21-23724_Order-Evaluation for Competency to Proceed (Rule 20.01)_2021-12-28_20251126184113.pdf","MCRO_27-CR-21-23724_Order-Evaluation for Competency to Proceed (Rule 20.01)_2021-12-28_20251126184113.pdf")</f>
        <v>MCRO_27-CR-21-23724_Order-Evaluation for Competency to Proceed (Rule 20.01)_2021-12-28_20251126184113.pdf</v>
      </c>
      <c r="H1674" s="7" t="str">
        <f aca="false">HYPERLINK("https://mncourtfraud.com/file/04388545292fe34abbd6cf3529e53aeb24c7e9c094e431167cf438e0bfa67192.png","04388545292fe34abbd6cf3529e53aeb24c7e9c094e431167cf438e0bfa67192")</f>
        <v>04388545292fe34abbd6cf3529e53aeb24c7e9c094e431167cf438e0bfa67192</v>
      </c>
      <c r="I1674" s="1" t="s">
        <v>3406</v>
      </c>
      <c r="L1674" s="2" t="s">
        <v>3412</v>
      </c>
      <c r="M1674" s="2" t="n">
        <v>131222</v>
      </c>
      <c r="S1674" s="2" t="n">
        <v>2550</v>
      </c>
      <c r="T1674" s="2" t="n">
        <v>3300</v>
      </c>
    </row>
    <row r="1675" customFormat="false" ht="18.7" hidden="false" customHeight="true" outlineLevel="0" collapsed="false">
      <c r="A1675" s="1" t="n">
        <v>1674</v>
      </c>
      <c r="B1675" s="7" t="str">
        <f aca="false">HYPERLINK("https://mncourtfraud.com/file/27-CR-21-23724.pdf","27-CR-21-23724")</f>
        <v>27-CR-21-23724</v>
      </c>
      <c r="C1675" s="1" t="n">
        <v>1</v>
      </c>
      <c r="D1675" s="2" t="s">
        <v>12</v>
      </c>
      <c r="E1675" s="8" t="n">
        <v>44558</v>
      </c>
      <c r="F1675" s="2" t="s">
        <v>15</v>
      </c>
      <c r="G1675" s="7" t="str">
        <f aca="false">HYPERLINK("https://mncourtfraud.com/file/MCRO_27-CR-21-23724_Order-Evaluation for Competency to Proceed (Rule 20.01)_2021-12-28_20251126184113.pdf","MCRO_27-CR-21-23724_Order-Evaluation for Competency to Proceed (Rule 20.01)_2021-12-28_20251126184113.pdf")</f>
        <v>MCRO_27-CR-21-23724_Order-Evaluation for Competency to Proceed (Rule 20.01)_2021-12-28_20251126184113.pdf</v>
      </c>
      <c r="H1675" s="7" t="str">
        <f aca="false">HYPERLINK("https://mncourtfraud.com/file/73116d2dc388582569c9444fe12ae0a2ddd2951907ca2a7987cea8a92a82937d.png","73116d2dc388582569c9444fe12ae0a2ddd2951907ca2a7987cea8a92a82937d")</f>
        <v>73116d2dc388582569c9444fe12ae0a2ddd2951907ca2a7987cea8a92a82937d</v>
      </c>
      <c r="I1675" s="1" t="s">
        <v>3406</v>
      </c>
      <c r="L1675" s="2" t="s">
        <v>3412</v>
      </c>
      <c r="M1675" s="2" t="n">
        <v>157133</v>
      </c>
      <c r="S1675" s="2" t="n">
        <v>2550</v>
      </c>
      <c r="T1675" s="2" t="n">
        <v>3300</v>
      </c>
    </row>
    <row r="1676" customFormat="false" ht="18.7" hidden="false" customHeight="true" outlineLevel="0" collapsed="false">
      <c r="A1676" s="1" t="n">
        <v>1675</v>
      </c>
      <c r="B1676" s="7" t="str">
        <f aca="false">HYPERLINK("https://mncourtfraud.com/file/27-CR-21-23724.pdf","27-CR-21-23724")</f>
        <v>27-CR-21-23724</v>
      </c>
      <c r="C1676" s="1" t="n">
        <v>1</v>
      </c>
      <c r="D1676" s="2" t="s">
        <v>12</v>
      </c>
      <c r="E1676" s="8" t="n">
        <v>44558</v>
      </c>
      <c r="F1676" s="2" t="s">
        <v>15</v>
      </c>
      <c r="G1676" s="7" t="str">
        <f aca="false">HYPERLINK("https://mncourtfraud.com/file/MCRO_27-CR-21-23724_Order-Evaluation for Competency to Proceed (Rule 20.01)_2021-12-28_20251126184113.pdf","MCRO_27-CR-21-23724_Order-Evaluation for Competency to Proceed (Rule 20.01)_2021-12-28_20251126184113.pdf")</f>
        <v>MCRO_27-CR-21-23724_Order-Evaluation for Competency to Proceed (Rule 20.01)_2021-12-28_20251126184113.pdf</v>
      </c>
      <c r="H1676" s="7" t="str">
        <f aca="false">HYPERLINK("https://mncourtfraud.com/file/8729897785f8d7ee1c9209e4cc7465e51fb56ba10299b35e4aa528762aef1cc1.ttf","8729897785f8d7ee1c9209e4cc7465e51fb56ba10299b35e4aa528762aef1cc1")</f>
        <v>8729897785f8d7ee1c9209e4cc7465e51fb56ba10299b35e4aa528762aef1cc1</v>
      </c>
      <c r="I1676" s="1" t="s">
        <v>3413</v>
      </c>
      <c r="L1676" s="2" t="s">
        <v>3415</v>
      </c>
      <c r="M1676" s="2" t="n">
        <v>333576</v>
      </c>
    </row>
    <row r="1677" customFormat="false" ht="18.7" hidden="false" customHeight="true" outlineLevel="0" collapsed="false">
      <c r="A1677" s="1" t="n">
        <v>1676</v>
      </c>
      <c r="B1677" s="7" t="str">
        <f aca="false">HYPERLINK("https://mncourtfraud.com/file/27-CR-21-23724.pdf","27-CR-21-23724")</f>
        <v>27-CR-21-23724</v>
      </c>
      <c r="C1677" s="1" t="n">
        <v>1</v>
      </c>
      <c r="D1677" s="2" t="s">
        <v>12</v>
      </c>
      <c r="E1677" s="8" t="n">
        <v>44558</v>
      </c>
      <c r="F1677" s="2" t="s">
        <v>15</v>
      </c>
      <c r="G1677" s="7" t="str">
        <f aca="false">HYPERLINK("https://mncourtfraud.com/file/MCRO_27-CR-21-23724_Order-Evaluation for Competency to Proceed (Rule 20.01)_2021-12-28_20251126184113.pdf","MCRO_27-CR-21-23724_Order-Evaluation for Competency to Proceed (Rule 20.01)_2021-12-28_20251126184113.pdf")</f>
        <v>MCRO_27-CR-21-23724_Order-Evaluation for Competency to Proceed (Rule 20.01)_2021-12-28_20251126184113.pdf</v>
      </c>
      <c r="H1677" s="7" t="str">
        <f aca="false">HYPERLINK("https://mncourtfraud.com/file/fb421bbb581afbe052abc454ea5650b427780d4d3d52c42ec8a3dba7aef1c7c4.png","fb421bbb581afbe052abc454ea5650b427780d4d3d52c42ec8a3dba7aef1c7c4")</f>
        <v>fb421bbb581afbe052abc454ea5650b427780d4d3d52c42ec8a3dba7aef1c7c4</v>
      </c>
      <c r="I1677" s="1" t="s">
        <v>3406</v>
      </c>
      <c r="L1677" s="2" t="s">
        <v>3412</v>
      </c>
      <c r="M1677" s="2" t="n">
        <v>100256</v>
      </c>
      <c r="S1677" s="2" t="n">
        <v>2550</v>
      </c>
      <c r="T1677" s="2" t="n">
        <v>3300</v>
      </c>
    </row>
    <row r="1678" customFormat="false" ht="18.7" hidden="false" customHeight="true" outlineLevel="0" collapsed="false">
      <c r="A1678" s="1" t="n">
        <v>1677</v>
      </c>
      <c r="B1678" s="7" t="str">
        <f aca="false">HYPERLINK("https://mncourtfraud.com/file/27-CR-21-23724.pdf","27-CR-21-23724")</f>
        <v>27-CR-21-23724</v>
      </c>
      <c r="C1678" s="1" t="n">
        <v>1</v>
      </c>
      <c r="D1678" s="2" t="s">
        <v>12</v>
      </c>
      <c r="E1678" s="8" t="n">
        <v>44593</v>
      </c>
      <c r="F1678" s="2" t="s">
        <v>19</v>
      </c>
      <c r="G1678" s="7" t="str">
        <f aca="false">HYPERLINK("https://mncourtfraud.com/file/MCRO_27-CR-21-23724_Findings and Order_2022-02-01_20251126184020.pdf","MCRO_27-CR-21-23724_Findings and Order_2022-02-01_20251126184020.pdf")</f>
        <v>MCRO_27-CR-21-23724_Findings and Order_2022-02-01_20251126184020.pdf</v>
      </c>
      <c r="H1678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1678" s="1" t="s">
        <v>3413</v>
      </c>
      <c r="J1678" s="2" t="s">
        <v>3426</v>
      </c>
      <c r="K1678" s="2" t="s">
        <v>3426</v>
      </c>
      <c r="L1678" s="2" t="s">
        <v>3415</v>
      </c>
      <c r="M1678" s="2" t="n">
        <v>74997</v>
      </c>
      <c r="N1678" s="2" t="s">
        <v>3427</v>
      </c>
    </row>
    <row r="1679" customFormat="false" ht="18.7" hidden="false" customHeight="true" outlineLevel="0" collapsed="false">
      <c r="A1679" s="1" t="n">
        <v>1678</v>
      </c>
      <c r="B1679" s="7" t="str">
        <f aca="false">HYPERLINK("https://mncourtfraud.com/file/27-CR-21-23724.pdf","27-CR-21-23724")</f>
        <v>27-CR-21-23724</v>
      </c>
      <c r="C1679" s="1" t="n">
        <v>1</v>
      </c>
      <c r="D1679" s="2" t="s">
        <v>12</v>
      </c>
      <c r="E1679" s="8" t="n">
        <v>44593</v>
      </c>
      <c r="F1679" s="2" t="s">
        <v>19</v>
      </c>
      <c r="G1679" s="7" t="str">
        <f aca="false">HYPERLINK("https://mncourtfraud.com/file/MCRO_27-CR-21-23724_Findings and Order_2022-02-01_20251126184020.pdf","MCRO_27-CR-21-23724_Findings and Order_2022-02-01_20251126184020.pdf")</f>
        <v>MCRO_27-CR-21-23724_Findings and Order_2022-02-01_20251126184020.pdf</v>
      </c>
      <c r="H1679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1679" s="1" t="s">
        <v>3428</v>
      </c>
      <c r="J1679" s="2" t="s">
        <v>3429</v>
      </c>
      <c r="K1679" s="2" t="s">
        <v>3429</v>
      </c>
      <c r="L1679" s="2" t="s">
        <v>3415</v>
      </c>
      <c r="M1679" s="2" t="n">
        <v>86093</v>
      </c>
    </row>
    <row r="1680" customFormat="false" ht="18.7" hidden="false" customHeight="true" outlineLevel="0" collapsed="false">
      <c r="A1680" s="1" t="n">
        <v>1679</v>
      </c>
      <c r="B1680" s="7" t="str">
        <f aca="false">HYPERLINK("https://mncourtfraud.com/file/27-CR-21-23724.pdf","27-CR-21-23724")</f>
        <v>27-CR-21-23724</v>
      </c>
      <c r="C1680" s="1" t="n">
        <v>1</v>
      </c>
      <c r="D1680" s="2" t="s">
        <v>12</v>
      </c>
      <c r="E1680" s="8" t="n">
        <v>44593</v>
      </c>
      <c r="F1680" s="2" t="s">
        <v>19</v>
      </c>
      <c r="G1680" s="7" t="str">
        <f aca="false">HYPERLINK("https://mncourtfraud.com/file/MCRO_27-CR-21-23724_Findings and Order_2022-02-01_20251126184020.pdf","MCRO_27-CR-21-23724_Findings and Order_2022-02-01_20251126184020.pdf")</f>
        <v>MCRO_27-CR-21-23724_Findings and Order_2022-02-01_20251126184020.pdf</v>
      </c>
      <c r="H1680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1680" s="1" t="s">
        <v>3413</v>
      </c>
      <c r="J1680" s="2" t="s">
        <v>3414</v>
      </c>
      <c r="K1680" s="2" t="s">
        <v>3414</v>
      </c>
      <c r="L1680" s="2" t="s">
        <v>3415</v>
      </c>
      <c r="M1680" s="2" t="n">
        <v>42332</v>
      </c>
    </row>
    <row r="1681" customFormat="false" ht="18.7" hidden="false" customHeight="true" outlineLevel="0" collapsed="false">
      <c r="A1681" s="1" t="n">
        <v>1680</v>
      </c>
      <c r="B1681" s="7" t="str">
        <f aca="false">HYPERLINK("https://mncourtfraud.com/file/27-CR-21-23724.pdf","27-CR-21-23724")</f>
        <v>27-CR-21-23724</v>
      </c>
      <c r="C1681" s="1" t="n">
        <v>1</v>
      </c>
      <c r="D1681" s="2" t="s">
        <v>12</v>
      </c>
      <c r="E1681" s="8" t="n">
        <v>44593</v>
      </c>
      <c r="F1681" s="2" t="s">
        <v>19</v>
      </c>
      <c r="G1681" s="7" t="str">
        <f aca="false">HYPERLINK("https://mncourtfraud.com/file/MCRO_27-CR-21-23724_Findings and Order_2022-02-01_20251126184020.pdf","MCRO_27-CR-21-23724_Findings and Order_2022-02-01_20251126184020.pdf")</f>
        <v>MCRO_27-CR-21-23724_Findings and Order_2022-02-01_20251126184020.pdf</v>
      </c>
      <c r="H1681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1681" s="1" t="s">
        <v>3413</v>
      </c>
      <c r="J1681" s="2" t="s">
        <v>3414</v>
      </c>
      <c r="K1681" s="2" t="s">
        <v>3414</v>
      </c>
      <c r="L1681" s="2" t="s">
        <v>3415</v>
      </c>
      <c r="M1681" s="2" t="n">
        <v>42332</v>
      </c>
    </row>
    <row r="1682" customFormat="false" ht="18.7" hidden="false" customHeight="true" outlineLevel="0" collapsed="false">
      <c r="A1682" s="1" t="n">
        <v>1681</v>
      </c>
      <c r="B1682" s="7" t="str">
        <f aca="false">HYPERLINK("https://mncourtfraud.com/file/27-CR-21-23724.pdf","27-CR-21-23724")</f>
        <v>27-CR-21-23724</v>
      </c>
      <c r="C1682" s="1" t="n">
        <v>1</v>
      </c>
      <c r="D1682" s="2" t="s">
        <v>12</v>
      </c>
      <c r="E1682" s="8" t="n">
        <v>44593</v>
      </c>
      <c r="F1682" s="2" t="s">
        <v>19</v>
      </c>
      <c r="G1682" s="7" t="str">
        <f aca="false">HYPERLINK("https://mncourtfraud.com/file/MCRO_27-CR-21-23724_Findings and Order_2022-02-01_20251126184020.pdf","MCRO_27-CR-21-23724_Findings and Order_2022-02-01_20251126184020.pdf")</f>
        <v>MCRO_27-CR-21-23724_Findings and Order_2022-02-01_20251126184020.pdf</v>
      </c>
      <c r="H1682" s="7" t="str">
        <f aca="false">HYPERLINK("https://mncourtfraud.com/file/d1e06f7a12c8d4ae1de62861dbfeadf4f6b52b1cfd6801e548bc1d08782c1451.ttf","d1e06f7a12c8d4ae1de62861dbfeadf4f6b52b1cfd6801e548bc1d08782c1451")</f>
        <v>d1e06f7a12c8d4ae1de62861dbfeadf4f6b52b1cfd6801e548bc1d08782c1451</v>
      </c>
      <c r="I1682" s="1" t="s">
        <v>3413</v>
      </c>
      <c r="J1682" s="2" t="s">
        <v>3414</v>
      </c>
      <c r="K1682" s="2" t="s">
        <v>3416</v>
      </c>
      <c r="L1682" s="2" t="s">
        <v>3415</v>
      </c>
      <c r="M1682" s="2" t="n">
        <v>28584</v>
      </c>
    </row>
    <row r="1683" customFormat="false" ht="18.7" hidden="false" customHeight="true" outlineLevel="0" collapsed="false">
      <c r="A1683" s="1" t="n">
        <v>1682</v>
      </c>
      <c r="B1683" s="7" t="str">
        <f aca="false">HYPERLINK("https://mncourtfraud.com/file/27-CR-21-23724.pdf","27-CR-21-23724")</f>
        <v>27-CR-21-23724</v>
      </c>
      <c r="C1683" s="1" t="n">
        <v>1</v>
      </c>
      <c r="D1683" s="2" t="s">
        <v>12</v>
      </c>
      <c r="E1683" s="8" t="n">
        <v>44593</v>
      </c>
      <c r="F1683" s="2" t="s">
        <v>19</v>
      </c>
      <c r="G1683" s="7" t="str">
        <f aca="false">HYPERLINK("https://mncourtfraud.com/file/MCRO_27-CR-21-23724_Findings and Order_2022-02-01_20251126184020.pdf","MCRO_27-CR-21-23724_Findings and Order_2022-02-01_20251126184020.pdf")</f>
        <v>MCRO_27-CR-21-23724_Findings and Order_2022-02-01_20251126184020.pdf</v>
      </c>
      <c r="H1683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1683" s="1" t="s">
        <v>3406</v>
      </c>
      <c r="K1683" s="2" t="s">
        <v>3430</v>
      </c>
      <c r="L1683" s="2" t="s">
        <v>3408</v>
      </c>
      <c r="M1683" s="2" t="n">
        <v>28069</v>
      </c>
      <c r="O1683" s="2" t="s">
        <v>3409</v>
      </c>
      <c r="P1683" s="2" t="s">
        <v>3410</v>
      </c>
      <c r="S1683" s="2" t="n">
        <v>448</v>
      </c>
      <c r="T1683" s="2" t="n">
        <v>128</v>
      </c>
    </row>
    <row r="1684" customFormat="false" ht="18.7" hidden="false" customHeight="true" outlineLevel="0" collapsed="false">
      <c r="A1684" s="1" t="n">
        <v>1683</v>
      </c>
      <c r="B1684" s="7" t="str">
        <f aca="false">HYPERLINK("https://mncourtfraud.com/file/27-CR-21-23724.pdf","27-CR-21-23724")</f>
        <v>27-CR-21-23724</v>
      </c>
      <c r="C1684" s="1" t="n">
        <v>1</v>
      </c>
      <c r="D1684" s="2" t="s">
        <v>12</v>
      </c>
      <c r="E1684" s="8" t="n">
        <v>44692</v>
      </c>
      <c r="F1684" s="2" t="s">
        <v>15</v>
      </c>
      <c r="G1684" s="7" t="str">
        <f aca="false">HYPERLINK("https://mncourtfraud.com/file/MCRO_27-CR-21-23724_Order-Evaluation for Competency to Proceed (Rule 20.01)_2022-05-11_20251126184121.pdf","MCRO_27-CR-21-23724_Order-Evaluation for Competency to Proceed (Rule 20.01)_2022-05-11_20251126184121.pdf")</f>
        <v>MCRO_27-CR-21-23724_Order-Evaluation for Competency to Proceed (Rule 20.01)_2022-05-11_20251126184121.pdf</v>
      </c>
      <c r="H1684" s="7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1684" s="1" t="s">
        <v>3406</v>
      </c>
      <c r="K1684" s="2" t="s">
        <v>3432</v>
      </c>
      <c r="L1684" s="2" t="s">
        <v>3408</v>
      </c>
      <c r="M1684" s="2" t="n">
        <v>21121</v>
      </c>
      <c r="O1684" s="2" t="s">
        <v>3409</v>
      </c>
      <c r="P1684" s="2" t="s">
        <v>3410</v>
      </c>
      <c r="S1684" s="2" t="n">
        <v>695</v>
      </c>
      <c r="T1684" s="2" t="n">
        <v>233</v>
      </c>
    </row>
    <row r="1685" customFormat="false" ht="18.7" hidden="false" customHeight="true" outlineLevel="0" collapsed="false">
      <c r="A1685" s="1" t="n">
        <v>1684</v>
      </c>
      <c r="B1685" s="7" t="str">
        <f aca="false">HYPERLINK("https://mncourtfraud.com/file/27-CR-21-23724.pdf","27-CR-21-23724")</f>
        <v>27-CR-21-23724</v>
      </c>
      <c r="C1685" s="1" t="n">
        <v>1</v>
      </c>
      <c r="D1685" s="2" t="s">
        <v>12</v>
      </c>
      <c r="E1685" s="8" t="n">
        <v>44692</v>
      </c>
      <c r="F1685" s="2" t="s">
        <v>15</v>
      </c>
      <c r="G1685" s="7" t="str">
        <f aca="false">HYPERLINK("https://mncourtfraud.com/file/MCRO_27-CR-21-23724_Order-Evaluation for Competency to Proceed (Rule 20.01)_2022-05-11_20251126184121.pdf","MCRO_27-CR-21-23724_Order-Evaluation for Competency to Proceed (Rule 20.01)_2022-05-11_20251126184121.pdf")</f>
        <v>MCRO_27-CR-21-23724_Order-Evaluation for Competency to Proceed (Rule 20.01)_2022-05-11_20251126184121.pdf</v>
      </c>
      <c r="H1685" s="7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1685" s="1" t="s">
        <v>3406</v>
      </c>
      <c r="K1685" s="2" t="s">
        <v>3433</v>
      </c>
      <c r="L1685" s="2" t="s">
        <v>3408</v>
      </c>
      <c r="M1685" s="2" t="n">
        <v>53838</v>
      </c>
      <c r="O1685" s="2" t="s">
        <v>3409</v>
      </c>
      <c r="P1685" s="2" t="s">
        <v>3410</v>
      </c>
      <c r="S1685" s="2" t="n">
        <v>695</v>
      </c>
      <c r="T1685" s="2" t="n">
        <v>233</v>
      </c>
    </row>
    <row r="1686" customFormat="false" ht="18.7" hidden="false" customHeight="true" outlineLevel="0" collapsed="false">
      <c r="A1686" s="1" t="n">
        <v>1685</v>
      </c>
      <c r="B1686" s="7" t="str">
        <f aca="false">HYPERLINK("https://mncourtfraud.com/file/27-CR-21-23724.pdf","27-CR-21-23724")</f>
        <v>27-CR-21-23724</v>
      </c>
      <c r="C1686" s="1" t="n">
        <v>1</v>
      </c>
      <c r="D1686" s="2" t="s">
        <v>12</v>
      </c>
      <c r="E1686" s="8" t="n">
        <v>44692</v>
      </c>
      <c r="F1686" s="2" t="s">
        <v>15</v>
      </c>
      <c r="G1686" s="7" t="str">
        <f aca="false">HYPERLINK("https://mncourtfraud.com/file/MCRO_27-CR-21-23724_Order-Evaluation for Competency to Proceed (Rule 20.01)_2022-05-11_20251126184121.pdf","MCRO_27-CR-21-23724_Order-Evaluation for Competency to Proceed (Rule 20.01)_2022-05-11_20251126184121.pdf")</f>
        <v>MCRO_27-CR-21-23724_Order-Evaluation for Competency to Proceed (Rule 20.01)_2022-05-11_20251126184121.pdf</v>
      </c>
      <c r="H1686" s="7" t="str">
        <f aca="false">HYPERLINK("https://mncourtfraud.com/file/322fe0e9595a4df4693edf307e5f8a42a470721d59f006a7b0e86def92125a58.ttf","322fe0e9595a4df4693edf307e5f8a42a470721d59f006a7b0e86def92125a58")</f>
        <v>322fe0e9595a4df4693edf307e5f8a42a470721d59f006a7b0e86def92125a58</v>
      </c>
      <c r="I1686" s="1" t="s">
        <v>3413</v>
      </c>
      <c r="J1686" s="2" t="s">
        <v>3434</v>
      </c>
      <c r="K1686" s="2" t="s">
        <v>3434</v>
      </c>
      <c r="L1686" s="2" t="s">
        <v>3415</v>
      </c>
      <c r="M1686" s="2" t="n">
        <v>46736</v>
      </c>
      <c r="N1686" s="2" t="s">
        <v>3435</v>
      </c>
    </row>
    <row r="1687" customFormat="false" ht="18.7" hidden="false" customHeight="true" outlineLevel="0" collapsed="false">
      <c r="A1687" s="1" t="n">
        <v>1686</v>
      </c>
      <c r="B1687" s="7" t="str">
        <f aca="false">HYPERLINK("https://mncourtfraud.com/file/27-CR-21-23724.pdf","27-CR-21-23724")</f>
        <v>27-CR-21-23724</v>
      </c>
      <c r="C1687" s="1" t="n">
        <v>1</v>
      </c>
      <c r="D1687" s="2" t="s">
        <v>12</v>
      </c>
      <c r="E1687" s="8" t="n">
        <v>44692</v>
      </c>
      <c r="F1687" s="2" t="s">
        <v>15</v>
      </c>
      <c r="G1687" s="7" t="str">
        <f aca="false">HYPERLINK("https://mncourtfraud.com/file/MCRO_27-CR-21-23724_Order-Evaluation for Competency to Proceed (Rule 20.01)_2022-05-11_20251126184121.pdf","MCRO_27-CR-21-23724_Order-Evaluation for Competency to Proceed (Rule 20.01)_2022-05-11_20251126184121.pdf")</f>
        <v>MCRO_27-CR-21-23724_Order-Evaluation for Competency to Proceed (Rule 20.01)_2022-05-11_20251126184121.pdf</v>
      </c>
      <c r="H1687" s="7" t="str">
        <f aca="false">HYPERLINK("https://mncourtfraud.com/file/32ebada21768d6238e03c647b5e5acdf6ce656f0735d59c3fb698ce40418a709.ttf","32ebada21768d6238e03c647b5e5acdf6ce656f0735d59c3fb698ce40418a709")</f>
        <v>32ebada21768d6238e03c647b5e5acdf6ce656f0735d59c3fb698ce40418a709</v>
      </c>
      <c r="I1687" s="1" t="s">
        <v>3413</v>
      </c>
      <c r="J1687" s="2" t="s">
        <v>3436</v>
      </c>
      <c r="K1687" s="2" t="s">
        <v>3436</v>
      </c>
      <c r="L1687" s="2" t="s">
        <v>3415</v>
      </c>
      <c r="M1687" s="2" t="n">
        <v>65744</v>
      </c>
      <c r="N1687" s="2" t="s">
        <v>3437</v>
      </c>
    </row>
    <row r="1688" customFormat="false" ht="18.7" hidden="false" customHeight="true" outlineLevel="0" collapsed="false">
      <c r="A1688" s="1" t="n">
        <v>1687</v>
      </c>
      <c r="B1688" s="7" t="str">
        <f aca="false">HYPERLINK("https://mncourtfraud.com/file/27-CR-21-23724.pdf","27-CR-21-23724")</f>
        <v>27-CR-21-23724</v>
      </c>
      <c r="C1688" s="1" t="n">
        <v>1</v>
      </c>
      <c r="D1688" s="2" t="s">
        <v>12</v>
      </c>
      <c r="E1688" s="8" t="n">
        <v>44692</v>
      </c>
      <c r="F1688" s="2" t="s">
        <v>15</v>
      </c>
      <c r="G1688" s="7" t="str">
        <f aca="false">HYPERLINK("https://mncourtfraud.com/file/MCRO_27-CR-21-23724_Order-Evaluation for Competency to Proceed (Rule 20.01)_2022-05-11_20251126184121.pdf","MCRO_27-CR-21-23724_Order-Evaluation for Competency to Proceed (Rule 20.01)_2022-05-11_20251126184121.pdf")</f>
        <v>MCRO_27-CR-21-23724_Order-Evaluation for Competency to Proceed (Rule 20.01)_2022-05-11_20251126184121.pdf</v>
      </c>
      <c r="H1688" s="7" t="str">
        <f aca="false">HYPERLINK("https://mncourtfraud.com/file/694dcb82a5515430b7fddfbf16881b942820c8c41fee3eea3505a20c7d4e41e6.ttf","694dcb82a5515430b7fddfbf16881b942820c8c41fee3eea3505a20c7d4e41e6")</f>
        <v>694dcb82a5515430b7fddfbf16881b942820c8c41fee3eea3505a20c7d4e41e6</v>
      </c>
      <c r="I1688" s="1" t="s">
        <v>3413</v>
      </c>
      <c r="J1688" s="2" t="s">
        <v>3438</v>
      </c>
      <c r="K1688" s="2" t="s">
        <v>3438</v>
      </c>
      <c r="L1688" s="2" t="s">
        <v>3415</v>
      </c>
      <c r="M1688" s="2" t="n">
        <v>72828</v>
      </c>
      <c r="N1688" s="2" t="s">
        <v>3439</v>
      </c>
    </row>
    <row r="1689" customFormat="false" ht="18.7" hidden="false" customHeight="true" outlineLevel="0" collapsed="false">
      <c r="A1689" s="1" t="n">
        <v>1688</v>
      </c>
      <c r="B1689" s="7" t="str">
        <f aca="false">HYPERLINK("https://mncourtfraud.com/file/27-CR-21-23724.pdf","27-CR-21-23724")</f>
        <v>27-CR-21-23724</v>
      </c>
      <c r="C1689" s="1" t="n">
        <v>1</v>
      </c>
      <c r="D1689" s="2" t="s">
        <v>12</v>
      </c>
      <c r="E1689" s="8" t="n">
        <v>44692</v>
      </c>
      <c r="F1689" s="2" t="s">
        <v>15</v>
      </c>
      <c r="G1689" s="7" t="str">
        <f aca="false">HYPERLINK("https://mncourtfraud.com/file/MCRO_27-CR-21-23724_Order-Evaluation for Competency to Proceed (Rule 20.01)_2022-05-11_20251126184121.pdf","MCRO_27-CR-21-23724_Order-Evaluation for Competency to Proceed (Rule 20.01)_2022-05-11_20251126184121.pdf")</f>
        <v>MCRO_27-CR-21-23724_Order-Evaluation for Competency to Proceed (Rule 20.01)_2022-05-11_20251126184121.pdf</v>
      </c>
      <c r="H1689" s="7" t="str">
        <f aca="false">HYPERLINK("https://mncourtfraud.com/file/87764021d6d62f7c396208d3f1fa8113e5ad5f90bd03c35e7200536389af4e6a.ttf","87764021d6d62f7c396208d3f1fa8113e5ad5f90bd03c35e7200536389af4e6a")</f>
        <v>87764021d6d62f7c396208d3f1fa8113e5ad5f90bd03c35e7200536389af4e6a</v>
      </c>
      <c r="I1689" s="1" t="s">
        <v>3413</v>
      </c>
      <c r="J1689" s="2" t="s">
        <v>3440</v>
      </c>
      <c r="K1689" s="2" t="s">
        <v>3440</v>
      </c>
      <c r="L1689" s="2" t="s">
        <v>3415</v>
      </c>
      <c r="M1689" s="2" t="n">
        <v>6280</v>
      </c>
      <c r="N1689" s="2" t="s">
        <v>3441</v>
      </c>
    </row>
    <row r="1690" customFormat="false" ht="18.7" hidden="false" customHeight="true" outlineLevel="0" collapsed="false">
      <c r="A1690" s="1" t="n">
        <v>1689</v>
      </c>
      <c r="B1690" s="7" t="str">
        <f aca="false">HYPERLINK("https://mncourtfraud.com/file/27-CR-21-23724.pdf","27-CR-21-23724")</f>
        <v>27-CR-21-23724</v>
      </c>
      <c r="C1690" s="1" t="n">
        <v>1</v>
      </c>
      <c r="D1690" s="2" t="s">
        <v>12</v>
      </c>
      <c r="E1690" s="8" t="n">
        <v>44692</v>
      </c>
      <c r="F1690" s="2" t="s">
        <v>15</v>
      </c>
      <c r="G1690" s="7" t="str">
        <f aca="false">HYPERLINK("https://mncourtfraud.com/file/MCRO_27-CR-21-23724_Order-Evaluation for Competency to Proceed (Rule 20.01)_2022-05-11_20251126184121.pdf","MCRO_27-CR-21-23724_Order-Evaluation for Competency to Proceed (Rule 20.01)_2022-05-11_20251126184121.pdf")</f>
        <v>MCRO_27-CR-21-23724_Order-Evaluation for Competency to Proceed (Rule 20.01)_2022-05-11_20251126184121.pdf</v>
      </c>
      <c r="H1690" s="7" t="str">
        <f aca="false">HYPERLINK("https://mncourtfraud.com/file/a1ad71f465be26cf6bb430c59ae6133d3c381ada339ba3c6b2eadf32a9b4096b.ttf","a1ad71f465be26cf6bb430c59ae6133d3c381ada339ba3c6b2eadf32a9b4096b")</f>
        <v>a1ad71f465be26cf6bb430c59ae6133d3c381ada339ba3c6b2eadf32a9b4096b</v>
      </c>
      <c r="I1690" s="1" t="s">
        <v>3413</v>
      </c>
      <c r="J1690" s="2" t="s">
        <v>3442</v>
      </c>
      <c r="K1690" s="2" t="s">
        <v>3442</v>
      </c>
      <c r="L1690" s="2" t="s">
        <v>3415</v>
      </c>
      <c r="M1690" s="2" t="n">
        <v>5988</v>
      </c>
      <c r="N1690" s="2" t="s">
        <v>3443</v>
      </c>
    </row>
    <row r="1691" customFormat="false" ht="18.7" hidden="false" customHeight="true" outlineLevel="0" collapsed="false">
      <c r="A1691" s="1" t="n">
        <v>1690</v>
      </c>
      <c r="B1691" s="7" t="str">
        <f aca="false">HYPERLINK("https://mncourtfraud.com/file/27-CR-21-23724.pdf","27-CR-21-23724")</f>
        <v>27-CR-21-23724</v>
      </c>
      <c r="C1691" s="1" t="n">
        <v>1</v>
      </c>
      <c r="D1691" s="2" t="s">
        <v>12</v>
      </c>
      <c r="E1691" s="8" t="n">
        <v>44692</v>
      </c>
      <c r="F1691" s="2" t="s">
        <v>15</v>
      </c>
      <c r="G1691" s="7" t="str">
        <f aca="false">HYPERLINK("https://mncourtfraud.com/file/MCRO_27-CR-21-23724_Order-Evaluation for Competency to Proceed (Rule 20.01)_2022-05-11_20251126184121.pdf","MCRO_27-CR-21-23724_Order-Evaluation for Competency to Proceed (Rule 20.01)_2022-05-11_20251126184121.pdf")</f>
        <v>MCRO_27-CR-21-23724_Order-Evaluation for Competency to Proceed (Rule 20.01)_2022-05-11_20251126184121.pdf</v>
      </c>
      <c r="H1691" s="7" t="str">
        <f aca="false">HYPERLINK("https://mncourtfraud.com/file/e1befe23dc5d05be4c8e965e6fc9e74e95400600e0da0c86dd389645355f3ad1.ttf","e1befe23dc5d05be4c8e965e6fc9e74e95400600e0da0c86dd389645355f3ad1")</f>
        <v>e1befe23dc5d05be4c8e965e6fc9e74e95400600e0da0c86dd389645355f3ad1</v>
      </c>
      <c r="I1691" s="1" t="s">
        <v>3413</v>
      </c>
      <c r="J1691" s="2" t="s">
        <v>3444</v>
      </c>
      <c r="K1691" s="2" t="s">
        <v>3444</v>
      </c>
      <c r="L1691" s="2" t="s">
        <v>3415</v>
      </c>
      <c r="M1691" s="2" t="n">
        <v>94308</v>
      </c>
      <c r="N1691" s="2" t="s">
        <v>3445</v>
      </c>
    </row>
    <row r="1692" customFormat="false" ht="18.7" hidden="false" customHeight="true" outlineLevel="0" collapsed="false">
      <c r="A1692" s="1" t="n">
        <v>1691</v>
      </c>
      <c r="B1692" s="7" t="str">
        <f aca="false">HYPERLINK("https://mncourtfraud.com/file/27-CR-21-23724.pdf","27-CR-21-23724")</f>
        <v>27-CR-21-23724</v>
      </c>
      <c r="C1692" s="1" t="n">
        <v>1</v>
      </c>
      <c r="D1692" s="2" t="s">
        <v>12</v>
      </c>
      <c r="E1692" s="8" t="n">
        <v>44895</v>
      </c>
      <c r="F1692" s="2" t="s">
        <v>15</v>
      </c>
      <c r="G1692" s="7" t="str">
        <f aca="false">HYPERLINK("https://mncourtfraud.com/file/MCRO_27-CR-21-23724_Order-Evaluation for Competency to Proceed (Rule 20.01)_2022-11-30_20251126184131.pdf","MCRO_27-CR-21-23724_Order-Evaluation for Competency to Proceed (Rule 20.01)_2022-11-30_20251126184131.pdf")</f>
        <v>MCRO_27-CR-21-23724_Order-Evaluation for Competency to Proceed (Rule 20.01)_2022-11-30_20251126184131.pdf</v>
      </c>
      <c r="H1692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1692" s="1" t="s">
        <v>3413</v>
      </c>
      <c r="J1692" s="2" t="s">
        <v>3423</v>
      </c>
      <c r="K1692" s="2" t="s">
        <v>3423</v>
      </c>
      <c r="L1692" s="2" t="s">
        <v>3415</v>
      </c>
      <c r="M1692" s="2" t="n">
        <v>11088</v>
      </c>
    </row>
    <row r="1693" customFormat="false" ht="18.7" hidden="false" customHeight="true" outlineLevel="0" collapsed="false">
      <c r="A1693" s="1" t="n">
        <v>1692</v>
      </c>
      <c r="B1693" s="7" t="str">
        <f aca="false">HYPERLINK("https://mncourtfraud.com/file/27-CR-21-23724.pdf","27-CR-21-23724")</f>
        <v>27-CR-21-23724</v>
      </c>
      <c r="C1693" s="1" t="n">
        <v>1</v>
      </c>
      <c r="D1693" s="2" t="s">
        <v>12</v>
      </c>
      <c r="E1693" s="8" t="n">
        <v>44895</v>
      </c>
      <c r="F1693" s="2" t="s">
        <v>15</v>
      </c>
      <c r="G1693" s="7" t="str">
        <f aca="false">HYPERLINK("https://mncourtfraud.com/file/MCRO_27-CR-21-23724_Order-Evaluation for Competency to Proceed (Rule 20.01)_2022-11-30_20251126184131.pdf","MCRO_27-CR-21-23724_Order-Evaluation for Competency to Proceed (Rule 20.01)_2022-11-30_20251126184131.pdf")</f>
        <v>MCRO_27-CR-21-23724_Order-Evaluation for Competency to Proceed (Rule 20.01)_2022-11-30_20251126184131.pdf</v>
      </c>
      <c r="H1693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1693" s="1" t="s">
        <v>3413</v>
      </c>
      <c r="J1693" s="2" t="s">
        <v>3446</v>
      </c>
      <c r="K1693" s="2" t="s">
        <v>3446</v>
      </c>
      <c r="L1693" s="2" t="s">
        <v>3415</v>
      </c>
      <c r="M1693" s="2" t="n">
        <v>55072</v>
      </c>
      <c r="N1693" s="2" t="s">
        <v>3447</v>
      </c>
    </row>
    <row r="1694" customFormat="false" ht="18.7" hidden="false" customHeight="true" outlineLevel="0" collapsed="false">
      <c r="A1694" s="1" t="n">
        <v>1693</v>
      </c>
      <c r="B1694" s="7" t="str">
        <f aca="false">HYPERLINK("https://mncourtfraud.com/file/27-CR-21-23724.pdf","27-CR-21-23724")</f>
        <v>27-CR-21-23724</v>
      </c>
      <c r="C1694" s="1" t="n">
        <v>1</v>
      </c>
      <c r="D1694" s="2" t="s">
        <v>12</v>
      </c>
      <c r="E1694" s="8" t="n">
        <v>44895</v>
      </c>
      <c r="F1694" s="2" t="s">
        <v>15</v>
      </c>
      <c r="G1694" s="7" t="str">
        <f aca="false">HYPERLINK("https://mncourtfraud.com/file/MCRO_27-CR-21-23724_Order-Evaluation for Competency to Proceed (Rule 20.01)_2022-11-30_20251126184131.pdf","MCRO_27-CR-21-23724_Order-Evaluation for Competency to Proceed (Rule 20.01)_2022-11-30_20251126184131.pdf")</f>
        <v>MCRO_27-CR-21-23724_Order-Evaluation for Competency to Proceed (Rule 20.01)_2022-11-30_20251126184131.pdf</v>
      </c>
      <c r="H1694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1694" s="1" t="s">
        <v>3413</v>
      </c>
      <c r="J1694" s="2" t="s">
        <v>3424</v>
      </c>
      <c r="K1694" s="2" t="s">
        <v>3424</v>
      </c>
      <c r="L1694" s="2" t="s">
        <v>3415</v>
      </c>
      <c r="M1694" s="2" t="n">
        <v>14252</v>
      </c>
    </row>
    <row r="1695" customFormat="false" ht="18.7" hidden="false" customHeight="true" outlineLevel="0" collapsed="false">
      <c r="A1695" s="1" t="n">
        <v>1694</v>
      </c>
      <c r="B1695" s="7" t="str">
        <f aca="false">HYPERLINK("https://mncourtfraud.com/file/27-CR-21-23724.pdf","27-CR-21-23724")</f>
        <v>27-CR-21-23724</v>
      </c>
      <c r="C1695" s="1" t="n">
        <v>1</v>
      </c>
      <c r="D1695" s="2" t="s">
        <v>12</v>
      </c>
      <c r="E1695" s="8" t="n">
        <v>44895</v>
      </c>
      <c r="F1695" s="2" t="s">
        <v>15</v>
      </c>
      <c r="G1695" s="7" t="str">
        <f aca="false">HYPERLINK("https://mncourtfraud.com/file/MCRO_27-CR-21-23724_Order-Evaluation for Competency to Proceed (Rule 20.01)_2022-11-30_20251126184131.pdf","MCRO_27-CR-21-23724_Order-Evaluation for Competency to Proceed (Rule 20.01)_2022-11-30_20251126184131.pdf")</f>
        <v>MCRO_27-CR-21-23724_Order-Evaluation for Competency to Proceed (Rule 20.01)_2022-11-30_20251126184131.pdf</v>
      </c>
      <c r="H1695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695" s="1" t="s">
        <v>3406</v>
      </c>
      <c r="K1695" s="2" t="s">
        <v>3420</v>
      </c>
      <c r="L1695" s="2" t="s">
        <v>3408</v>
      </c>
      <c r="M1695" s="2" t="n">
        <v>7306</v>
      </c>
      <c r="O1695" s="2" t="s">
        <v>3409</v>
      </c>
      <c r="P1695" s="2" t="s">
        <v>3410</v>
      </c>
      <c r="S1695" s="2" t="n">
        <v>319</v>
      </c>
      <c r="T1695" s="2" t="n">
        <v>105</v>
      </c>
    </row>
    <row r="1696" customFormat="false" ht="18.7" hidden="false" customHeight="true" outlineLevel="0" collapsed="false">
      <c r="A1696" s="1" t="n">
        <v>1695</v>
      </c>
      <c r="B1696" s="7" t="str">
        <f aca="false">HYPERLINK("https://mncourtfraud.com/file/27-CR-21-23724.pdf","27-CR-21-23724")</f>
        <v>27-CR-21-23724</v>
      </c>
      <c r="C1696" s="1" t="n">
        <v>1</v>
      </c>
      <c r="D1696" s="2" t="s">
        <v>12</v>
      </c>
      <c r="E1696" s="8" t="n">
        <v>44895</v>
      </c>
      <c r="F1696" s="2" t="s">
        <v>15</v>
      </c>
      <c r="G1696" s="7" t="str">
        <f aca="false">HYPERLINK("https://mncourtfraud.com/file/MCRO_27-CR-21-23724_Order-Evaluation for Competency to Proceed (Rule 20.01)_2022-11-30_20251126184131.pdf","MCRO_27-CR-21-23724_Order-Evaluation for Competency to Proceed (Rule 20.01)_2022-11-30_20251126184131.pdf")</f>
        <v>MCRO_27-CR-21-23724_Order-Evaluation for Competency to Proceed (Rule 20.01)_2022-11-30_20251126184131.pdf</v>
      </c>
      <c r="H1696" s="7" t="str">
        <f aca="false">HYPERLINK("https://mncourtfraud.com/file/677e52a3b8403ce87e338b0a2e31e6f8e5ddf03fb0ca7043a341135cf0255eaa.ttf","677e52a3b8403ce87e338b0a2e31e6f8e5ddf03fb0ca7043a341135cf0255eaa")</f>
        <v>677e52a3b8403ce87e338b0a2e31e6f8e5ddf03fb0ca7043a341135cf0255eaa</v>
      </c>
      <c r="I1696" s="1" t="s">
        <v>3413</v>
      </c>
      <c r="J1696" s="2" t="s">
        <v>3422</v>
      </c>
      <c r="K1696" s="2" t="s">
        <v>3422</v>
      </c>
      <c r="L1696" s="2" t="s">
        <v>3415</v>
      </c>
      <c r="M1696" s="2" t="n">
        <v>149960</v>
      </c>
    </row>
    <row r="1697" customFormat="false" ht="18.7" hidden="false" customHeight="true" outlineLevel="0" collapsed="false">
      <c r="A1697" s="1" t="n">
        <v>1696</v>
      </c>
      <c r="B1697" s="7" t="str">
        <f aca="false">HYPERLINK("https://mncourtfraud.com/file/27-CR-21-23724.pdf","27-CR-21-23724")</f>
        <v>27-CR-21-23724</v>
      </c>
      <c r="C1697" s="1" t="n">
        <v>1</v>
      </c>
      <c r="D1697" s="2" t="s">
        <v>12</v>
      </c>
      <c r="E1697" s="8" t="n">
        <v>44895</v>
      </c>
      <c r="F1697" s="2" t="s">
        <v>15</v>
      </c>
      <c r="G1697" s="7" t="str">
        <f aca="false">HYPERLINK("https://mncourtfraud.com/file/MCRO_27-CR-21-23724_Order-Evaluation for Competency to Proceed (Rule 20.01)_2022-11-30_20251126184131.pdf","MCRO_27-CR-21-23724_Order-Evaluation for Competency to Proceed (Rule 20.01)_2022-11-30_20251126184131.pdf")</f>
        <v>MCRO_27-CR-21-23724_Order-Evaluation for Competency to Proceed (Rule 20.01)_2022-11-30_20251126184131.pdf</v>
      </c>
      <c r="H1697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1697" s="1" t="s">
        <v>3413</v>
      </c>
      <c r="J1697" s="2" t="s">
        <v>3448</v>
      </c>
      <c r="K1697" s="2" t="s">
        <v>3448</v>
      </c>
      <c r="L1697" s="2" t="s">
        <v>3415</v>
      </c>
      <c r="M1697" s="2" t="n">
        <v>916684</v>
      </c>
    </row>
    <row r="1698" customFormat="false" ht="18.7" hidden="false" customHeight="true" outlineLevel="0" collapsed="false">
      <c r="A1698" s="1" t="n">
        <v>1697</v>
      </c>
      <c r="B1698" s="7" t="str">
        <f aca="false">HYPERLINK("https://mncourtfraud.com/file/27-CR-21-23724.pdf","27-CR-21-23724")</f>
        <v>27-CR-21-23724</v>
      </c>
      <c r="C1698" s="1" t="n">
        <v>1</v>
      </c>
      <c r="D1698" s="2" t="s">
        <v>12</v>
      </c>
      <c r="E1698" s="8" t="n">
        <v>44895</v>
      </c>
      <c r="F1698" s="2" t="s">
        <v>15</v>
      </c>
      <c r="G1698" s="7" t="str">
        <f aca="false">HYPERLINK("https://mncourtfraud.com/file/MCRO_27-CR-21-23724_Order-Evaluation for Competency to Proceed (Rule 20.01)_2022-11-30_20251126184131.pdf","MCRO_27-CR-21-23724_Order-Evaluation for Competency to Proceed (Rule 20.01)_2022-11-30_20251126184131.pdf")</f>
        <v>MCRO_27-CR-21-23724_Order-Evaluation for Competency to Proceed (Rule 20.01)_2022-11-30_20251126184131.pdf</v>
      </c>
      <c r="H1698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698" s="1" t="s">
        <v>3406</v>
      </c>
      <c r="K1698" s="2" t="s">
        <v>3425</v>
      </c>
      <c r="L1698" s="2" t="s">
        <v>3408</v>
      </c>
      <c r="M1698" s="2" t="n">
        <v>21225</v>
      </c>
      <c r="O1698" s="2" t="s">
        <v>3409</v>
      </c>
      <c r="P1698" s="2" t="s">
        <v>3410</v>
      </c>
      <c r="S1698" s="2" t="n">
        <v>319</v>
      </c>
      <c r="T1698" s="2" t="n">
        <v>105</v>
      </c>
    </row>
    <row r="1699" customFormat="false" ht="18.7" hidden="false" customHeight="true" outlineLevel="0" collapsed="false">
      <c r="A1699" s="1" t="n">
        <v>1698</v>
      </c>
      <c r="B1699" s="7" t="str">
        <f aca="false">HYPERLINK("https://mncourtfraud.com/file/27-CR-21-23724.pdf","27-CR-21-23724")</f>
        <v>27-CR-21-23724</v>
      </c>
      <c r="C1699" s="1" t="n">
        <v>1</v>
      </c>
      <c r="D1699" s="2" t="s">
        <v>12</v>
      </c>
      <c r="E1699" s="8" t="n">
        <v>44895</v>
      </c>
      <c r="F1699" s="2" t="s">
        <v>15</v>
      </c>
      <c r="G1699" s="7" t="str">
        <f aca="false">HYPERLINK("https://mncourtfraud.com/file/MCRO_27-CR-21-23724_Order-Evaluation for Competency to Proceed (Rule 20.01)_2022-11-30_20251126184131.pdf","MCRO_27-CR-21-23724_Order-Evaluation for Competency to Proceed (Rule 20.01)_2022-11-30_20251126184131.pdf")</f>
        <v>MCRO_27-CR-21-23724_Order-Evaluation for Competency to Proceed (Rule 20.01)_2022-11-30_20251126184131.pdf</v>
      </c>
      <c r="H1699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1699" s="1" t="s">
        <v>3413</v>
      </c>
      <c r="J1699" s="2" t="s">
        <v>3449</v>
      </c>
      <c r="K1699" s="2" t="s">
        <v>3449</v>
      </c>
      <c r="L1699" s="2" t="s">
        <v>3415</v>
      </c>
      <c r="M1699" s="2" t="n">
        <v>124664</v>
      </c>
    </row>
    <row r="1700" customFormat="false" ht="18.7" hidden="false" customHeight="true" outlineLevel="0" collapsed="false">
      <c r="A1700" s="1" t="n">
        <v>1699</v>
      </c>
      <c r="B1700" s="7" t="str">
        <f aca="false">HYPERLINK("https://mncourtfraud.com/file/27-CR-21-23724.pdf","27-CR-21-23724")</f>
        <v>27-CR-21-23724</v>
      </c>
      <c r="C1700" s="1" t="n">
        <v>1</v>
      </c>
      <c r="D1700" s="2" t="s">
        <v>12</v>
      </c>
      <c r="E1700" s="8" t="n">
        <v>44895</v>
      </c>
      <c r="F1700" s="2" t="s">
        <v>15</v>
      </c>
      <c r="G1700" s="7" t="str">
        <f aca="false">HYPERLINK("https://mncourtfraud.com/file/MCRO_27-CR-21-23724_Order-Evaluation for Competency to Proceed (Rule 20.01)_2022-11-30_20251126184131.pdf","MCRO_27-CR-21-23724_Order-Evaluation for Competency to Proceed (Rule 20.01)_2022-11-30_20251126184131.pdf")</f>
        <v>MCRO_27-CR-21-23724_Order-Evaluation for Competency to Proceed (Rule 20.01)_2022-11-30_20251126184131.pdf</v>
      </c>
      <c r="H1700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1700" s="1" t="s">
        <v>3413</v>
      </c>
      <c r="J1700" s="2" t="s">
        <v>3449</v>
      </c>
      <c r="K1700" s="2" t="s">
        <v>3449</v>
      </c>
      <c r="L1700" s="2" t="s">
        <v>3415</v>
      </c>
      <c r="M1700" s="2" t="n">
        <v>124664</v>
      </c>
    </row>
    <row r="1701" customFormat="false" ht="18.7" hidden="false" customHeight="true" outlineLevel="0" collapsed="false">
      <c r="A1701" s="1" t="n">
        <v>1700</v>
      </c>
      <c r="B1701" s="7" t="str">
        <f aca="false">HYPERLINK("https://mncourtfraud.com/file/27-CR-21-23724.pdf","27-CR-21-23724")</f>
        <v>27-CR-21-23724</v>
      </c>
      <c r="C1701" s="1" t="n">
        <v>1</v>
      </c>
      <c r="D1701" s="2" t="s">
        <v>12</v>
      </c>
      <c r="E1701" s="8" t="n">
        <v>44999</v>
      </c>
      <c r="F1701" s="2" t="s">
        <v>17</v>
      </c>
      <c r="G1701" s="7" t="str">
        <f aca="false">HYPERLINK("https://mncourtfraud.com/file/MCRO_27-CR-21-23724_Returned Mail_2023-03-14_20251126184153.pdf","MCRO_27-CR-21-23724_Returned Mail_2023-03-14_20251126184153.pdf")</f>
        <v>MCRO_27-CR-21-23724_Returned Mail_2023-03-14_20251126184153.pdf</v>
      </c>
      <c r="H1701" s="7" t="str">
        <f aca="false">HYPERLINK("https://mncourtfraud.com/file/5f5cf916a46517f1ed3c87423ed919faae46b20d4e05bba043131ed6941e559c.jpg","5f5cf916a46517f1ed3c87423ed919faae46b20d4e05bba043131ed6941e559c")</f>
        <v>5f5cf916a46517f1ed3c87423ed919faae46b20d4e05bba043131ed6941e559c</v>
      </c>
      <c r="I1701" s="1" t="s">
        <v>3417</v>
      </c>
      <c r="L1701" s="2" t="s">
        <v>3419</v>
      </c>
      <c r="M1701" s="2" t="n">
        <v>256515</v>
      </c>
      <c r="S1701" s="2" t="n">
        <v>3300</v>
      </c>
      <c r="T1701" s="2" t="n">
        <v>2550</v>
      </c>
    </row>
    <row r="1702" customFormat="false" ht="18.7" hidden="false" customHeight="true" outlineLevel="0" collapsed="false">
      <c r="A1702" s="1" t="n">
        <v>1701</v>
      </c>
      <c r="B1702" s="7" t="str">
        <f aca="false">HYPERLINK("https://mncourtfraud.com/file/27-CR-21-23724.pdf","27-CR-21-23724")</f>
        <v>27-CR-21-23724</v>
      </c>
      <c r="C1702" s="1" t="n">
        <v>1</v>
      </c>
      <c r="D1702" s="2" t="s">
        <v>12</v>
      </c>
      <c r="E1702" s="8" t="n">
        <v>44999</v>
      </c>
      <c r="F1702" s="2" t="s">
        <v>17</v>
      </c>
      <c r="G1702" s="7" t="str">
        <f aca="false">HYPERLINK("https://mncourtfraud.com/file/MCRO_27-CR-21-23724_Returned Mail_2023-03-14_20251126184153.pdf","MCRO_27-CR-21-23724_Returned Mail_2023-03-14_20251126184153.pdf")</f>
        <v>MCRO_27-CR-21-23724_Returned Mail_2023-03-14_20251126184153.pdf</v>
      </c>
      <c r="H1702" s="7" t="str">
        <f aca="false">HYPERLINK("https://mncourtfraud.com/file/c3660fdf5b975e196ee1da048c8e0edaa6b288469d9c83b99012a6555b08607f.ttf","c3660fdf5b975e196ee1da048c8e0edaa6b288469d9c83b99012a6555b08607f")</f>
        <v>c3660fdf5b975e196ee1da048c8e0edaa6b288469d9c83b99012a6555b08607f</v>
      </c>
      <c r="I1702" s="1" t="s">
        <v>3413</v>
      </c>
      <c r="L1702" s="2" t="s">
        <v>3415</v>
      </c>
      <c r="M1702" s="2" t="n">
        <v>333576</v>
      </c>
    </row>
    <row r="1703" customFormat="false" ht="18.7" hidden="false" customHeight="true" outlineLevel="0" collapsed="false">
      <c r="A1703" s="1" t="n">
        <v>1702</v>
      </c>
      <c r="B1703" s="7" t="str">
        <f aca="false">HYPERLINK("https://mncourtfraud.com/file/27-CR-21-23724.pdf","27-CR-21-23724")</f>
        <v>27-CR-21-23724</v>
      </c>
      <c r="C1703" s="1" t="n">
        <v>1</v>
      </c>
      <c r="D1703" s="2" t="s">
        <v>12</v>
      </c>
      <c r="E1703" s="8" t="n">
        <v>45048</v>
      </c>
      <c r="F1703" s="2" t="s">
        <v>80</v>
      </c>
      <c r="G1703" s="7" t="str">
        <f aca="false">HYPERLINK("https://mncourtfraud.com/file/MCRO_27-CR-21-23724_Finding of Incompetency and Order_2023-05-02_20251126184009.pdf","MCRO_27-CR-21-23724_Finding of Incompetency and Order_2023-05-02_20251126184009.pdf")</f>
        <v>MCRO_27-CR-21-23724_Finding of Incompetency and Order_2023-05-02_20251126184009.pdf</v>
      </c>
      <c r="H1703" s="7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1703" s="1" t="s">
        <v>3406</v>
      </c>
      <c r="L1703" s="2" t="s">
        <v>3412</v>
      </c>
      <c r="M1703" s="2" t="n">
        <v>3506</v>
      </c>
      <c r="S1703" s="2" t="n">
        <v>1410</v>
      </c>
      <c r="T1703" s="2" t="n">
        <v>150</v>
      </c>
    </row>
    <row r="1704" customFormat="false" ht="18.7" hidden="false" customHeight="true" outlineLevel="0" collapsed="false">
      <c r="A1704" s="1" t="n">
        <v>1703</v>
      </c>
      <c r="B1704" s="7" t="str">
        <f aca="false">HYPERLINK("https://mncourtfraud.com/file/27-CR-21-23724.pdf","27-CR-21-23724")</f>
        <v>27-CR-21-23724</v>
      </c>
      <c r="C1704" s="1" t="n">
        <v>1</v>
      </c>
      <c r="D1704" s="2" t="s">
        <v>12</v>
      </c>
      <c r="E1704" s="8" t="n">
        <v>45048</v>
      </c>
      <c r="F1704" s="2" t="s">
        <v>80</v>
      </c>
      <c r="G1704" s="7" t="str">
        <f aca="false">HYPERLINK("https://mncourtfraud.com/file/MCRO_27-CR-21-23724_Finding of Incompetency and Order_2023-05-02_20251126184009.pdf","MCRO_27-CR-21-23724_Finding of Incompetency and Order_2023-05-02_20251126184009.pdf")</f>
        <v>MCRO_27-CR-21-23724_Finding of Incompetency and Order_2023-05-02_20251126184009.pdf</v>
      </c>
      <c r="H1704" s="7" t="str">
        <f aca="false">HYPERLINK("https://mncourtfraud.com/file/18befca089509ee2fbaddf9c5b79bf5988523b22d2369743ed9a591b9fc3bdb6.ttf","18befca089509ee2fbaddf9c5b79bf5988523b22d2369743ed9a591b9fc3bdb6")</f>
        <v>18befca089509ee2fbaddf9c5b79bf5988523b22d2369743ed9a591b9fc3bdb6</v>
      </c>
      <c r="I1704" s="1" t="s">
        <v>3413</v>
      </c>
      <c r="J1704" s="2" t="s">
        <v>3421</v>
      </c>
      <c r="K1704" s="2" t="s">
        <v>3450</v>
      </c>
      <c r="L1704" s="2" t="s">
        <v>3415</v>
      </c>
      <c r="M1704" s="2" t="n">
        <v>115928</v>
      </c>
    </row>
    <row r="1705" customFormat="false" ht="18.7" hidden="false" customHeight="true" outlineLevel="0" collapsed="false">
      <c r="A1705" s="1" t="n">
        <v>1704</v>
      </c>
      <c r="B1705" s="7" t="str">
        <f aca="false">HYPERLINK("https://mncourtfraud.com/file/27-CR-21-23724.pdf","27-CR-21-23724")</f>
        <v>27-CR-21-23724</v>
      </c>
      <c r="C1705" s="1" t="n">
        <v>1</v>
      </c>
      <c r="D1705" s="2" t="s">
        <v>12</v>
      </c>
      <c r="E1705" s="8" t="n">
        <v>45048</v>
      </c>
      <c r="F1705" s="2" t="s">
        <v>80</v>
      </c>
      <c r="G1705" s="7" t="str">
        <f aca="false">HYPERLINK("https://mncourtfraud.com/file/MCRO_27-CR-21-23724_Finding of Incompetency and Order_2023-05-02_20251126184009.pdf","MCRO_27-CR-21-23724_Finding of Incompetency and Order_2023-05-02_20251126184009.pdf")</f>
        <v>MCRO_27-CR-21-23724_Finding of Incompetency and Order_2023-05-02_20251126184009.pdf</v>
      </c>
      <c r="H1705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1705" s="1" t="s">
        <v>3413</v>
      </c>
      <c r="J1705" s="2" t="s">
        <v>3446</v>
      </c>
      <c r="K1705" s="2" t="s">
        <v>3446</v>
      </c>
      <c r="L1705" s="2" t="s">
        <v>3415</v>
      </c>
      <c r="M1705" s="2" t="n">
        <v>55072</v>
      </c>
      <c r="N1705" s="2" t="s">
        <v>3447</v>
      </c>
    </row>
    <row r="1706" customFormat="false" ht="18.7" hidden="false" customHeight="true" outlineLevel="0" collapsed="false">
      <c r="A1706" s="1" t="n">
        <v>1705</v>
      </c>
      <c r="B1706" s="7" t="str">
        <f aca="false">HYPERLINK("https://mncourtfraud.com/file/27-CR-21-23724.pdf","27-CR-21-23724")</f>
        <v>27-CR-21-23724</v>
      </c>
      <c r="C1706" s="1" t="n">
        <v>1</v>
      </c>
      <c r="D1706" s="2" t="s">
        <v>12</v>
      </c>
      <c r="E1706" s="8" t="n">
        <v>45048</v>
      </c>
      <c r="F1706" s="2" t="s">
        <v>80</v>
      </c>
      <c r="G1706" s="7" t="str">
        <f aca="false">HYPERLINK("https://mncourtfraud.com/file/MCRO_27-CR-21-23724_Finding of Incompetency and Order_2023-05-02_20251126184009.pdf","MCRO_27-CR-21-23724_Finding of Incompetency and Order_2023-05-02_20251126184009.pdf")</f>
        <v>MCRO_27-CR-21-23724_Finding of Incompetency and Order_2023-05-02_20251126184009.pdf</v>
      </c>
      <c r="H1706" s="7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1706" s="1" t="s">
        <v>3406</v>
      </c>
      <c r="K1706" s="2" t="s">
        <v>3451</v>
      </c>
      <c r="L1706" s="2" t="s">
        <v>3408</v>
      </c>
      <c r="M1706" s="2" t="n">
        <v>5295</v>
      </c>
      <c r="O1706" s="2" t="s">
        <v>3452</v>
      </c>
      <c r="P1706" s="2" t="s">
        <v>3410</v>
      </c>
      <c r="S1706" s="2" t="n">
        <v>833</v>
      </c>
      <c r="T1706" s="2" t="n">
        <v>186</v>
      </c>
    </row>
    <row r="1707" customFormat="false" ht="18.7" hidden="false" customHeight="true" outlineLevel="0" collapsed="false">
      <c r="A1707" s="1" t="n">
        <v>1706</v>
      </c>
      <c r="B1707" s="7" t="str">
        <f aca="false">HYPERLINK("https://mncourtfraud.com/file/27-CR-21-23724.pdf","27-CR-21-23724")</f>
        <v>27-CR-21-23724</v>
      </c>
      <c r="C1707" s="1" t="n">
        <v>1</v>
      </c>
      <c r="D1707" s="2" t="s">
        <v>12</v>
      </c>
      <c r="E1707" s="8" t="n">
        <v>45048</v>
      </c>
      <c r="F1707" s="2" t="s">
        <v>80</v>
      </c>
      <c r="G1707" s="7" t="str">
        <f aca="false">HYPERLINK("https://mncourtfraud.com/file/MCRO_27-CR-21-23724_Finding of Incompetency and Order_2023-05-02_20251126184009.pdf","MCRO_27-CR-21-23724_Finding of Incompetency and Order_2023-05-02_20251126184009.pdf")</f>
        <v>MCRO_27-CR-21-23724_Finding of Incompetency and Order_2023-05-02_20251126184009.pdf</v>
      </c>
      <c r="H1707" s="7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1707" s="1" t="s">
        <v>3406</v>
      </c>
      <c r="K1707" s="2" t="s">
        <v>3453</v>
      </c>
      <c r="L1707" s="2" t="s">
        <v>3408</v>
      </c>
      <c r="M1707" s="2" t="n">
        <v>3442</v>
      </c>
      <c r="O1707" s="2" t="s">
        <v>3454</v>
      </c>
      <c r="P1707" s="2" t="s">
        <v>3410</v>
      </c>
      <c r="S1707" s="2" t="n">
        <v>857</v>
      </c>
      <c r="T1707" s="2" t="n">
        <v>184</v>
      </c>
    </row>
    <row r="1708" customFormat="false" ht="18.7" hidden="false" customHeight="true" outlineLevel="0" collapsed="false">
      <c r="A1708" s="1" t="n">
        <v>1707</v>
      </c>
      <c r="B1708" s="7" t="str">
        <f aca="false">HYPERLINK("https://mncourtfraud.com/file/27-CR-21-23724.pdf","27-CR-21-23724")</f>
        <v>27-CR-21-23724</v>
      </c>
      <c r="C1708" s="1" t="n">
        <v>1</v>
      </c>
      <c r="D1708" s="2" t="s">
        <v>12</v>
      </c>
      <c r="E1708" s="8" t="n">
        <v>45048</v>
      </c>
      <c r="F1708" s="2" t="s">
        <v>80</v>
      </c>
      <c r="G1708" s="7" t="str">
        <f aca="false">HYPERLINK("https://mncourtfraud.com/file/MCRO_27-CR-21-23724_Finding of Incompetency and Order_2023-05-02_20251126184009.pdf","MCRO_27-CR-21-23724_Finding of Incompetency and Order_2023-05-02_20251126184009.pdf")</f>
        <v>MCRO_27-CR-21-23724_Finding of Incompetency and Order_2023-05-02_20251126184009.pdf</v>
      </c>
      <c r="H1708" s="7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1708" s="1" t="s">
        <v>3406</v>
      </c>
      <c r="L1708" s="2" t="s">
        <v>3412</v>
      </c>
      <c r="M1708" s="2" t="n">
        <v>3824</v>
      </c>
      <c r="S1708" s="2" t="n">
        <v>1850</v>
      </c>
      <c r="T1708" s="2" t="n">
        <v>160</v>
      </c>
    </row>
    <row r="1709" customFormat="false" ht="18.7" hidden="false" customHeight="true" outlineLevel="0" collapsed="false">
      <c r="A1709" s="1" t="n">
        <v>1708</v>
      </c>
      <c r="B1709" s="7" t="str">
        <f aca="false">HYPERLINK("https://mncourtfraud.com/file/27-CR-21-23724.pdf","27-CR-21-23724")</f>
        <v>27-CR-21-23724</v>
      </c>
      <c r="C1709" s="1" t="n">
        <v>1</v>
      </c>
      <c r="D1709" s="2" t="s">
        <v>12</v>
      </c>
      <c r="E1709" s="8" t="n">
        <v>45048</v>
      </c>
      <c r="F1709" s="2" t="s">
        <v>80</v>
      </c>
      <c r="G1709" s="7" t="str">
        <f aca="false">HYPERLINK("https://mncourtfraud.com/file/MCRO_27-CR-21-23724_Finding of Incompetency and Order_2023-05-02_20251126184009.pdf","MCRO_27-CR-21-23724_Finding of Incompetency and Order_2023-05-02_20251126184009.pdf")</f>
        <v>MCRO_27-CR-21-23724_Finding of Incompetency and Order_2023-05-02_20251126184009.pdf</v>
      </c>
      <c r="H1709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1709" s="1" t="s">
        <v>3413</v>
      </c>
      <c r="J1709" s="2" t="s">
        <v>3448</v>
      </c>
      <c r="K1709" s="2" t="s">
        <v>3448</v>
      </c>
      <c r="L1709" s="2" t="s">
        <v>3415</v>
      </c>
      <c r="M1709" s="2" t="n">
        <v>916684</v>
      </c>
    </row>
    <row r="1710" customFormat="false" ht="18.7" hidden="false" customHeight="true" outlineLevel="0" collapsed="false">
      <c r="A1710" s="1" t="n">
        <v>1709</v>
      </c>
      <c r="B1710" s="7" t="str">
        <f aca="false">HYPERLINK("https://mncourtfraud.com/file/27-CR-21-23724.pdf","27-CR-21-23724")</f>
        <v>27-CR-21-23724</v>
      </c>
      <c r="C1710" s="1" t="n">
        <v>1</v>
      </c>
      <c r="D1710" s="2" t="s">
        <v>12</v>
      </c>
      <c r="E1710" s="8" t="n">
        <v>45093</v>
      </c>
      <c r="F1710" s="2" t="s">
        <v>82</v>
      </c>
      <c r="G1710" s="7" t="str">
        <f aca="false">HYPERLINK("https://mncourtfraud.com/file/MCRO_27-CR-21-23724_Notice of Case Reassignment_2023-06-16_20251126184032.pdf","MCRO_27-CR-21-23724_Notice of Case Reassignment_2023-06-16_20251126184032.pdf")</f>
        <v>MCRO_27-CR-21-23724_Notice of Case Reassignment_2023-06-16_20251126184032.pdf</v>
      </c>
      <c r="H1710" s="7" t="str">
        <f aca="false">HYPERLINK("https://mncourtfraud.com/file/1fd1136a5ae69c0e5068fedf111533c283fb06da71a1aebe96b41cad9a15bb33.ttf","1fd1136a5ae69c0e5068fedf111533c283fb06da71a1aebe96b41cad9a15bb33")</f>
        <v>1fd1136a5ae69c0e5068fedf111533c283fb06da71a1aebe96b41cad9a15bb33</v>
      </c>
      <c r="I1710" s="1" t="s">
        <v>3413</v>
      </c>
      <c r="J1710" s="2" t="s">
        <v>3455</v>
      </c>
      <c r="K1710" s="2" t="s">
        <v>3455</v>
      </c>
      <c r="L1710" s="2" t="s">
        <v>3415</v>
      </c>
      <c r="M1710" s="2" t="n">
        <v>96348</v>
      </c>
      <c r="N1710" s="2" t="s">
        <v>3456</v>
      </c>
    </row>
    <row r="1711" customFormat="false" ht="18.7" hidden="false" customHeight="true" outlineLevel="0" collapsed="false">
      <c r="A1711" s="1" t="n">
        <v>1710</v>
      </c>
      <c r="B1711" s="7" t="str">
        <f aca="false">HYPERLINK("https://mncourtfraud.com/file/27-CR-21-23724.pdf","27-CR-21-23724")</f>
        <v>27-CR-21-23724</v>
      </c>
      <c r="C1711" s="1" t="n">
        <v>1</v>
      </c>
      <c r="D1711" s="2" t="s">
        <v>12</v>
      </c>
      <c r="E1711" s="8" t="n">
        <v>45093</v>
      </c>
      <c r="F1711" s="2" t="s">
        <v>82</v>
      </c>
      <c r="G1711" s="7" t="str">
        <f aca="false">HYPERLINK("https://mncourtfraud.com/file/MCRO_27-CR-21-23724_Notice of Case Reassignment_2023-06-16_20251126184032.pdf","MCRO_27-CR-21-23724_Notice of Case Reassignment_2023-06-16_20251126184032.pdf")</f>
        <v>MCRO_27-CR-21-23724_Notice of Case Reassignment_2023-06-16_20251126184032.pdf</v>
      </c>
      <c r="H1711" s="7" t="str">
        <f aca="false">HYPERLINK("https://mncourtfraud.com/file/4b0b043cb476134a2e47a5f4c233d3d0f7a52a3b063b8831356383f89fcd1118.ttf","4b0b043cb476134a2e47a5f4c233d3d0f7a52a3b063b8831356383f89fcd1118")</f>
        <v>4b0b043cb476134a2e47a5f4c233d3d0f7a52a3b063b8831356383f89fcd1118</v>
      </c>
      <c r="I1711" s="1" t="s">
        <v>3413</v>
      </c>
      <c r="J1711" s="2" t="s">
        <v>3457</v>
      </c>
      <c r="K1711" s="2" t="s">
        <v>3457</v>
      </c>
      <c r="L1711" s="2" t="s">
        <v>3415</v>
      </c>
      <c r="M1711" s="2" t="n">
        <v>79764</v>
      </c>
      <c r="N1711" s="2" t="s">
        <v>3458</v>
      </c>
    </row>
    <row r="1712" customFormat="false" ht="18.7" hidden="false" customHeight="true" outlineLevel="0" collapsed="false">
      <c r="A1712" s="1" t="n">
        <v>1711</v>
      </c>
      <c r="B1712" s="7" t="str">
        <f aca="false">HYPERLINK("https://mncourtfraud.com/file/27-CR-21-23724.pdf","27-CR-21-23724")</f>
        <v>27-CR-21-23724</v>
      </c>
      <c r="C1712" s="1" t="n">
        <v>1</v>
      </c>
      <c r="D1712" s="2" t="s">
        <v>12</v>
      </c>
      <c r="E1712" s="8" t="n">
        <v>45160</v>
      </c>
      <c r="F1712" s="2" t="s">
        <v>15</v>
      </c>
      <c r="G1712" s="7" t="str">
        <f aca="false">HYPERLINK("https://mncourtfraud.com/file/MCRO_27-CR-21-23724_Order-Evaluation for Competency to Proceed (Rule 20.01)_2023-08-22_20251126184139.pdf","MCRO_27-CR-21-23724_Order-Evaluation for Competency to Proceed (Rule 20.01)_2023-08-22_20251126184139.pdf")</f>
        <v>MCRO_27-CR-21-23724_Order-Evaluation for Competency to Proceed (Rule 20.01)_2023-08-22_20251126184139.pdf</v>
      </c>
      <c r="H1712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1712" s="1" t="s">
        <v>3413</v>
      </c>
      <c r="J1712" s="2" t="s">
        <v>3449</v>
      </c>
      <c r="K1712" s="2" t="s">
        <v>3449</v>
      </c>
      <c r="L1712" s="2" t="s">
        <v>3415</v>
      </c>
      <c r="M1712" s="2" t="n">
        <v>125504</v>
      </c>
    </row>
    <row r="1713" customFormat="false" ht="18.7" hidden="false" customHeight="true" outlineLevel="0" collapsed="false">
      <c r="A1713" s="1" t="n">
        <v>1712</v>
      </c>
      <c r="B1713" s="7" t="str">
        <f aca="false">HYPERLINK("https://mncourtfraud.com/file/27-CR-21-23724.pdf","27-CR-21-23724")</f>
        <v>27-CR-21-23724</v>
      </c>
      <c r="C1713" s="1" t="n">
        <v>1</v>
      </c>
      <c r="D1713" s="2" t="s">
        <v>12</v>
      </c>
      <c r="E1713" s="8" t="n">
        <v>45160</v>
      </c>
      <c r="F1713" s="2" t="s">
        <v>15</v>
      </c>
      <c r="G1713" s="7" t="str">
        <f aca="false">HYPERLINK("https://mncourtfraud.com/file/MCRO_27-CR-21-23724_Order-Evaluation for Competency to Proceed (Rule 20.01)_2023-08-22_20251126184139.pdf","MCRO_27-CR-21-23724_Order-Evaluation for Competency to Proceed (Rule 20.01)_2023-08-22_20251126184139.pdf")</f>
        <v>MCRO_27-CR-21-23724_Order-Evaluation for Competency to Proceed (Rule 20.01)_2023-08-22_20251126184139.pdf</v>
      </c>
      <c r="H1713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1713" s="1" t="s">
        <v>3413</v>
      </c>
      <c r="J1713" s="2" t="s">
        <v>3449</v>
      </c>
      <c r="K1713" s="2" t="s">
        <v>3449</v>
      </c>
      <c r="L1713" s="2" t="s">
        <v>3415</v>
      </c>
      <c r="M1713" s="2" t="n">
        <v>125504</v>
      </c>
    </row>
    <row r="1714" customFormat="false" ht="18.7" hidden="false" customHeight="true" outlineLevel="0" collapsed="false">
      <c r="A1714" s="1" t="n">
        <v>1713</v>
      </c>
      <c r="B1714" s="7" t="str">
        <f aca="false">HYPERLINK("https://mncourtfraud.com/file/27-CR-21-23724.pdf","27-CR-21-23724")</f>
        <v>27-CR-21-23724</v>
      </c>
      <c r="C1714" s="1" t="n">
        <v>1</v>
      </c>
      <c r="D1714" s="2" t="s">
        <v>12</v>
      </c>
      <c r="E1714" s="8" t="n">
        <v>45160</v>
      </c>
      <c r="F1714" s="2" t="s">
        <v>15</v>
      </c>
      <c r="G1714" s="7" t="str">
        <f aca="false">HYPERLINK("https://mncourtfraud.com/file/MCRO_27-CR-21-23724_Order-Evaluation for Competency to Proceed (Rule 20.01)_2023-08-22_20251126184139.pdf","MCRO_27-CR-21-23724_Order-Evaluation for Competency to Proceed (Rule 20.01)_2023-08-22_20251126184139.pdf")</f>
        <v>MCRO_27-CR-21-23724_Order-Evaluation for Competency to Proceed (Rule 20.01)_2023-08-22_20251126184139.pdf</v>
      </c>
      <c r="H1714" s="7" t="str">
        <f aca="false">HYPERLINK("https://mncourtfraud.com/file/0174a154b1dd2c8824c0108a525fa6ced84bf8b7d2fc9696a847700a4f83bb3b.ttf","0174a154b1dd2c8824c0108a525fa6ced84bf8b7d2fc9696a847700a4f83bb3b")</f>
        <v>0174a154b1dd2c8824c0108a525fa6ced84bf8b7d2fc9696a847700a4f83bb3b</v>
      </c>
      <c r="I1714" s="1" t="s">
        <v>3413</v>
      </c>
      <c r="J1714" s="2" t="s">
        <v>3422</v>
      </c>
      <c r="K1714" s="2" t="s">
        <v>3422</v>
      </c>
      <c r="L1714" s="2" t="s">
        <v>3415</v>
      </c>
      <c r="M1714" s="2" t="n">
        <v>101216</v>
      </c>
    </row>
    <row r="1715" customFormat="false" ht="18.7" hidden="false" customHeight="true" outlineLevel="0" collapsed="false">
      <c r="A1715" s="1" t="n">
        <v>1714</v>
      </c>
      <c r="B1715" s="7" t="str">
        <f aca="false">HYPERLINK("https://mncourtfraud.com/file/27-CR-21-23724.pdf","27-CR-21-23724")</f>
        <v>27-CR-21-23724</v>
      </c>
      <c r="C1715" s="1" t="n">
        <v>1</v>
      </c>
      <c r="D1715" s="2" t="s">
        <v>12</v>
      </c>
      <c r="E1715" s="8" t="n">
        <v>45160</v>
      </c>
      <c r="F1715" s="2" t="s">
        <v>15</v>
      </c>
      <c r="G1715" s="7" t="str">
        <f aca="false">HYPERLINK("https://mncourtfraud.com/file/MCRO_27-CR-21-23724_Order-Evaluation for Competency to Proceed (Rule 20.01)_2023-08-22_20251126184139.pdf","MCRO_27-CR-21-23724_Order-Evaluation for Competency to Proceed (Rule 20.01)_2023-08-22_20251126184139.pdf")</f>
        <v>MCRO_27-CR-21-23724_Order-Evaluation for Competency to Proceed (Rule 20.01)_2023-08-22_20251126184139.pdf</v>
      </c>
      <c r="H1715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1715" s="1" t="s">
        <v>3413</v>
      </c>
      <c r="J1715" s="2" t="s">
        <v>3423</v>
      </c>
      <c r="K1715" s="2" t="s">
        <v>3423</v>
      </c>
      <c r="L1715" s="2" t="s">
        <v>3415</v>
      </c>
      <c r="M1715" s="2" t="n">
        <v>11088</v>
      </c>
    </row>
    <row r="1716" customFormat="false" ht="18.7" hidden="false" customHeight="true" outlineLevel="0" collapsed="false">
      <c r="A1716" s="1" t="n">
        <v>1715</v>
      </c>
      <c r="B1716" s="7" t="str">
        <f aca="false">HYPERLINK("https://mncourtfraud.com/file/27-CR-21-23724.pdf","27-CR-21-23724")</f>
        <v>27-CR-21-23724</v>
      </c>
      <c r="C1716" s="1" t="n">
        <v>1</v>
      </c>
      <c r="D1716" s="2" t="s">
        <v>12</v>
      </c>
      <c r="E1716" s="8" t="n">
        <v>45160</v>
      </c>
      <c r="F1716" s="2" t="s">
        <v>15</v>
      </c>
      <c r="G1716" s="7" t="str">
        <f aca="false">HYPERLINK("https://mncourtfraud.com/file/MCRO_27-CR-21-23724_Order-Evaluation for Competency to Proceed (Rule 20.01)_2023-08-22_20251126184139.pdf","MCRO_27-CR-21-23724_Order-Evaluation for Competency to Proceed (Rule 20.01)_2023-08-22_20251126184139.pdf")</f>
        <v>MCRO_27-CR-21-23724_Order-Evaluation for Competency to Proceed (Rule 20.01)_2023-08-22_20251126184139.pdf</v>
      </c>
      <c r="H1716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1716" s="1" t="s">
        <v>3413</v>
      </c>
      <c r="J1716" s="2" t="s">
        <v>3446</v>
      </c>
      <c r="K1716" s="2" t="s">
        <v>3446</v>
      </c>
      <c r="L1716" s="2" t="s">
        <v>3415</v>
      </c>
      <c r="M1716" s="2" t="n">
        <v>55072</v>
      </c>
      <c r="N1716" s="2" t="s">
        <v>3447</v>
      </c>
    </row>
    <row r="1717" customFormat="false" ht="18.7" hidden="false" customHeight="true" outlineLevel="0" collapsed="false">
      <c r="A1717" s="1" t="n">
        <v>1716</v>
      </c>
      <c r="B1717" s="7" t="str">
        <f aca="false">HYPERLINK("https://mncourtfraud.com/file/27-CR-21-23724.pdf","27-CR-21-23724")</f>
        <v>27-CR-21-23724</v>
      </c>
      <c r="C1717" s="1" t="n">
        <v>1</v>
      </c>
      <c r="D1717" s="2" t="s">
        <v>12</v>
      </c>
      <c r="E1717" s="8" t="n">
        <v>45160</v>
      </c>
      <c r="F1717" s="2" t="s">
        <v>15</v>
      </c>
      <c r="G1717" s="7" t="str">
        <f aca="false">HYPERLINK("https://mncourtfraud.com/file/MCRO_27-CR-21-23724_Order-Evaluation for Competency to Proceed (Rule 20.01)_2023-08-22_20251126184139.pdf","MCRO_27-CR-21-23724_Order-Evaluation for Competency to Proceed (Rule 20.01)_2023-08-22_20251126184139.pdf")</f>
        <v>MCRO_27-CR-21-23724_Order-Evaluation for Competency to Proceed (Rule 20.01)_2023-08-22_20251126184139.pdf</v>
      </c>
      <c r="H1717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1717" s="1" t="s">
        <v>3413</v>
      </c>
      <c r="J1717" s="2" t="s">
        <v>3424</v>
      </c>
      <c r="K1717" s="2" t="s">
        <v>3424</v>
      </c>
      <c r="L1717" s="2" t="s">
        <v>3415</v>
      </c>
      <c r="M1717" s="2" t="n">
        <v>14252</v>
      </c>
    </row>
    <row r="1718" customFormat="false" ht="18.7" hidden="false" customHeight="true" outlineLevel="0" collapsed="false">
      <c r="A1718" s="1" t="n">
        <v>1717</v>
      </c>
      <c r="B1718" s="7" t="str">
        <f aca="false">HYPERLINK("https://mncourtfraud.com/file/27-CR-21-23724.pdf","27-CR-21-23724")</f>
        <v>27-CR-21-23724</v>
      </c>
      <c r="C1718" s="1" t="n">
        <v>1</v>
      </c>
      <c r="D1718" s="2" t="s">
        <v>12</v>
      </c>
      <c r="E1718" s="8" t="n">
        <v>45160</v>
      </c>
      <c r="F1718" s="2" t="s">
        <v>15</v>
      </c>
      <c r="G1718" s="7" t="str">
        <f aca="false">HYPERLINK("https://mncourtfraud.com/file/MCRO_27-CR-21-23724_Order-Evaluation for Competency to Proceed (Rule 20.01)_2023-08-22_20251126184139.pdf","MCRO_27-CR-21-23724_Order-Evaluation for Competency to Proceed (Rule 20.01)_2023-08-22_20251126184139.pdf")</f>
        <v>MCRO_27-CR-21-23724_Order-Evaluation for Competency to Proceed (Rule 20.01)_2023-08-22_20251126184139.pdf</v>
      </c>
      <c r="H1718" s="7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1718" s="1" t="s">
        <v>3406</v>
      </c>
      <c r="L1718" s="2" t="s">
        <v>3412</v>
      </c>
      <c r="M1718" s="2" t="n">
        <v>5012</v>
      </c>
      <c r="S1718" s="2" t="n">
        <v>2740</v>
      </c>
      <c r="T1718" s="2" t="n">
        <v>180</v>
      </c>
    </row>
    <row r="1719" customFormat="false" ht="18.7" hidden="false" customHeight="true" outlineLevel="0" collapsed="false">
      <c r="A1719" s="1" t="n">
        <v>1718</v>
      </c>
      <c r="B1719" s="7" t="str">
        <f aca="false">HYPERLINK("https://mncourtfraud.com/file/27-CR-21-23724.pdf","27-CR-21-23724")</f>
        <v>27-CR-21-23724</v>
      </c>
      <c r="C1719" s="1" t="n">
        <v>1</v>
      </c>
      <c r="D1719" s="2" t="s">
        <v>12</v>
      </c>
      <c r="E1719" s="8" t="n">
        <v>45160</v>
      </c>
      <c r="F1719" s="2" t="s">
        <v>15</v>
      </c>
      <c r="G1719" s="7" t="str">
        <f aca="false">HYPERLINK("https://mncourtfraud.com/file/MCRO_27-CR-21-23724_Order-Evaluation for Competency to Proceed (Rule 20.01)_2023-08-22_20251126184139.pdf","MCRO_27-CR-21-23724_Order-Evaluation for Competency to Proceed (Rule 20.01)_2023-08-22_20251126184139.pdf")</f>
        <v>MCRO_27-CR-21-23724_Order-Evaluation for Competency to Proceed (Rule 20.01)_2023-08-22_20251126184139.pdf</v>
      </c>
      <c r="H1719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1719" s="1" t="s">
        <v>3413</v>
      </c>
      <c r="J1719" s="2" t="s">
        <v>3448</v>
      </c>
      <c r="K1719" s="2" t="s">
        <v>3448</v>
      </c>
      <c r="L1719" s="2" t="s">
        <v>3415</v>
      </c>
      <c r="M1719" s="2" t="n">
        <v>916684</v>
      </c>
    </row>
    <row r="1720" customFormat="false" ht="18.7" hidden="false" customHeight="true" outlineLevel="0" collapsed="false">
      <c r="A1720" s="1" t="n">
        <v>1719</v>
      </c>
      <c r="B1720" s="7" t="str">
        <f aca="false">HYPERLINK("https://mncourtfraud.com/file/27-CR-21-23724.pdf","27-CR-21-23724")</f>
        <v>27-CR-21-23724</v>
      </c>
      <c r="C1720" s="1" t="n">
        <v>1</v>
      </c>
      <c r="D1720" s="2" t="s">
        <v>12</v>
      </c>
      <c r="E1720" s="8" t="n">
        <v>45160</v>
      </c>
      <c r="F1720" s="2" t="s">
        <v>15</v>
      </c>
      <c r="G1720" s="7" t="str">
        <f aca="false">HYPERLINK("https://mncourtfraud.com/file/MCRO_27-CR-21-23724_Order-Evaluation for Competency to Proceed (Rule 20.01)_2023-08-22_20251126184139.pdf","MCRO_27-CR-21-23724_Order-Evaluation for Competency to Proceed (Rule 20.01)_2023-08-22_20251126184139.pdf")</f>
        <v>MCRO_27-CR-21-23724_Order-Evaluation for Competency to Proceed (Rule 20.01)_2023-08-22_20251126184139.pdf</v>
      </c>
      <c r="H1720" s="7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1720" s="1" t="s">
        <v>3406</v>
      </c>
      <c r="K1720" s="2" t="s">
        <v>3459</v>
      </c>
      <c r="L1720" s="2" t="s">
        <v>3408</v>
      </c>
      <c r="M1720" s="2" t="n">
        <v>5220</v>
      </c>
      <c r="O1720" s="2" t="s">
        <v>3460</v>
      </c>
      <c r="P1720" s="2" t="s">
        <v>3410</v>
      </c>
      <c r="S1720" s="2" t="n">
        <v>881</v>
      </c>
      <c r="T1720" s="2" t="n">
        <v>216</v>
      </c>
    </row>
    <row r="1721" customFormat="false" ht="18.7" hidden="false" customHeight="true" outlineLevel="0" collapsed="false">
      <c r="A1721" s="1" t="n">
        <v>1720</v>
      </c>
      <c r="B1721" s="7" t="str">
        <f aca="false">HYPERLINK("https://mncourtfraud.com/file/27-CR-21-23724.pdf","27-CR-21-23724")</f>
        <v>27-CR-21-23724</v>
      </c>
      <c r="C1721" s="1" t="n">
        <v>1</v>
      </c>
      <c r="D1721" s="2" t="s">
        <v>12</v>
      </c>
      <c r="E1721" s="8" t="n">
        <v>45412</v>
      </c>
      <c r="F1721" s="2" t="s">
        <v>15</v>
      </c>
      <c r="G1721" s="7" t="str">
        <f aca="false">HYPERLINK("https://mncourtfraud.com/file/MCRO_27-CR-21-23724_Order-Evaluation for Competency to Proceed (Rule 20.01)_2024-04-30_20251126184103.pdf","MCRO_27-CR-21-23724_Order-Evaluation for Competency to Proceed (Rule 20.01)_2024-04-30_20251126184103.pdf")</f>
        <v>MCRO_27-CR-21-23724_Order-Evaluation for Competency to Proceed (Rule 20.01)_2024-04-30_20251126184103.pdf</v>
      </c>
      <c r="H1721" s="7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1721" s="1" t="s">
        <v>3406</v>
      </c>
      <c r="L1721" s="2" t="s">
        <v>3412</v>
      </c>
      <c r="M1721" s="2" t="n">
        <v>154549</v>
      </c>
      <c r="S1721" s="2" t="n">
        <v>2560</v>
      </c>
      <c r="T1721" s="2" t="n">
        <v>3300</v>
      </c>
    </row>
    <row r="1722" customFormat="false" ht="18.7" hidden="false" customHeight="true" outlineLevel="0" collapsed="false">
      <c r="A1722" s="1" t="n">
        <v>1721</v>
      </c>
      <c r="B1722" s="7" t="str">
        <f aca="false">HYPERLINK("https://mncourtfraud.com/file/27-CR-21-23724.pdf","27-CR-21-23724")</f>
        <v>27-CR-21-23724</v>
      </c>
      <c r="C1722" s="1" t="n">
        <v>1</v>
      </c>
      <c r="D1722" s="2" t="s">
        <v>12</v>
      </c>
      <c r="E1722" s="8" t="n">
        <v>45412</v>
      </c>
      <c r="F1722" s="2" t="s">
        <v>15</v>
      </c>
      <c r="G1722" s="7" t="str">
        <f aca="false">HYPERLINK("https://mncourtfraud.com/file/MCRO_27-CR-21-23724_Order-Evaluation for Competency to Proceed (Rule 20.01)_2024-04-30_20251126184103.pdf","MCRO_27-CR-21-23724_Order-Evaluation for Competency to Proceed (Rule 20.01)_2024-04-30_20251126184103.pdf")</f>
        <v>MCRO_27-CR-21-23724_Order-Evaluation for Competency to Proceed (Rule 20.01)_2024-04-30_20251126184103.pdf</v>
      </c>
      <c r="H1722" s="7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1722" s="1" t="s">
        <v>3406</v>
      </c>
      <c r="L1722" s="2" t="s">
        <v>3412</v>
      </c>
      <c r="M1722" s="2" t="n">
        <v>180051</v>
      </c>
      <c r="S1722" s="2" t="n">
        <v>2560</v>
      </c>
      <c r="T1722" s="2" t="n">
        <v>3300</v>
      </c>
    </row>
    <row r="1723" customFormat="false" ht="18.7" hidden="false" customHeight="true" outlineLevel="0" collapsed="false">
      <c r="A1723" s="1" t="n">
        <v>1722</v>
      </c>
      <c r="B1723" s="7" t="str">
        <f aca="false">HYPERLINK("https://mncourtfraud.com/file/27-CR-21-23724.pdf","27-CR-21-23724")</f>
        <v>27-CR-21-23724</v>
      </c>
      <c r="C1723" s="1" t="n">
        <v>1</v>
      </c>
      <c r="D1723" s="2" t="s">
        <v>12</v>
      </c>
      <c r="E1723" s="8" t="n">
        <v>45412</v>
      </c>
      <c r="F1723" s="2" t="s">
        <v>24</v>
      </c>
      <c r="G1723" s="7" t="str">
        <f aca="false">HYPERLINK("https://mncourtfraud.com/file/MCRO_27-CR-21-23724_Order for Conditional Release_2024-04-30_20251126184050.pdf","MCRO_27-CR-21-23724_Order for Conditional Release_2024-04-30_20251126184050.pdf")</f>
        <v>MCRO_27-CR-21-23724_Order for Conditional Release_2024-04-30_20251126184050.pdf</v>
      </c>
      <c r="H1723" s="7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1723" s="1" t="s">
        <v>3406</v>
      </c>
      <c r="L1723" s="2" t="s">
        <v>3412</v>
      </c>
      <c r="M1723" s="2" t="n">
        <v>38726</v>
      </c>
      <c r="S1723" s="2" t="n">
        <v>2560</v>
      </c>
      <c r="T1723" s="2" t="n">
        <v>3300</v>
      </c>
    </row>
    <row r="1724" customFormat="false" ht="18.7" hidden="false" customHeight="true" outlineLevel="0" collapsed="false">
      <c r="A1724" s="1" t="n">
        <v>1723</v>
      </c>
      <c r="B1724" s="7" t="str">
        <f aca="false">HYPERLINK("https://mncourtfraud.com/file/27-CR-21-23724.pdf","27-CR-21-23724")</f>
        <v>27-CR-21-23724</v>
      </c>
      <c r="C1724" s="1" t="n">
        <v>1</v>
      </c>
      <c r="D1724" s="2" t="s">
        <v>12</v>
      </c>
      <c r="E1724" s="8" t="n">
        <v>45412</v>
      </c>
      <c r="F1724" s="2" t="s">
        <v>15</v>
      </c>
      <c r="G1724" s="7" t="str">
        <f aca="false">HYPERLINK("https://mncourtfraud.com/file/MCRO_27-CR-21-23724_Order-Evaluation for Competency to Proceed (Rule 20.01)_2024-04-30_20251126184103.pdf","MCRO_27-CR-21-23724_Order-Evaluation for Competency to Proceed (Rule 20.01)_2024-04-30_20251126184103.pdf")</f>
        <v>MCRO_27-CR-21-23724_Order-Evaluation for Competency to Proceed (Rule 20.01)_2024-04-30_20251126184103.pdf</v>
      </c>
      <c r="H1724" s="7" t="str">
        <f aca="false">HYPERLINK("https://mncourtfraud.com/file/4db7d2599119dc45c08adba3b9b2ba67e6a3d697261d3f95ca4c5b01777bcfbe.ttf","4db7d2599119dc45c08adba3b9b2ba67e6a3d697261d3f95ca4c5b01777bcfbe")</f>
        <v>4db7d2599119dc45c08adba3b9b2ba67e6a3d697261d3f95ca4c5b01777bcfbe</v>
      </c>
      <c r="I1724" s="1" t="s">
        <v>3413</v>
      </c>
      <c r="L1724" s="2" t="s">
        <v>3415</v>
      </c>
      <c r="M1724" s="2" t="n">
        <v>333576</v>
      </c>
    </row>
    <row r="1725" customFormat="false" ht="18.7" hidden="false" customHeight="true" outlineLevel="0" collapsed="false">
      <c r="A1725" s="1" t="n">
        <v>1724</v>
      </c>
      <c r="B1725" s="7" t="str">
        <f aca="false">HYPERLINK("https://mncourtfraud.com/file/27-CR-21-23724.pdf","27-CR-21-23724")</f>
        <v>27-CR-21-23724</v>
      </c>
      <c r="C1725" s="1" t="n">
        <v>1</v>
      </c>
      <c r="D1725" s="2" t="s">
        <v>12</v>
      </c>
      <c r="E1725" s="8" t="n">
        <v>45412</v>
      </c>
      <c r="F1725" s="2" t="s">
        <v>15</v>
      </c>
      <c r="G1725" s="7" t="str">
        <f aca="false">HYPERLINK("https://mncourtfraud.com/file/MCRO_27-CR-21-23724_Order-Evaluation for Competency to Proceed (Rule 20.01)_2024-04-30_20251126184103.pdf","MCRO_27-CR-21-23724_Order-Evaluation for Competency to Proceed (Rule 20.01)_2024-04-30_20251126184103.pdf")</f>
        <v>MCRO_27-CR-21-23724_Order-Evaluation for Competency to Proceed (Rule 20.01)_2024-04-30_20251126184103.pdf</v>
      </c>
      <c r="H1725" s="7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1725" s="1" t="s">
        <v>3406</v>
      </c>
      <c r="L1725" s="2" t="s">
        <v>3412</v>
      </c>
      <c r="M1725" s="2" t="n">
        <v>71271</v>
      </c>
      <c r="S1725" s="2" t="n">
        <v>2560</v>
      </c>
      <c r="T1725" s="2" t="n">
        <v>3300</v>
      </c>
    </row>
    <row r="1726" customFormat="false" ht="18.7" hidden="false" customHeight="true" outlineLevel="0" collapsed="false">
      <c r="A1726" s="1" t="n">
        <v>1725</v>
      </c>
      <c r="B1726" s="7" t="str">
        <f aca="false">HYPERLINK("https://mncourtfraud.com/file/27-CR-21-23724.pdf","27-CR-21-23724")</f>
        <v>27-CR-21-23724</v>
      </c>
      <c r="C1726" s="1" t="n">
        <v>1</v>
      </c>
      <c r="D1726" s="2" t="s">
        <v>12</v>
      </c>
      <c r="E1726" s="8" t="n">
        <v>45412</v>
      </c>
      <c r="F1726" s="2" t="s">
        <v>24</v>
      </c>
      <c r="G1726" s="7" t="str">
        <f aca="false">HYPERLINK("https://mncourtfraud.com/file/MCRO_27-CR-21-23724_Order for Conditional Release_2024-04-30_20251126184050.pdf","MCRO_27-CR-21-23724_Order for Conditional Release_2024-04-30_20251126184050.pdf")</f>
        <v>MCRO_27-CR-21-23724_Order for Conditional Release_2024-04-30_20251126184050.pdf</v>
      </c>
      <c r="H1726" s="7" t="str">
        <f aca="false">HYPERLINK("https://mncourtfraud.com/file/d5cf4f06aaee8f372e6af86dab12d75d131a3ba68ba6baeac4b7b514ef3e0b85.ttf","d5cf4f06aaee8f372e6af86dab12d75d131a3ba68ba6baeac4b7b514ef3e0b85")</f>
        <v>d5cf4f06aaee8f372e6af86dab12d75d131a3ba68ba6baeac4b7b514ef3e0b85</v>
      </c>
      <c r="I1726" s="1" t="s">
        <v>3413</v>
      </c>
      <c r="L1726" s="2" t="s">
        <v>3415</v>
      </c>
      <c r="M1726" s="2" t="n">
        <v>333576</v>
      </c>
    </row>
    <row r="1727" customFormat="false" ht="18.7" hidden="false" customHeight="true" outlineLevel="0" collapsed="false">
      <c r="A1727" s="1" t="n">
        <v>1726</v>
      </c>
      <c r="B1727" s="7" t="str">
        <f aca="false">HYPERLINK("https://mncourtfraud.com/file/27-CR-21-23724.pdf","27-CR-21-23724")</f>
        <v>27-CR-21-23724</v>
      </c>
      <c r="C1727" s="1" t="n">
        <v>1</v>
      </c>
      <c r="D1727" s="2" t="s">
        <v>12</v>
      </c>
      <c r="E1727" s="8" t="n">
        <v>45412</v>
      </c>
      <c r="F1727" s="2" t="s">
        <v>24</v>
      </c>
      <c r="G1727" s="7" t="str">
        <f aca="false">HYPERLINK("https://mncourtfraud.com/file/MCRO_27-CR-21-23724_Order for Conditional Release_2024-04-30_20251126184050.pdf","MCRO_27-CR-21-23724_Order for Conditional Release_2024-04-30_20251126184050.pdf")</f>
        <v>MCRO_27-CR-21-23724_Order for Conditional Release_2024-04-30_20251126184050.pdf</v>
      </c>
      <c r="H1727" s="7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1727" s="1" t="s">
        <v>3406</v>
      </c>
      <c r="L1727" s="2" t="s">
        <v>3412</v>
      </c>
      <c r="M1727" s="2" t="n">
        <v>195018</v>
      </c>
      <c r="S1727" s="2" t="n">
        <v>2560</v>
      </c>
      <c r="T1727" s="2" t="n">
        <v>3300</v>
      </c>
    </row>
    <row r="1728" customFormat="false" ht="18.7" hidden="false" customHeight="true" outlineLevel="0" collapsed="false">
      <c r="A1728" s="1" t="n">
        <v>1727</v>
      </c>
      <c r="B1728" s="7" t="str">
        <f aca="false">HYPERLINK("https://mncourtfraud.com/file/27-CR-21-2803.pdf","27-CR-21-2803")</f>
        <v>27-CR-21-2803</v>
      </c>
      <c r="C1728" s="1" t="n">
        <v>1</v>
      </c>
      <c r="D1728" s="2" t="s">
        <v>12</v>
      </c>
      <c r="E1728" s="8" t="n">
        <v>44396</v>
      </c>
      <c r="F1728" s="2" t="s">
        <v>15</v>
      </c>
      <c r="G1728" s="7" t="str">
        <f aca="false">HYPERLINK("https://mncourtfraud.com/file/MCRO_27-CR-21-2803_Order-Evaluation for Competency to Proceed (Rule 20.01)_2021-07-19_20251126184309.pdf","MCRO_27-CR-21-2803_Order-Evaluation for Competency to Proceed (Rule 20.01)_2021-07-19_20251126184309.pdf")</f>
        <v>MCRO_27-CR-21-2803_Order-Evaluation for Competency to Proceed (Rule 20.01)_2021-07-19_20251126184309.pdf</v>
      </c>
      <c r="H1728" s="7" t="str">
        <f aca="false">HYPERLINK("https://mncourtfraud.com/file/0d8d6a2345ce07d63d84c87a9d36dd52ab58dcb599c00bd9aecd07580a482b2d.png","0d8d6a2345ce07d63d84c87a9d36dd52ab58dcb599c00bd9aecd07580a482b2d")</f>
        <v>0d8d6a2345ce07d63d84c87a9d36dd52ab58dcb599c00bd9aecd07580a482b2d</v>
      </c>
      <c r="I1728" s="1" t="s">
        <v>3406</v>
      </c>
      <c r="L1728" s="2" t="s">
        <v>3412</v>
      </c>
      <c r="M1728" s="2" t="n">
        <v>140444</v>
      </c>
      <c r="S1728" s="2" t="n">
        <v>2550</v>
      </c>
      <c r="T1728" s="2" t="n">
        <v>3300</v>
      </c>
    </row>
    <row r="1729" customFormat="false" ht="18.7" hidden="false" customHeight="true" outlineLevel="0" collapsed="false">
      <c r="A1729" s="1" t="n">
        <v>1728</v>
      </c>
      <c r="B1729" s="7" t="str">
        <f aca="false">HYPERLINK("https://mncourtfraud.com/file/27-CR-21-2803.pdf","27-CR-21-2803")</f>
        <v>27-CR-21-2803</v>
      </c>
      <c r="C1729" s="1" t="n">
        <v>1</v>
      </c>
      <c r="D1729" s="2" t="s">
        <v>12</v>
      </c>
      <c r="E1729" s="8" t="n">
        <v>44396</v>
      </c>
      <c r="F1729" s="2" t="s">
        <v>15</v>
      </c>
      <c r="G1729" s="7" t="str">
        <f aca="false">HYPERLINK("https://mncourtfraud.com/file/MCRO_27-CR-21-2803_Order-Evaluation for Competency to Proceed (Rule 20.01)_2021-07-19_20251126184309.pdf","MCRO_27-CR-21-2803_Order-Evaluation for Competency to Proceed (Rule 20.01)_2021-07-19_20251126184309.pdf")</f>
        <v>MCRO_27-CR-21-2803_Order-Evaluation for Competency to Proceed (Rule 20.01)_2021-07-19_20251126184309.pdf</v>
      </c>
      <c r="H1729" s="7" t="str">
        <f aca="false">HYPERLINK("https://mncourtfraud.com/file/4d8b35be68ef77e9276003e834827ed4acdb9ff8dfc45f8186cf03fb44325ec6.png","4d8b35be68ef77e9276003e834827ed4acdb9ff8dfc45f8186cf03fb44325ec6")</f>
        <v>4d8b35be68ef77e9276003e834827ed4acdb9ff8dfc45f8186cf03fb44325ec6</v>
      </c>
      <c r="I1729" s="1" t="s">
        <v>3406</v>
      </c>
      <c r="L1729" s="2" t="s">
        <v>3412</v>
      </c>
      <c r="M1729" s="2" t="n">
        <v>153665</v>
      </c>
      <c r="S1729" s="2" t="n">
        <v>2550</v>
      </c>
      <c r="T1729" s="2" t="n">
        <v>3300</v>
      </c>
    </row>
    <row r="1730" customFormat="false" ht="18.7" hidden="false" customHeight="true" outlineLevel="0" collapsed="false">
      <c r="A1730" s="1" t="n">
        <v>1729</v>
      </c>
      <c r="B1730" s="7" t="str">
        <f aca="false">HYPERLINK("https://mncourtfraud.com/file/27-CR-21-2803.pdf","27-CR-21-2803")</f>
        <v>27-CR-21-2803</v>
      </c>
      <c r="C1730" s="1" t="n">
        <v>1</v>
      </c>
      <c r="D1730" s="2" t="s">
        <v>12</v>
      </c>
      <c r="E1730" s="8" t="n">
        <v>44396</v>
      </c>
      <c r="F1730" s="2" t="s">
        <v>15</v>
      </c>
      <c r="G1730" s="7" t="str">
        <f aca="false">HYPERLINK("https://mncourtfraud.com/file/MCRO_27-CR-21-2803_Order-Evaluation for Competency to Proceed (Rule 20.01)_2021-07-19_20251126184309.pdf","MCRO_27-CR-21-2803_Order-Evaluation for Competency to Proceed (Rule 20.01)_2021-07-19_20251126184309.pdf")</f>
        <v>MCRO_27-CR-21-2803_Order-Evaluation for Competency to Proceed (Rule 20.01)_2021-07-19_20251126184309.pdf</v>
      </c>
      <c r="H1730" s="7" t="str">
        <f aca="false">HYPERLINK("https://mncourtfraud.com/file/ac9fa57f608aa61233c1c71643f37ef5fba522e779e6ced08e96ccd3831ce2a7.ttf","ac9fa57f608aa61233c1c71643f37ef5fba522e779e6ced08e96ccd3831ce2a7")</f>
        <v>ac9fa57f608aa61233c1c71643f37ef5fba522e779e6ced08e96ccd3831ce2a7</v>
      </c>
      <c r="I1730" s="1" t="s">
        <v>3413</v>
      </c>
      <c r="L1730" s="2" t="s">
        <v>3415</v>
      </c>
      <c r="M1730" s="2" t="n">
        <v>333576</v>
      </c>
    </row>
    <row r="1731" customFormat="false" ht="18.7" hidden="false" customHeight="true" outlineLevel="0" collapsed="false">
      <c r="A1731" s="1" t="n">
        <v>1730</v>
      </c>
      <c r="B1731" s="7" t="str">
        <f aca="false">HYPERLINK("https://mncourtfraud.com/file/27-CR-21-2803.pdf","27-CR-21-2803")</f>
        <v>27-CR-21-2803</v>
      </c>
      <c r="C1731" s="1" t="n">
        <v>1</v>
      </c>
      <c r="D1731" s="2" t="s">
        <v>12</v>
      </c>
      <c r="E1731" s="8" t="n">
        <v>44439</v>
      </c>
      <c r="F1731" s="2" t="s">
        <v>19</v>
      </c>
      <c r="G1731" s="7" t="str">
        <f aca="false">HYPERLINK("https://mncourtfraud.com/file/MCRO_27-CR-21-2803_Findings and Order_2021-08-31_20251126184229.pdf","MCRO_27-CR-21-2803_Findings and Order_2021-08-31_20251126184229.pdf")</f>
        <v>MCRO_27-CR-21-2803_Findings and Order_2021-08-31_20251126184229.pdf</v>
      </c>
      <c r="H1731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1731" s="1" t="s">
        <v>3413</v>
      </c>
      <c r="J1731" s="2" t="s">
        <v>3426</v>
      </c>
      <c r="K1731" s="2" t="s">
        <v>3426</v>
      </c>
      <c r="L1731" s="2" t="s">
        <v>3415</v>
      </c>
      <c r="M1731" s="2" t="n">
        <v>74997</v>
      </c>
      <c r="N1731" s="2" t="s">
        <v>3427</v>
      </c>
    </row>
    <row r="1732" customFormat="false" ht="18.7" hidden="false" customHeight="true" outlineLevel="0" collapsed="false">
      <c r="A1732" s="1" t="n">
        <v>1731</v>
      </c>
      <c r="B1732" s="7" t="str">
        <f aca="false">HYPERLINK("https://mncourtfraud.com/file/27-CR-21-2803.pdf","27-CR-21-2803")</f>
        <v>27-CR-21-2803</v>
      </c>
      <c r="C1732" s="1" t="n">
        <v>1</v>
      </c>
      <c r="D1732" s="2" t="s">
        <v>12</v>
      </c>
      <c r="E1732" s="8" t="n">
        <v>44439</v>
      </c>
      <c r="F1732" s="2" t="s">
        <v>19</v>
      </c>
      <c r="G1732" s="7" t="str">
        <f aca="false">HYPERLINK("https://mncourtfraud.com/file/MCRO_27-CR-21-2803_Findings and Order_2021-08-31_20251126184229.pdf","MCRO_27-CR-21-2803_Findings and Order_2021-08-31_20251126184229.pdf")</f>
        <v>MCRO_27-CR-21-2803_Findings and Order_2021-08-31_20251126184229.pdf</v>
      </c>
      <c r="H1732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1732" s="1" t="s">
        <v>3413</v>
      </c>
      <c r="J1732" s="2" t="s">
        <v>3414</v>
      </c>
      <c r="K1732" s="2" t="s">
        <v>3414</v>
      </c>
      <c r="L1732" s="2" t="s">
        <v>3415</v>
      </c>
      <c r="M1732" s="2" t="n">
        <v>65384</v>
      </c>
    </row>
    <row r="1733" customFormat="false" ht="18.7" hidden="false" customHeight="true" outlineLevel="0" collapsed="false">
      <c r="A1733" s="1" t="n">
        <v>1732</v>
      </c>
      <c r="B1733" s="7" t="str">
        <f aca="false">HYPERLINK("https://mncourtfraud.com/file/27-CR-21-2803.pdf","27-CR-21-2803")</f>
        <v>27-CR-21-2803</v>
      </c>
      <c r="C1733" s="1" t="n">
        <v>1</v>
      </c>
      <c r="D1733" s="2" t="s">
        <v>12</v>
      </c>
      <c r="E1733" s="8" t="n">
        <v>44439</v>
      </c>
      <c r="F1733" s="2" t="s">
        <v>19</v>
      </c>
      <c r="G1733" s="7" t="str">
        <f aca="false">HYPERLINK("https://mncourtfraud.com/file/MCRO_27-CR-21-2803_Findings and Order_2021-08-31_20251126184229.pdf","MCRO_27-CR-21-2803_Findings and Order_2021-08-31_20251126184229.pdf")</f>
        <v>MCRO_27-CR-21-2803_Findings and Order_2021-08-31_20251126184229.pdf</v>
      </c>
      <c r="H1733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1733" s="1" t="s">
        <v>3413</v>
      </c>
      <c r="J1733" s="2" t="s">
        <v>3414</v>
      </c>
      <c r="K1733" s="2" t="s">
        <v>3414</v>
      </c>
      <c r="L1733" s="2" t="s">
        <v>3415</v>
      </c>
      <c r="M1733" s="2" t="n">
        <v>65384</v>
      </c>
    </row>
    <row r="1734" customFormat="false" ht="18.7" hidden="false" customHeight="true" outlineLevel="0" collapsed="false">
      <c r="A1734" s="1" t="n">
        <v>1733</v>
      </c>
      <c r="B1734" s="7" t="str">
        <f aca="false">HYPERLINK("https://mncourtfraud.com/file/27-CR-21-2803.pdf","27-CR-21-2803")</f>
        <v>27-CR-21-2803</v>
      </c>
      <c r="C1734" s="1" t="n">
        <v>1</v>
      </c>
      <c r="D1734" s="2" t="s">
        <v>12</v>
      </c>
      <c r="E1734" s="8" t="n">
        <v>44439</v>
      </c>
      <c r="F1734" s="2" t="s">
        <v>134</v>
      </c>
      <c r="G1734" s="7" t="str">
        <f aca="false">HYPERLINK("https://mncourtfraud.com/file/MCRO_27-CR-21-2803_Notice of Intent to Prosecute_2021-08-31_20251126184242.pdf","MCRO_27-CR-21-2803_Notice of Intent to Prosecute_2021-08-31_20251126184242.pdf")</f>
        <v>MCRO_27-CR-21-2803_Notice of Intent to Prosecute_2021-08-31_20251126184242.pdf</v>
      </c>
      <c r="H1734" s="7" t="str">
        <f aca="false">HYPERLINK("https://mncourtfraud.com/file/380e60bd6fa1ae842742ef7d78077dc463fe2a9d243db23f9689678c3b9c3f50.ttf","380e60bd6fa1ae842742ef7d78077dc463fe2a9d243db23f9689678c3b9c3f50")</f>
        <v>380e60bd6fa1ae842742ef7d78077dc463fe2a9d243db23f9689678c3b9c3f50</v>
      </c>
      <c r="I1734" s="1" t="s">
        <v>3413</v>
      </c>
      <c r="J1734" s="2" t="s">
        <v>3529</v>
      </c>
      <c r="K1734" s="2" t="s">
        <v>3529</v>
      </c>
      <c r="L1734" s="2" t="s">
        <v>3415</v>
      </c>
      <c r="M1734" s="2" t="n">
        <v>62296</v>
      </c>
      <c r="N1734" s="2" t="s">
        <v>3530</v>
      </c>
    </row>
    <row r="1735" customFormat="false" ht="18.7" hidden="false" customHeight="true" outlineLevel="0" collapsed="false">
      <c r="A1735" s="1" t="n">
        <v>1734</v>
      </c>
      <c r="B1735" s="7" t="str">
        <f aca="false">HYPERLINK("https://mncourtfraud.com/file/27-CR-21-2803.pdf","27-CR-21-2803")</f>
        <v>27-CR-21-2803</v>
      </c>
      <c r="C1735" s="1" t="n">
        <v>1</v>
      </c>
      <c r="D1735" s="2" t="s">
        <v>12</v>
      </c>
      <c r="E1735" s="8" t="n">
        <v>44439</v>
      </c>
      <c r="F1735" s="2" t="s">
        <v>19</v>
      </c>
      <c r="G1735" s="7" t="str">
        <f aca="false">HYPERLINK("https://mncourtfraud.com/file/MCRO_27-CR-21-2803_Findings and Order_2021-08-31_20251126184229.pdf","MCRO_27-CR-21-2803_Findings and Order_2021-08-31_20251126184229.pdf")</f>
        <v>MCRO_27-CR-21-2803_Findings and Order_2021-08-31_20251126184229.pdf</v>
      </c>
      <c r="H1735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1735" s="1" t="s">
        <v>3428</v>
      </c>
      <c r="J1735" s="2" t="s">
        <v>3429</v>
      </c>
      <c r="K1735" s="2" t="s">
        <v>3429</v>
      </c>
      <c r="L1735" s="2" t="s">
        <v>3415</v>
      </c>
      <c r="M1735" s="2" t="n">
        <v>86093</v>
      </c>
    </row>
    <row r="1736" customFormat="false" ht="18.7" hidden="false" customHeight="true" outlineLevel="0" collapsed="false">
      <c r="A1736" s="1" t="n">
        <v>1735</v>
      </c>
      <c r="B1736" s="7" t="str">
        <f aca="false">HYPERLINK("https://mncourtfraud.com/file/27-CR-21-2803.pdf","27-CR-21-2803")</f>
        <v>27-CR-21-2803</v>
      </c>
      <c r="C1736" s="1" t="n">
        <v>1</v>
      </c>
      <c r="D1736" s="2" t="s">
        <v>12</v>
      </c>
      <c r="E1736" s="8" t="n">
        <v>44439</v>
      </c>
      <c r="F1736" s="2" t="s">
        <v>134</v>
      </c>
      <c r="G1736" s="7" t="str">
        <f aca="false">HYPERLINK("https://mncourtfraud.com/file/MCRO_27-CR-21-2803_Notice of Intent to Prosecute_2021-08-31_20251126184242.pdf","MCRO_27-CR-21-2803_Notice of Intent to Prosecute_2021-08-31_20251126184242.pdf")</f>
        <v>MCRO_27-CR-21-2803_Notice of Intent to Prosecute_2021-08-31_20251126184242.pdf</v>
      </c>
      <c r="H1736" s="7" t="str">
        <f aca="false">HYPERLINK("https://mncourtfraud.com/file/5dc53acca4e0b12396ffc4386c29170d4e2b036d8ab77a23fced1a06a839c348.ttf","5dc53acca4e0b12396ffc4386c29170d4e2b036d8ab77a23fced1a06a839c348")</f>
        <v>5dc53acca4e0b12396ffc4386c29170d4e2b036d8ab77a23fced1a06a839c348</v>
      </c>
      <c r="I1736" s="1" t="s">
        <v>3413</v>
      </c>
      <c r="J1736" s="2" t="s">
        <v>3531</v>
      </c>
      <c r="K1736" s="2" t="s">
        <v>3531</v>
      </c>
      <c r="L1736" s="2" t="s">
        <v>3415</v>
      </c>
      <c r="M1736" s="2" t="n">
        <v>95686</v>
      </c>
      <c r="N1736" s="2" t="s">
        <v>3532</v>
      </c>
    </row>
    <row r="1737" customFormat="false" ht="18.7" hidden="false" customHeight="true" outlineLevel="0" collapsed="false">
      <c r="A1737" s="1" t="n">
        <v>1736</v>
      </c>
      <c r="B1737" s="7" t="str">
        <f aca="false">HYPERLINK("https://mncourtfraud.com/file/27-CR-21-2803.pdf","27-CR-21-2803")</f>
        <v>27-CR-21-2803</v>
      </c>
      <c r="C1737" s="1" t="n">
        <v>1</v>
      </c>
      <c r="D1737" s="2" t="s">
        <v>12</v>
      </c>
      <c r="E1737" s="8" t="n">
        <v>44439</v>
      </c>
      <c r="F1737" s="2" t="s">
        <v>19</v>
      </c>
      <c r="G1737" s="7" t="str">
        <f aca="false">HYPERLINK("https://mncourtfraud.com/file/MCRO_27-CR-21-2803_Findings and Order_2021-08-31_20251126184229.pdf","MCRO_27-CR-21-2803_Findings and Order_2021-08-31_20251126184229.pdf")</f>
        <v>MCRO_27-CR-21-2803_Findings and Order_2021-08-31_20251126184229.pdf</v>
      </c>
      <c r="H1737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1737" s="1" t="s">
        <v>3406</v>
      </c>
      <c r="K1737" s="2" t="s">
        <v>3430</v>
      </c>
      <c r="L1737" s="2" t="s">
        <v>3408</v>
      </c>
      <c r="M1737" s="2" t="n">
        <v>28069</v>
      </c>
      <c r="O1737" s="2" t="s">
        <v>3409</v>
      </c>
      <c r="P1737" s="2" t="s">
        <v>3410</v>
      </c>
      <c r="S1737" s="2" t="n">
        <v>448</v>
      </c>
      <c r="T1737" s="2" t="n">
        <v>128</v>
      </c>
    </row>
    <row r="1738" customFormat="false" ht="18.7" hidden="false" customHeight="true" outlineLevel="0" collapsed="false">
      <c r="A1738" s="1" t="n">
        <v>1737</v>
      </c>
      <c r="B1738" s="7" t="str">
        <f aca="false">HYPERLINK("https://mncourtfraud.com/file/27-CR-21-2803.pdf","27-CR-21-2803")</f>
        <v>27-CR-21-2803</v>
      </c>
      <c r="C1738" s="1" t="n">
        <v>1</v>
      </c>
      <c r="D1738" s="2" t="s">
        <v>12</v>
      </c>
      <c r="E1738" s="8" t="n">
        <v>44439</v>
      </c>
      <c r="F1738" s="2" t="s">
        <v>19</v>
      </c>
      <c r="G1738" s="7" t="str">
        <f aca="false">HYPERLINK("https://mncourtfraud.com/file/MCRO_27-CR-21-2803_Findings and Order_2021-08-31_20251126184229.pdf","MCRO_27-CR-21-2803_Findings and Order_2021-08-31_20251126184229.pdf")</f>
        <v>MCRO_27-CR-21-2803_Findings and Order_2021-08-31_20251126184229.pdf</v>
      </c>
      <c r="H1738" s="7" t="str">
        <f aca="false">HYPERLINK("https://mncourtfraud.com/file/d85226137c53579f37f2c87321a4ff209a309a82330591d9457774d7d697befc.ttf","d85226137c53579f37f2c87321a4ff209a309a82330591d9457774d7d697befc")</f>
        <v>d85226137c53579f37f2c87321a4ff209a309a82330591d9457774d7d697befc</v>
      </c>
      <c r="I1738" s="1" t="s">
        <v>3413</v>
      </c>
      <c r="J1738" s="2" t="s">
        <v>3414</v>
      </c>
      <c r="K1738" s="2" t="s">
        <v>3416</v>
      </c>
      <c r="L1738" s="2" t="s">
        <v>3415</v>
      </c>
      <c r="M1738" s="2" t="n">
        <v>49992</v>
      </c>
    </row>
    <row r="1739" customFormat="false" ht="18.7" hidden="false" customHeight="true" outlineLevel="0" collapsed="false">
      <c r="A1739" s="1" t="n">
        <v>1738</v>
      </c>
      <c r="B1739" s="7" t="str">
        <f aca="false">HYPERLINK("https://mncourtfraud.com/file/27-CR-21-2803.pdf","27-CR-21-2803")</f>
        <v>27-CR-21-2803</v>
      </c>
      <c r="C1739" s="1" t="n">
        <v>1</v>
      </c>
      <c r="D1739" s="2" t="s">
        <v>12</v>
      </c>
      <c r="E1739" s="8" t="n">
        <v>44460</v>
      </c>
      <c r="F1739" s="2" t="s">
        <v>24</v>
      </c>
      <c r="G1739" s="7" t="str">
        <f aca="false">HYPERLINK("https://mncourtfraud.com/file/MCRO_27-CR-21-2803_Order for Conditional Release_2021-09-21_20251126184257.pdf","MCRO_27-CR-21-2803_Order for Conditional Release_2021-09-21_20251126184257.pdf")</f>
        <v>MCRO_27-CR-21-2803_Order for Conditional Release_2021-09-21_20251126184257.pdf</v>
      </c>
      <c r="H1739" s="7" t="str">
        <f aca="false">HYPERLINK("https://mncourtfraud.com/file/02dfb6e08fd11b3563d1b9b621b56dbf2dc11acbd85e42bfd83f728fb300bef2.ttf","02dfb6e08fd11b3563d1b9b621b56dbf2dc11acbd85e42bfd83f728fb300bef2")</f>
        <v>02dfb6e08fd11b3563d1b9b621b56dbf2dc11acbd85e42bfd83f728fb300bef2</v>
      </c>
      <c r="I1739" s="1" t="s">
        <v>3413</v>
      </c>
      <c r="L1739" s="2" t="s">
        <v>3415</v>
      </c>
      <c r="M1739" s="2" t="n">
        <v>333576</v>
      </c>
    </row>
    <row r="1740" customFormat="false" ht="18.7" hidden="false" customHeight="true" outlineLevel="0" collapsed="false">
      <c r="A1740" s="1" t="n">
        <v>1739</v>
      </c>
      <c r="B1740" s="7" t="str">
        <f aca="false">HYPERLINK("https://mncourtfraud.com/file/27-CR-21-2803.pdf","27-CR-21-2803")</f>
        <v>27-CR-21-2803</v>
      </c>
      <c r="C1740" s="1" t="n">
        <v>1</v>
      </c>
      <c r="D1740" s="2" t="s">
        <v>12</v>
      </c>
      <c r="E1740" s="8" t="n">
        <v>44460</v>
      </c>
      <c r="F1740" s="2" t="s">
        <v>24</v>
      </c>
      <c r="G1740" s="7" t="str">
        <f aca="false">HYPERLINK("https://mncourtfraud.com/file/MCRO_27-CR-21-2803_Order for Conditional Release_2021-09-21_20251126184257.pdf","MCRO_27-CR-21-2803_Order for Conditional Release_2021-09-21_20251126184257.pdf")</f>
        <v>MCRO_27-CR-21-2803_Order for Conditional Release_2021-09-21_20251126184257.pdf</v>
      </c>
      <c r="H1740" s="7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1740" s="1" t="s">
        <v>3406</v>
      </c>
      <c r="L1740" s="2" t="s">
        <v>3412</v>
      </c>
      <c r="M1740" s="2" t="n">
        <v>152962</v>
      </c>
      <c r="S1740" s="2" t="n">
        <v>2560</v>
      </c>
      <c r="T1740" s="2" t="n">
        <v>3300</v>
      </c>
    </row>
    <row r="1741" customFormat="false" ht="18.7" hidden="false" customHeight="true" outlineLevel="0" collapsed="false">
      <c r="A1741" s="1" t="n">
        <v>1740</v>
      </c>
      <c r="B1741" s="7" t="str">
        <f aca="false">HYPERLINK("https://mncourtfraud.com/file/27-CR-21-2803.pdf","27-CR-21-2803")</f>
        <v>27-CR-21-2803</v>
      </c>
      <c r="C1741" s="1" t="n">
        <v>1</v>
      </c>
      <c r="D1741" s="2" t="s">
        <v>12</v>
      </c>
      <c r="E1741" s="8" t="n">
        <v>44468</v>
      </c>
      <c r="F1741" s="2" t="s">
        <v>24</v>
      </c>
      <c r="G1741" s="7" t="str">
        <f aca="false">HYPERLINK("https://mncourtfraud.com/file/MCRO_27-CR-21-2803_Order for Conditional Release_2021-09-29_20251126184253.pdf","MCRO_27-CR-21-2803_Order for Conditional Release_2021-09-29_20251126184253.pdf")</f>
        <v>MCRO_27-CR-21-2803_Order for Conditional Release_2021-09-29_20251126184253.pdf</v>
      </c>
      <c r="H1741" s="7" t="str">
        <f aca="false">HYPERLINK("https://mncourtfraud.com/file/29d541cb6920f2a0815a72232c8164e19ffda7ff89f025261d343aef97d55c23.png","29d541cb6920f2a0815a72232c8164e19ffda7ff89f025261d343aef97d55c23")</f>
        <v>29d541cb6920f2a0815a72232c8164e19ffda7ff89f025261d343aef97d55c23</v>
      </c>
      <c r="I1741" s="1" t="s">
        <v>3406</v>
      </c>
      <c r="L1741" s="2" t="s">
        <v>3412</v>
      </c>
      <c r="M1741" s="2" t="n">
        <v>104</v>
      </c>
      <c r="S1741" s="2" t="n">
        <v>5</v>
      </c>
      <c r="T1741" s="2" t="n">
        <v>75</v>
      </c>
    </row>
    <row r="1742" customFormat="false" ht="18.7" hidden="false" customHeight="true" outlineLevel="0" collapsed="false">
      <c r="A1742" s="1" t="n">
        <v>1741</v>
      </c>
      <c r="B1742" s="7" t="str">
        <f aca="false">HYPERLINK("https://mncourtfraud.com/file/27-CR-21-2803.pdf","27-CR-21-2803")</f>
        <v>27-CR-21-2803</v>
      </c>
      <c r="C1742" s="1" t="n">
        <v>1</v>
      </c>
      <c r="D1742" s="2" t="s">
        <v>12</v>
      </c>
      <c r="E1742" s="8" t="n">
        <v>44468</v>
      </c>
      <c r="F1742" s="2" t="s">
        <v>24</v>
      </c>
      <c r="G1742" s="7" t="str">
        <f aca="false">HYPERLINK("https://mncourtfraud.com/file/MCRO_27-CR-21-2803_Order for Conditional Release_2021-09-29_20251126184253.pdf","MCRO_27-CR-21-2803_Order for Conditional Release_2021-09-29_20251126184253.pdf")</f>
        <v>MCRO_27-CR-21-2803_Order for Conditional Release_2021-09-29_20251126184253.pdf</v>
      </c>
      <c r="H1742" s="7" t="str">
        <f aca="false">HYPERLINK("https://mncourtfraud.com/file/3d978c70f8a4a91fd25d0f653c2931516767fdd837fcadff75a8c3cd2ba3a28e.png","3d978c70f8a4a91fd25d0f653c2931516767fdd837fcadff75a8c3cd2ba3a28e")</f>
        <v>3d978c70f8a4a91fd25d0f653c2931516767fdd837fcadff75a8c3cd2ba3a28e</v>
      </c>
      <c r="I1742" s="1" t="s">
        <v>3406</v>
      </c>
      <c r="L1742" s="2" t="s">
        <v>3412</v>
      </c>
      <c r="M1742" s="2" t="n">
        <v>2435</v>
      </c>
      <c r="S1742" s="2" t="n">
        <v>1069</v>
      </c>
      <c r="T1742" s="2" t="n">
        <v>679</v>
      </c>
    </row>
    <row r="1743" customFormat="false" ht="18.7" hidden="false" customHeight="true" outlineLevel="0" collapsed="false">
      <c r="A1743" s="1" t="n">
        <v>1742</v>
      </c>
      <c r="B1743" s="7" t="str">
        <f aca="false">HYPERLINK("https://mncourtfraud.com/file/27-CR-21-2803.pdf","27-CR-21-2803")</f>
        <v>27-CR-21-2803</v>
      </c>
      <c r="C1743" s="1" t="n">
        <v>1</v>
      </c>
      <c r="D1743" s="2" t="s">
        <v>12</v>
      </c>
      <c r="E1743" s="8" t="n">
        <v>44468</v>
      </c>
      <c r="F1743" s="2" t="s">
        <v>24</v>
      </c>
      <c r="G1743" s="7" t="str">
        <f aca="false">HYPERLINK("https://mncourtfraud.com/file/MCRO_27-CR-21-2803_Order for Conditional Release_2021-09-29_20251126184253.pdf","MCRO_27-CR-21-2803_Order for Conditional Release_2021-09-29_20251126184253.pdf")</f>
        <v>MCRO_27-CR-21-2803_Order for Conditional Release_2021-09-29_20251126184253.pdf</v>
      </c>
      <c r="H1743" s="7" t="str">
        <f aca="false">HYPERLINK("https://mncourtfraud.com/file/3f202249d41f264cabf7a4fd2c634829df7886c25cb759658f06c1a8bca28360.cid","3f202249d41f264cabf7a4fd2c634829df7886c25cb759658f06c1a8bca28360")</f>
        <v>3f202249d41f264cabf7a4fd2c634829df7886c25cb759658f06c1a8bca28360</v>
      </c>
      <c r="I1743" s="1" t="s">
        <v>3431</v>
      </c>
      <c r="L1743" s="2" t="s">
        <v>3415</v>
      </c>
      <c r="M1743" s="2" t="n">
        <v>1397</v>
      </c>
    </row>
    <row r="1744" customFormat="false" ht="18.7" hidden="false" customHeight="true" outlineLevel="0" collapsed="false">
      <c r="A1744" s="1" t="n">
        <v>1743</v>
      </c>
      <c r="B1744" s="7" t="str">
        <f aca="false">HYPERLINK("https://mncourtfraud.com/file/27-CR-21-2803.pdf","27-CR-21-2803")</f>
        <v>27-CR-21-2803</v>
      </c>
      <c r="C1744" s="1" t="n">
        <v>1</v>
      </c>
      <c r="D1744" s="2" t="s">
        <v>12</v>
      </c>
      <c r="E1744" s="8" t="n">
        <v>44468</v>
      </c>
      <c r="F1744" s="2" t="s">
        <v>24</v>
      </c>
      <c r="G1744" s="7" t="str">
        <f aca="false">HYPERLINK("https://mncourtfraud.com/file/MCRO_27-CR-21-2803_Order for Conditional Release_2021-09-29_20251126184253.pdf","MCRO_27-CR-21-2803_Order for Conditional Release_2021-09-29_20251126184253.pdf")</f>
        <v>MCRO_27-CR-21-2803_Order for Conditional Release_2021-09-29_20251126184253.pdf</v>
      </c>
      <c r="H1744" s="7" t="str">
        <f aca="false">HYPERLINK("https://mncourtfraud.com/file/425a64ecdc19aa0c86b927b2be8980d179c92ac4af2a49d3c3ad0aa278728c52.png","425a64ecdc19aa0c86b927b2be8980d179c92ac4af2a49d3c3ad0aa278728c52")</f>
        <v>425a64ecdc19aa0c86b927b2be8980d179c92ac4af2a49d3c3ad0aa278728c52</v>
      </c>
      <c r="I1744" s="1" t="s">
        <v>3406</v>
      </c>
      <c r="L1744" s="2" t="s">
        <v>3412</v>
      </c>
      <c r="M1744" s="2" t="n">
        <v>520</v>
      </c>
      <c r="S1744" s="2" t="n">
        <v>126</v>
      </c>
      <c r="T1744" s="2" t="n">
        <v>150</v>
      </c>
    </row>
    <row r="1745" customFormat="false" ht="18.7" hidden="false" customHeight="true" outlineLevel="0" collapsed="false">
      <c r="A1745" s="1" t="n">
        <v>1744</v>
      </c>
      <c r="B1745" s="7" t="str">
        <f aca="false">HYPERLINK("https://mncourtfraud.com/file/27-CR-21-2803.pdf","27-CR-21-2803")</f>
        <v>27-CR-21-2803</v>
      </c>
      <c r="C1745" s="1" t="n">
        <v>1</v>
      </c>
      <c r="D1745" s="2" t="s">
        <v>12</v>
      </c>
      <c r="E1745" s="8" t="n">
        <v>44468</v>
      </c>
      <c r="F1745" s="2" t="s">
        <v>24</v>
      </c>
      <c r="G1745" s="7" t="str">
        <f aca="false">HYPERLINK("https://mncourtfraud.com/file/MCRO_27-CR-21-2803_Order for Conditional Release_2021-09-29_20251126184253.pdf","MCRO_27-CR-21-2803_Order for Conditional Release_2021-09-29_20251126184253.pdf")</f>
        <v>MCRO_27-CR-21-2803_Order for Conditional Release_2021-09-29_20251126184253.pdf</v>
      </c>
      <c r="H1745" s="7" t="str">
        <f aca="false">HYPERLINK("https://mncourtfraud.com/file/4458a2b033c8132fd890227750c1df180ec4563b9dc0a6394b3691240425c9b3.cid","4458a2b033c8132fd890227750c1df180ec4563b9dc0a6394b3691240425c9b3")</f>
        <v>4458a2b033c8132fd890227750c1df180ec4563b9dc0a6394b3691240425c9b3</v>
      </c>
      <c r="I1745" s="1" t="s">
        <v>3431</v>
      </c>
      <c r="L1745" s="2" t="s">
        <v>3415</v>
      </c>
      <c r="M1745" s="2" t="n">
        <v>3580</v>
      </c>
    </row>
    <row r="1746" customFormat="false" ht="18.7" hidden="false" customHeight="true" outlineLevel="0" collapsed="false">
      <c r="A1746" s="1" t="n">
        <v>1745</v>
      </c>
      <c r="B1746" s="7" t="str">
        <f aca="false">HYPERLINK("https://mncourtfraud.com/file/27-CR-21-2803.pdf","27-CR-21-2803")</f>
        <v>27-CR-21-2803</v>
      </c>
      <c r="C1746" s="1" t="n">
        <v>1</v>
      </c>
      <c r="D1746" s="2" t="s">
        <v>12</v>
      </c>
      <c r="E1746" s="8" t="n">
        <v>44468</v>
      </c>
      <c r="F1746" s="2" t="s">
        <v>24</v>
      </c>
      <c r="G1746" s="7" t="str">
        <f aca="false">HYPERLINK("https://mncourtfraud.com/file/MCRO_27-CR-21-2803_Order for Conditional Release_2021-09-29_20251126184253.pdf","MCRO_27-CR-21-2803_Order for Conditional Release_2021-09-29_20251126184253.pdf")</f>
        <v>MCRO_27-CR-21-2803_Order for Conditional Release_2021-09-29_20251126184253.pdf</v>
      </c>
      <c r="H1746" s="7" t="str">
        <f aca="false">HYPERLINK("https://mncourtfraud.com/file/45a9f49ddf96d4a4dcf4561d2702204f448986045babf3fdd52fa18200557e31.png","45a9f49ddf96d4a4dcf4561d2702204f448986045babf3fdd52fa18200557e31")</f>
        <v>45a9f49ddf96d4a4dcf4561d2702204f448986045babf3fdd52fa18200557e31</v>
      </c>
      <c r="I1746" s="1" t="s">
        <v>3406</v>
      </c>
      <c r="L1746" s="2" t="s">
        <v>3412</v>
      </c>
      <c r="M1746" s="2" t="n">
        <v>97</v>
      </c>
      <c r="S1746" s="2" t="n">
        <v>3</v>
      </c>
      <c r="T1746" s="2" t="n">
        <v>4</v>
      </c>
    </row>
    <row r="1747" customFormat="false" ht="18.7" hidden="false" customHeight="true" outlineLevel="0" collapsed="false">
      <c r="A1747" s="1" t="n">
        <v>1746</v>
      </c>
      <c r="B1747" s="7" t="str">
        <f aca="false">HYPERLINK("https://mncourtfraud.com/file/27-CR-21-2803.pdf","27-CR-21-2803")</f>
        <v>27-CR-21-2803</v>
      </c>
      <c r="C1747" s="1" t="n">
        <v>1</v>
      </c>
      <c r="D1747" s="2" t="s">
        <v>12</v>
      </c>
      <c r="E1747" s="8" t="n">
        <v>44468</v>
      </c>
      <c r="F1747" s="2" t="s">
        <v>24</v>
      </c>
      <c r="G1747" s="7" t="str">
        <f aca="false">HYPERLINK("https://mncourtfraud.com/file/MCRO_27-CR-21-2803_Order for Conditional Release_2021-09-29_20251126184253.pdf","MCRO_27-CR-21-2803_Order for Conditional Release_2021-09-29_20251126184253.pdf")</f>
        <v>MCRO_27-CR-21-2803_Order for Conditional Release_2021-09-29_20251126184253.pdf</v>
      </c>
      <c r="H1747" s="7" t="str">
        <f aca="false">HYPERLINK("https://mncourtfraud.com/file/50457dc3e0bb6204f128f3222c76884dffaf132a86395902e3967a44a5d511ed.cid","50457dc3e0bb6204f128f3222c76884dffaf132a86395902e3967a44a5d511ed")</f>
        <v>50457dc3e0bb6204f128f3222c76884dffaf132a86395902e3967a44a5d511ed</v>
      </c>
      <c r="I1747" s="1" t="s">
        <v>3431</v>
      </c>
      <c r="L1747" s="2" t="s">
        <v>3415</v>
      </c>
      <c r="M1747" s="2" t="n">
        <v>2839</v>
      </c>
    </row>
    <row r="1748" customFormat="false" ht="18.7" hidden="false" customHeight="true" outlineLevel="0" collapsed="false">
      <c r="A1748" s="1" t="n">
        <v>1747</v>
      </c>
      <c r="B1748" s="7" t="str">
        <f aca="false">HYPERLINK("https://mncourtfraud.com/file/27-CR-21-2803.pdf","27-CR-21-2803")</f>
        <v>27-CR-21-2803</v>
      </c>
      <c r="C1748" s="1" t="n">
        <v>1</v>
      </c>
      <c r="D1748" s="2" t="s">
        <v>12</v>
      </c>
      <c r="E1748" s="8" t="n">
        <v>44468</v>
      </c>
      <c r="F1748" s="2" t="s">
        <v>24</v>
      </c>
      <c r="G1748" s="7" t="str">
        <f aca="false">HYPERLINK("https://mncourtfraud.com/file/MCRO_27-CR-21-2803_Order for Conditional Release_2021-09-29_20251126184253.pdf","MCRO_27-CR-21-2803_Order for Conditional Release_2021-09-29_20251126184253.pdf")</f>
        <v>MCRO_27-CR-21-2803_Order for Conditional Release_2021-09-29_20251126184253.pdf</v>
      </c>
      <c r="H1748" s="7" t="str">
        <f aca="false">HYPERLINK("https://mncourtfraud.com/file/52f2827f81e9a21813e5089396a7afa6accf4023998e877d3b9460283e0bb9a5.cid","52f2827f81e9a21813e5089396a7afa6accf4023998e877d3b9460283e0bb9a5")</f>
        <v>52f2827f81e9a21813e5089396a7afa6accf4023998e877d3b9460283e0bb9a5</v>
      </c>
      <c r="I1748" s="1" t="s">
        <v>3431</v>
      </c>
      <c r="L1748" s="2" t="s">
        <v>3415</v>
      </c>
      <c r="M1748" s="2" t="n">
        <v>381</v>
      </c>
    </row>
    <row r="1749" customFormat="false" ht="18.7" hidden="false" customHeight="true" outlineLevel="0" collapsed="false">
      <c r="A1749" s="1" t="n">
        <v>1748</v>
      </c>
      <c r="B1749" s="7" t="str">
        <f aca="false">HYPERLINK("https://mncourtfraud.com/file/27-CR-21-2803.pdf","27-CR-21-2803")</f>
        <v>27-CR-21-2803</v>
      </c>
      <c r="C1749" s="1" t="n">
        <v>1</v>
      </c>
      <c r="D1749" s="2" t="s">
        <v>12</v>
      </c>
      <c r="E1749" s="8" t="n">
        <v>44468</v>
      </c>
      <c r="F1749" s="2" t="s">
        <v>24</v>
      </c>
      <c r="G1749" s="7" t="str">
        <f aca="false">HYPERLINK("https://mncourtfraud.com/file/MCRO_27-CR-21-2803_Order for Conditional Release_2021-09-29_20251126184253.pdf","MCRO_27-CR-21-2803_Order for Conditional Release_2021-09-29_20251126184253.pdf")</f>
        <v>MCRO_27-CR-21-2803_Order for Conditional Release_2021-09-29_20251126184253.pdf</v>
      </c>
      <c r="H1749" s="7" t="str">
        <f aca="false">HYPERLINK("https://mncourtfraud.com/file/5bf127b8427f0831bc8864aa549643604be6b63d8ca96ff1ba7182ccec9bc2ad.cid","5bf127b8427f0831bc8864aa549643604be6b63d8ca96ff1ba7182ccec9bc2ad")</f>
        <v>5bf127b8427f0831bc8864aa549643604be6b63d8ca96ff1ba7182ccec9bc2ad</v>
      </c>
      <c r="I1749" s="1" t="s">
        <v>3431</v>
      </c>
      <c r="L1749" s="2" t="s">
        <v>3415</v>
      </c>
      <c r="M1749" s="2" t="n">
        <v>7990</v>
      </c>
    </row>
    <row r="1750" customFormat="false" ht="18.7" hidden="false" customHeight="true" outlineLevel="0" collapsed="false">
      <c r="A1750" s="1" t="n">
        <v>1749</v>
      </c>
      <c r="B1750" s="7" t="str">
        <f aca="false">HYPERLINK("https://mncourtfraud.com/file/27-CR-21-2803.pdf","27-CR-21-2803")</f>
        <v>27-CR-21-2803</v>
      </c>
      <c r="C1750" s="1" t="n">
        <v>1</v>
      </c>
      <c r="D1750" s="2" t="s">
        <v>12</v>
      </c>
      <c r="E1750" s="8" t="n">
        <v>44468</v>
      </c>
      <c r="F1750" s="2" t="s">
        <v>24</v>
      </c>
      <c r="G1750" s="7" t="str">
        <f aca="false">HYPERLINK("https://mncourtfraud.com/file/MCRO_27-CR-21-2803_Order for Conditional Release_2021-09-29_20251126184253.pdf","MCRO_27-CR-21-2803_Order for Conditional Release_2021-09-29_20251126184253.pdf")</f>
        <v>MCRO_27-CR-21-2803_Order for Conditional Release_2021-09-29_20251126184253.pdf</v>
      </c>
      <c r="H1750" s="7" t="str">
        <f aca="false">HYPERLINK("https://mncourtfraud.com/file/614121b29b009262816a5b70532c1a04ec73c5d83786c4500719e9e7d614a562.cid","614121b29b009262816a5b70532c1a04ec73c5d83786c4500719e9e7d614a562")</f>
        <v>614121b29b009262816a5b70532c1a04ec73c5d83786c4500719e9e7d614a562</v>
      </c>
      <c r="I1750" s="1" t="s">
        <v>3431</v>
      </c>
      <c r="L1750" s="2" t="s">
        <v>3415</v>
      </c>
      <c r="M1750" s="2" t="n">
        <v>5970</v>
      </c>
    </row>
    <row r="1751" customFormat="false" ht="18.7" hidden="false" customHeight="true" outlineLevel="0" collapsed="false">
      <c r="A1751" s="1" t="n">
        <v>1750</v>
      </c>
      <c r="B1751" s="7" t="str">
        <f aca="false">HYPERLINK("https://mncourtfraud.com/file/27-CR-21-2803.pdf","27-CR-21-2803")</f>
        <v>27-CR-21-2803</v>
      </c>
      <c r="C1751" s="1" t="n">
        <v>1</v>
      </c>
      <c r="D1751" s="2" t="s">
        <v>12</v>
      </c>
      <c r="E1751" s="8" t="n">
        <v>44468</v>
      </c>
      <c r="F1751" s="2" t="s">
        <v>24</v>
      </c>
      <c r="G1751" s="7" t="str">
        <f aca="false">HYPERLINK("https://mncourtfraud.com/file/MCRO_27-CR-21-2803_Order for Conditional Release_2021-09-29_20251126184253.pdf","MCRO_27-CR-21-2803_Order for Conditional Release_2021-09-29_20251126184253.pdf")</f>
        <v>MCRO_27-CR-21-2803_Order for Conditional Release_2021-09-29_20251126184253.pdf</v>
      </c>
      <c r="H1751" s="7" t="str">
        <f aca="false">HYPERLINK("https://mncourtfraud.com/file/7e14169e8fd6eddddd43bc2fc14557202f527587078dd29e867ad63570714e07.png","7e14169e8fd6eddddd43bc2fc14557202f527587078dd29e867ad63570714e07")</f>
        <v>7e14169e8fd6eddddd43bc2fc14557202f527587078dd29e867ad63570714e07</v>
      </c>
      <c r="I1751" s="1" t="s">
        <v>3406</v>
      </c>
      <c r="L1751" s="2" t="s">
        <v>3412</v>
      </c>
      <c r="M1751" s="2" t="n">
        <v>100</v>
      </c>
      <c r="S1751" s="2" t="n">
        <v>5</v>
      </c>
      <c r="T1751" s="2" t="n">
        <v>5</v>
      </c>
    </row>
    <row r="1752" customFormat="false" ht="18.7" hidden="false" customHeight="true" outlineLevel="0" collapsed="false">
      <c r="A1752" s="1" t="n">
        <v>1751</v>
      </c>
      <c r="B1752" s="7" t="str">
        <f aca="false">HYPERLINK("https://mncourtfraud.com/file/27-CR-21-2803.pdf","27-CR-21-2803")</f>
        <v>27-CR-21-2803</v>
      </c>
      <c r="C1752" s="1" t="n">
        <v>1</v>
      </c>
      <c r="D1752" s="2" t="s">
        <v>12</v>
      </c>
      <c r="E1752" s="8" t="n">
        <v>44468</v>
      </c>
      <c r="F1752" s="2" t="s">
        <v>24</v>
      </c>
      <c r="G1752" s="7" t="str">
        <f aca="false">HYPERLINK("https://mncourtfraud.com/file/MCRO_27-CR-21-2803_Order for Conditional Release_2021-09-29_20251126184253.pdf","MCRO_27-CR-21-2803_Order for Conditional Release_2021-09-29_20251126184253.pdf")</f>
        <v>MCRO_27-CR-21-2803_Order for Conditional Release_2021-09-29_20251126184253.pdf</v>
      </c>
      <c r="H1752" s="7" t="str">
        <f aca="false">HYPERLINK("https://mncourtfraud.com/file/8198df5372238cac138bb64883627cf42bfc08ac483ff14b35858ae098fa3e09.cid","8198df5372238cac138bb64883627cf42bfc08ac483ff14b35858ae098fa3e09")</f>
        <v>8198df5372238cac138bb64883627cf42bfc08ac483ff14b35858ae098fa3e09</v>
      </c>
      <c r="I1752" s="1" t="s">
        <v>3431</v>
      </c>
      <c r="L1752" s="2" t="s">
        <v>3415</v>
      </c>
      <c r="M1752" s="2" t="n">
        <v>3966</v>
      </c>
    </row>
    <row r="1753" customFormat="false" ht="18.7" hidden="false" customHeight="true" outlineLevel="0" collapsed="false">
      <c r="A1753" s="1" t="n">
        <v>1752</v>
      </c>
      <c r="B1753" s="7" t="str">
        <f aca="false">HYPERLINK("https://mncourtfraud.com/file/27-CR-21-2803.pdf","27-CR-21-2803")</f>
        <v>27-CR-21-2803</v>
      </c>
      <c r="C1753" s="1" t="n">
        <v>1</v>
      </c>
      <c r="D1753" s="2" t="s">
        <v>12</v>
      </c>
      <c r="E1753" s="8" t="n">
        <v>44468</v>
      </c>
      <c r="F1753" s="2" t="s">
        <v>24</v>
      </c>
      <c r="G1753" s="7" t="str">
        <f aca="false">HYPERLINK("https://mncourtfraud.com/file/MCRO_27-CR-21-2803_Order for Conditional Release_2021-09-29_20251126184253.pdf","MCRO_27-CR-21-2803_Order for Conditional Release_2021-09-29_20251126184253.pdf")</f>
        <v>MCRO_27-CR-21-2803_Order for Conditional Release_2021-09-29_20251126184253.pdf</v>
      </c>
      <c r="H1753" s="7" t="str">
        <f aca="false">HYPERLINK("https://mncourtfraud.com/file/8793bfb8eeebb59de729b22461b75a010eda532097214bf8285117449fae5b3c.png","8793bfb8eeebb59de729b22461b75a010eda532097214bf8285117449fae5b3c")</f>
        <v>8793bfb8eeebb59de729b22461b75a010eda532097214bf8285117449fae5b3c</v>
      </c>
      <c r="I1753" s="1" t="s">
        <v>3406</v>
      </c>
      <c r="L1753" s="2" t="s">
        <v>3412</v>
      </c>
      <c r="M1753" s="2" t="n">
        <v>104</v>
      </c>
      <c r="S1753" s="2" t="n">
        <v>6</v>
      </c>
      <c r="T1753" s="2" t="n">
        <v>4</v>
      </c>
    </row>
    <row r="1754" customFormat="false" ht="18.7" hidden="false" customHeight="true" outlineLevel="0" collapsed="false">
      <c r="A1754" s="1" t="n">
        <v>1753</v>
      </c>
      <c r="B1754" s="7" t="str">
        <f aca="false">HYPERLINK("https://mncourtfraud.com/file/27-CR-21-2803.pdf","27-CR-21-2803")</f>
        <v>27-CR-21-2803</v>
      </c>
      <c r="C1754" s="1" t="n">
        <v>1</v>
      </c>
      <c r="D1754" s="2" t="s">
        <v>12</v>
      </c>
      <c r="E1754" s="8" t="n">
        <v>44468</v>
      </c>
      <c r="F1754" s="2" t="s">
        <v>24</v>
      </c>
      <c r="G1754" s="7" t="str">
        <f aca="false">HYPERLINK("https://mncourtfraud.com/file/MCRO_27-CR-21-2803_Order for Conditional Release_2021-09-29_20251126184253.pdf","MCRO_27-CR-21-2803_Order for Conditional Release_2021-09-29_20251126184253.pdf")</f>
        <v>MCRO_27-CR-21-2803_Order for Conditional Release_2021-09-29_20251126184253.pdf</v>
      </c>
      <c r="H1754" s="7" t="str">
        <f aca="false">HYPERLINK("https://mncourtfraud.com/file/8c2e00c7a4e8974eff73eba397a59d5f5f25d249433535298973d70a9f79dec8.png","8c2e00c7a4e8974eff73eba397a59d5f5f25d249433535298973d70a9f79dec8")</f>
        <v>8c2e00c7a4e8974eff73eba397a59d5f5f25d249433535298973d70a9f79dec8</v>
      </c>
      <c r="I1754" s="1" t="s">
        <v>3406</v>
      </c>
      <c r="L1754" s="2" t="s">
        <v>3412</v>
      </c>
      <c r="M1754" s="2" t="n">
        <v>810</v>
      </c>
      <c r="S1754" s="2" t="n">
        <v>519</v>
      </c>
      <c r="T1754" s="2" t="n">
        <v>231</v>
      </c>
    </row>
    <row r="1755" customFormat="false" ht="18.7" hidden="false" customHeight="true" outlineLevel="0" collapsed="false">
      <c r="A1755" s="1" t="n">
        <v>1754</v>
      </c>
      <c r="B1755" s="7" t="str">
        <f aca="false">HYPERLINK("https://mncourtfraud.com/file/27-CR-21-2803.pdf","27-CR-21-2803")</f>
        <v>27-CR-21-2803</v>
      </c>
      <c r="C1755" s="1" t="n">
        <v>1</v>
      </c>
      <c r="D1755" s="2" t="s">
        <v>12</v>
      </c>
      <c r="E1755" s="8" t="n">
        <v>44468</v>
      </c>
      <c r="F1755" s="2" t="s">
        <v>24</v>
      </c>
      <c r="G1755" s="7" t="str">
        <f aca="false">HYPERLINK("https://mncourtfraud.com/file/MCRO_27-CR-21-2803_Order for Conditional Release_2021-09-29_20251126184253.pdf","MCRO_27-CR-21-2803_Order for Conditional Release_2021-09-29_20251126184253.pdf")</f>
        <v>MCRO_27-CR-21-2803_Order for Conditional Release_2021-09-29_20251126184253.pdf</v>
      </c>
      <c r="H1755" s="7" t="str">
        <f aca="false">HYPERLINK("https://mncourtfraud.com/file/a431b1b5f48186b4c98851d84352c1573e22c0e9b97117edbc0ad8603da3c307.png","a431b1b5f48186b4c98851d84352c1573e22c0e9b97117edbc0ad8603da3c307")</f>
        <v>a431b1b5f48186b4c98851d84352c1573e22c0e9b97117edbc0ad8603da3c307</v>
      </c>
      <c r="I1755" s="1" t="s">
        <v>3406</v>
      </c>
      <c r="L1755" s="2" t="s">
        <v>3412</v>
      </c>
      <c r="M1755" s="2" t="n">
        <v>157</v>
      </c>
      <c r="S1755" s="2" t="n">
        <v>7</v>
      </c>
      <c r="T1755" s="2" t="n">
        <v>284</v>
      </c>
    </row>
    <row r="1756" customFormat="false" ht="18.7" hidden="false" customHeight="true" outlineLevel="0" collapsed="false">
      <c r="A1756" s="1" t="n">
        <v>1755</v>
      </c>
      <c r="B1756" s="7" t="str">
        <f aca="false">HYPERLINK("https://mncourtfraud.com/file/27-CR-21-2803.pdf","27-CR-21-2803")</f>
        <v>27-CR-21-2803</v>
      </c>
      <c r="C1756" s="1" t="n">
        <v>1</v>
      </c>
      <c r="D1756" s="2" t="s">
        <v>12</v>
      </c>
      <c r="E1756" s="8" t="n">
        <v>44468</v>
      </c>
      <c r="F1756" s="2" t="s">
        <v>24</v>
      </c>
      <c r="G1756" s="7" t="str">
        <f aca="false">HYPERLINK("https://mncourtfraud.com/file/MCRO_27-CR-21-2803_Order for Conditional Release_2021-09-29_20251126184253.pdf","MCRO_27-CR-21-2803_Order for Conditional Release_2021-09-29_20251126184253.pdf")</f>
        <v>MCRO_27-CR-21-2803_Order for Conditional Release_2021-09-29_20251126184253.pdf</v>
      </c>
      <c r="H1756" s="7" t="str">
        <f aca="false">HYPERLINK("https://mncourtfraud.com/file/ac369f378e3fbed88e7c1c71d7e27d3af59d79c8d2f8338a6182f69d0e17a2ef.cid","ac369f378e3fbed88e7c1c71d7e27d3af59d79c8d2f8338a6182f69d0e17a2ef")</f>
        <v>ac369f378e3fbed88e7c1c71d7e27d3af59d79c8d2f8338a6182f69d0e17a2ef</v>
      </c>
      <c r="I1756" s="1" t="s">
        <v>3431</v>
      </c>
      <c r="L1756" s="2" t="s">
        <v>3415</v>
      </c>
      <c r="M1756" s="2" t="n">
        <v>14113</v>
      </c>
    </row>
    <row r="1757" customFormat="false" ht="18.7" hidden="false" customHeight="true" outlineLevel="0" collapsed="false">
      <c r="A1757" s="1" t="n">
        <v>1756</v>
      </c>
      <c r="B1757" s="7" t="str">
        <f aca="false">HYPERLINK("https://mncourtfraud.com/file/27-CR-21-2803.pdf","27-CR-21-2803")</f>
        <v>27-CR-21-2803</v>
      </c>
      <c r="C1757" s="1" t="n">
        <v>1</v>
      </c>
      <c r="D1757" s="2" t="s">
        <v>12</v>
      </c>
      <c r="E1757" s="8" t="n">
        <v>44468</v>
      </c>
      <c r="F1757" s="2" t="s">
        <v>24</v>
      </c>
      <c r="G1757" s="7" t="str">
        <f aca="false">HYPERLINK("https://mncourtfraud.com/file/MCRO_27-CR-21-2803_Order for Conditional Release_2021-09-29_20251126184253.pdf","MCRO_27-CR-21-2803_Order for Conditional Release_2021-09-29_20251126184253.pdf")</f>
        <v>MCRO_27-CR-21-2803_Order for Conditional Release_2021-09-29_20251126184253.pdf</v>
      </c>
      <c r="H1757" s="7" t="str">
        <f aca="false">HYPERLINK("https://mncourtfraud.com/file/b1c38e97038ce898a189d377f1fa9f4b673ae497ef07cd779e6d54764f350895.cid","b1c38e97038ce898a189d377f1fa9f4b673ae497ef07cd779e6d54764f350895")</f>
        <v>b1c38e97038ce898a189d377f1fa9f4b673ae497ef07cd779e6d54764f350895</v>
      </c>
      <c r="I1757" s="1" t="s">
        <v>3431</v>
      </c>
      <c r="L1757" s="2" t="s">
        <v>3415</v>
      </c>
      <c r="M1757" s="2" t="n">
        <v>3783</v>
      </c>
    </row>
    <row r="1758" customFormat="false" ht="18.7" hidden="false" customHeight="true" outlineLevel="0" collapsed="false">
      <c r="A1758" s="1" t="n">
        <v>1757</v>
      </c>
      <c r="B1758" s="7" t="str">
        <f aca="false">HYPERLINK("https://mncourtfraud.com/file/27-CR-21-2803.pdf","27-CR-21-2803")</f>
        <v>27-CR-21-2803</v>
      </c>
      <c r="C1758" s="1" t="n">
        <v>1</v>
      </c>
      <c r="D1758" s="2" t="s">
        <v>12</v>
      </c>
      <c r="E1758" s="8" t="n">
        <v>44468</v>
      </c>
      <c r="F1758" s="2" t="s">
        <v>24</v>
      </c>
      <c r="G1758" s="7" t="str">
        <f aca="false">HYPERLINK("https://mncourtfraud.com/file/MCRO_27-CR-21-2803_Order for Conditional Release_2021-09-29_20251126184253.pdf","MCRO_27-CR-21-2803_Order for Conditional Release_2021-09-29_20251126184253.pdf")</f>
        <v>MCRO_27-CR-21-2803_Order for Conditional Release_2021-09-29_20251126184253.pdf</v>
      </c>
      <c r="H1758" s="7" t="str">
        <f aca="false">HYPERLINK("https://mncourtfraud.com/file/ba989ca65f54d43887ebbc930462a840e60360223cb0c16c223e7e9ed46afecb.cid","ba989ca65f54d43887ebbc930462a840e60360223cb0c16c223e7e9ed46afecb")</f>
        <v>ba989ca65f54d43887ebbc930462a840e60360223cb0c16c223e7e9ed46afecb</v>
      </c>
      <c r="I1758" s="1" t="s">
        <v>3431</v>
      </c>
      <c r="L1758" s="2" t="s">
        <v>3415</v>
      </c>
      <c r="M1758" s="2" t="n">
        <v>444</v>
      </c>
    </row>
    <row r="1759" customFormat="false" ht="18.7" hidden="false" customHeight="true" outlineLevel="0" collapsed="false">
      <c r="A1759" s="1" t="n">
        <v>1758</v>
      </c>
      <c r="B1759" s="7" t="str">
        <f aca="false">HYPERLINK("https://mncourtfraud.com/file/27-CR-21-2803.pdf","27-CR-21-2803")</f>
        <v>27-CR-21-2803</v>
      </c>
      <c r="C1759" s="1" t="n">
        <v>1</v>
      </c>
      <c r="D1759" s="2" t="s">
        <v>12</v>
      </c>
      <c r="E1759" s="8" t="n">
        <v>44468</v>
      </c>
      <c r="F1759" s="2" t="s">
        <v>24</v>
      </c>
      <c r="G1759" s="7" t="str">
        <f aca="false">HYPERLINK("https://mncourtfraud.com/file/MCRO_27-CR-21-2803_Order for Conditional Release_2021-09-29_20251126184253.pdf","MCRO_27-CR-21-2803_Order for Conditional Release_2021-09-29_20251126184253.pdf")</f>
        <v>MCRO_27-CR-21-2803_Order for Conditional Release_2021-09-29_20251126184253.pdf</v>
      </c>
      <c r="H1759" s="7" t="str">
        <f aca="false">HYPERLINK("https://mncourtfraud.com/file/db9c8118091788c7a0a30157e363f5dd281f7a35fb525fad58599ee6371079a5.cid","db9c8118091788c7a0a30157e363f5dd281f7a35fb525fad58599ee6371079a5")</f>
        <v>db9c8118091788c7a0a30157e363f5dd281f7a35fb525fad58599ee6371079a5</v>
      </c>
      <c r="I1759" s="1" t="s">
        <v>3431</v>
      </c>
      <c r="L1759" s="2" t="s">
        <v>3415</v>
      </c>
      <c r="M1759" s="2" t="n">
        <v>848</v>
      </c>
    </row>
    <row r="1760" customFormat="false" ht="18.7" hidden="false" customHeight="true" outlineLevel="0" collapsed="false">
      <c r="A1760" s="1" t="n">
        <v>1759</v>
      </c>
      <c r="B1760" s="7" t="str">
        <f aca="false">HYPERLINK("https://mncourtfraud.com/file/27-CR-21-2803.pdf","27-CR-21-2803")</f>
        <v>27-CR-21-2803</v>
      </c>
      <c r="C1760" s="1" t="n">
        <v>1</v>
      </c>
      <c r="D1760" s="2" t="s">
        <v>12</v>
      </c>
      <c r="E1760" s="8" t="n">
        <v>44468</v>
      </c>
      <c r="F1760" s="2" t="s">
        <v>24</v>
      </c>
      <c r="G1760" s="7" t="str">
        <f aca="false">HYPERLINK("https://mncourtfraud.com/file/MCRO_27-CR-21-2803_Order for Conditional Release_2021-09-29_20251126184253.pdf","MCRO_27-CR-21-2803_Order for Conditional Release_2021-09-29_20251126184253.pdf")</f>
        <v>MCRO_27-CR-21-2803_Order for Conditional Release_2021-09-29_20251126184253.pdf</v>
      </c>
      <c r="H1760" s="7" t="str">
        <f aca="false">HYPERLINK("https://mncourtfraud.com/file/e04b4db843c4bf02679b586bdc06323c2777cf59091b22718210a1dd2a0badc7.png","e04b4db843c4bf02679b586bdc06323c2777cf59091b22718210a1dd2a0badc7")</f>
        <v>e04b4db843c4bf02679b586bdc06323c2777cf59091b22718210a1dd2a0badc7</v>
      </c>
      <c r="I1760" s="1" t="s">
        <v>3406</v>
      </c>
      <c r="L1760" s="2" t="s">
        <v>3412</v>
      </c>
      <c r="M1760" s="2" t="n">
        <v>199</v>
      </c>
      <c r="S1760" s="2" t="n">
        <v>7</v>
      </c>
      <c r="T1760" s="2" t="n">
        <v>347</v>
      </c>
    </row>
    <row r="1761" customFormat="false" ht="18.7" hidden="false" customHeight="true" outlineLevel="0" collapsed="false">
      <c r="A1761" s="1" t="n">
        <v>1760</v>
      </c>
      <c r="B1761" s="7" t="str">
        <f aca="false">HYPERLINK("https://mncourtfraud.com/file/27-CR-21-2803.pdf","27-CR-21-2803")</f>
        <v>27-CR-21-2803</v>
      </c>
      <c r="C1761" s="1" t="n">
        <v>1</v>
      </c>
      <c r="D1761" s="2" t="s">
        <v>12</v>
      </c>
      <c r="E1761" s="8" t="n">
        <v>44468</v>
      </c>
      <c r="F1761" s="2" t="s">
        <v>24</v>
      </c>
      <c r="G1761" s="7" t="str">
        <f aca="false">HYPERLINK("https://mncourtfraud.com/file/MCRO_27-CR-21-2803_Order for Conditional Release_2021-09-29_20251126184253.pdf","MCRO_27-CR-21-2803_Order for Conditional Release_2021-09-29_20251126184253.pdf")</f>
        <v>MCRO_27-CR-21-2803_Order for Conditional Release_2021-09-29_20251126184253.pdf</v>
      </c>
      <c r="H1761" s="7" t="str">
        <f aca="false">HYPERLINK("https://mncourtfraud.com/file/edbae421bba147262ba26ef60780ca6dfd5bedce23be39a1f883da7c23dae35f.cid","edbae421bba147262ba26ef60780ca6dfd5bedce23be39a1f883da7c23dae35f")</f>
        <v>edbae421bba147262ba26ef60780ca6dfd5bedce23be39a1f883da7c23dae35f</v>
      </c>
      <c r="I1761" s="1" t="s">
        <v>3431</v>
      </c>
      <c r="L1761" s="2" t="s">
        <v>3415</v>
      </c>
      <c r="M1761" s="2" t="n">
        <v>21348</v>
      </c>
    </row>
    <row r="1762" customFormat="false" ht="18.7" hidden="false" customHeight="true" outlineLevel="0" collapsed="false">
      <c r="A1762" s="1" t="n">
        <v>1761</v>
      </c>
      <c r="B1762" s="7" t="str">
        <f aca="false">HYPERLINK("https://mncourtfraud.com/file/27-CR-21-2803.pdf","27-CR-21-2803")</f>
        <v>27-CR-21-2803</v>
      </c>
      <c r="C1762" s="1" t="n">
        <v>1</v>
      </c>
      <c r="D1762" s="2" t="s">
        <v>12</v>
      </c>
      <c r="E1762" s="8" t="n">
        <v>44468</v>
      </c>
      <c r="F1762" s="2" t="s">
        <v>24</v>
      </c>
      <c r="G1762" s="7" t="str">
        <f aca="false">HYPERLINK("https://mncourtfraud.com/file/MCRO_27-CR-21-2803_Order for Conditional Release_2021-09-29_20251126184253.pdf","MCRO_27-CR-21-2803_Order for Conditional Release_2021-09-29_20251126184253.pdf")</f>
        <v>MCRO_27-CR-21-2803_Order for Conditional Release_2021-09-29_20251126184253.pdf</v>
      </c>
      <c r="H1762" s="7" t="str">
        <f aca="false">HYPERLINK("https://mncourtfraud.com/file/efd944d517e9b552a77a910c5203f04540cf1249b7304a04f4907f542ec53c17.cid","efd944d517e9b552a77a910c5203f04540cf1249b7304a04f4907f542ec53c17")</f>
        <v>efd944d517e9b552a77a910c5203f04540cf1249b7304a04f4907f542ec53c17</v>
      </c>
      <c r="I1762" s="1" t="s">
        <v>3431</v>
      </c>
      <c r="L1762" s="2" t="s">
        <v>3415</v>
      </c>
      <c r="M1762" s="2" t="n">
        <v>5521</v>
      </c>
    </row>
    <row r="1763" customFormat="false" ht="18.7" hidden="false" customHeight="true" outlineLevel="0" collapsed="false">
      <c r="A1763" s="1" t="n">
        <v>1762</v>
      </c>
      <c r="B1763" s="7" t="str">
        <f aca="false">HYPERLINK("https://mncourtfraud.com/file/27-CR-21-2803.pdf","27-CR-21-2803")</f>
        <v>27-CR-21-2803</v>
      </c>
      <c r="C1763" s="1" t="n">
        <v>1</v>
      </c>
      <c r="D1763" s="2" t="s">
        <v>12</v>
      </c>
      <c r="E1763" s="8" t="n">
        <v>44468</v>
      </c>
      <c r="F1763" s="2" t="s">
        <v>24</v>
      </c>
      <c r="G1763" s="7" t="str">
        <f aca="false">HYPERLINK("https://mncourtfraud.com/file/MCRO_27-CR-21-2803_Order for Conditional Release_2021-09-29_20251126184253.pdf","MCRO_27-CR-21-2803_Order for Conditional Release_2021-09-29_20251126184253.pdf")</f>
        <v>MCRO_27-CR-21-2803_Order for Conditional Release_2021-09-29_20251126184253.pdf</v>
      </c>
      <c r="H1763" s="7" t="str">
        <f aca="false">HYPERLINK("https://mncourtfraud.com/file/fe1965a60cba51fe144ad80b55474d56106539ec2835ed039f2e68d2691deed0.cid","fe1965a60cba51fe144ad80b55474d56106539ec2835ed039f2e68d2691deed0")</f>
        <v>fe1965a60cba51fe144ad80b55474d56106539ec2835ed039f2e68d2691deed0</v>
      </c>
      <c r="I1763" s="1" t="s">
        <v>3431</v>
      </c>
      <c r="L1763" s="2" t="s">
        <v>3415</v>
      </c>
      <c r="M1763" s="2" t="n">
        <v>4323</v>
      </c>
    </row>
    <row r="1764" customFormat="false" ht="18.7" hidden="false" customHeight="true" outlineLevel="0" collapsed="false">
      <c r="A1764" s="1" t="n">
        <v>1763</v>
      </c>
      <c r="B1764" s="7" t="str">
        <f aca="false">HYPERLINK("https://mncourtfraud.com/file/27-CR-21-2803.pdf","27-CR-21-2803")</f>
        <v>27-CR-21-2803</v>
      </c>
      <c r="C1764" s="1" t="n">
        <v>1</v>
      </c>
      <c r="D1764" s="2" t="s">
        <v>12</v>
      </c>
      <c r="E1764" s="8" t="n">
        <v>44468</v>
      </c>
      <c r="F1764" s="2" t="s">
        <v>24</v>
      </c>
      <c r="G1764" s="7" t="str">
        <f aca="false">HYPERLINK("https://mncourtfraud.com/file/MCRO_27-CR-21-2803_Order for Conditional Release_2021-09-29_20251126184253.pdf","MCRO_27-CR-21-2803_Order for Conditional Release_2021-09-29_20251126184253.pdf")</f>
        <v>MCRO_27-CR-21-2803_Order for Conditional Release_2021-09-29_20251126184253.pdf</v>
      </c>
      <c r="H1764" s="7" t="str">
        <f aca="false">HYPERLINK("https://mncourtfraud.com/file/ff78f82f1ff3b9436a8d65df586b0bef19dd8fcf1b27941145ca7e723b37620b.cid","ff78f82f1ff3b9436a8d65df586b0bef19dd8fcf1b27941145ca7e723b37620b")</f>
        <v>ff78f82f1ff3b9436a8d65df586b0bef19dd8fcf1b27941145ca7e723b37620b</v>
      </c>
      <c r="I1764" s="1" t="s">
        <v>3431</v>
      </c>
      <c r="L1764" s="2" t="s">
        <v>3415</v>
      </c>
      <c r="M1764" s="2" t="n">
        <v>339</v>
      </c>
    </row>
    <row r="1765" customFormat="false" ht="18.7" hidden="false" customHeight="true" outlineLevel="0" collapsed="false">
      <c r="A1765" s="1" t="n">
        <v>1764</v>
      </c>
      <c r="B1765" s="7" t="str">
        <f aca="false">HYPERLINK("https://mncourtfraud.com/file/27-CR-21-2803.pdf","27-CR-21-2803")</f>
        <v>27-CR-21-2803</v>
      </c>
      <c r="C1765" s="1" t="n">
        <v>1</v>
      </c>
      <c r="D1765" s="2" t="s">
        <v>12</v>
      </c>
      <c r="E1765" s="8" t="n">
        <v>44543</v>
      </c>
      <c r="F1765" s="2" t="s">
        <v>15</v>
      </c>
      <c r="G1765" s="7" t="str">
        <f aca="false">HYPERLINK("https://mncourtfraud.com/file/MCRO_27-CR-21-2803_Order-Evaluation for Competency to Proceed (Rule 20.01)_2021-12-13_20251126184318.pdf","MCRO_27-CR-21-2803_Order-Evaluation for Competency to Proceed (Rule 20.01)_2021-12-13_20251126184318.pdf")</f>
        <v>MCRO_27-CR-21-2803_Order-Evaluation for Competency to Proceed (Rule 20.01)_2021-12-13_20251126184318.pdf</v>
      </c>
      <c r="H1765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1765" s="1" t="s">
        <v>3413</v>
      </c>
      <c r="J1765" s="2" t="s">
        <v>3423</v>
      </c>
      <c r="K1765" s="2" t="s">
        <v>3423</v>
      </c>
      <c r="L1765" s="2" t="s">
        <v>3415</v>
      </c>
      <c r="M1765" s="2" t="n">
        <v>11088</v>
      </c>
    </row>
    <row r="1766" customFormat="false" ht="18.7" hidden="false" customHeight="true" outlineLevel="0" collapsed="false">
      <c r="A1766" s="1" t="n">
        <v>1765</v>
      </c>
      <c r="B1766" s="7" t="str">
        <f aca="false">HYPERLINK("https://mncourtfraud.com/file/27-CR-21-2803.pdf","27-CR-21-2803")</f>
        <v>27-CR-21-2803</v>
      </c>
      <c r="C1766" s="1" t="n">
        <v>1</v>
      </c>
      <c r="D1766" s="2" t="s">
        <v>12</v>
      </c>
      <c r="E1766" s="8" t="n">
        <v>44543</v>
      </c>
      <c r="F1766" s="2" t="s">
        <v>15</v>
      </c>
      <c r="G1766" s="7" t="str">
        <f aca="false">HYPERLINK("https://mncourtfraud.com/file/MCRO_27-CR-21-2803_Order-Evaluation for Competency to Proceed (Rule 20.01)_2021-12-13_20251126184318.pdf","MCRO_27-CR-21-2803_Order-Evaluation for Competency to Proceed (Rule 20.01)_2021-12-13_20251126184318.pdf")</f>
        <v>MCRO_27-CR-21-2803_Order-Evaluation for Competency to Proceed (Rule 20.01)_2021-12-13_20251126184318.pdf</v>
      </c>
      <c r="H1766" s="7" t="str">
        <f aca="false">HYPERLINK("https://mncourtfraud.com/file/22be6394304ce5b678311fefb19c39c8cb0a49d25f23150f1efe21ad14b99c7b.ttf","22be6394304ce5b678311fefb19c39c8cb0a49d25f23150f1efe21ad14b99c7b")</f>
        <v>22be6394304ce5b678311fefb19c39c8cb0a49d25f23150f1efe21ad14b99c7b</v>
      </c>
      <c r="I1766" s="1" t="s">
        <v>3413</v>
      </c>
      <c r="J1766" s="2" t="s">
        <v>3421</v>
      </c>
      <c r="K1766" s="2" t="s">
        <v>3421</v>
      </c>
      <c r="L1766" s="2" t="s">
        <v>3415</v>
      </c>
      <c r="M1766" s="2" t="n">
        <v>117192</v>
      </c>
    </row>
    <row r="1767" customFormat="false" ht="18.7" hidden="false" customHeight="true" outlineLevel="0" collapsed="false">
      <c r="A1767" s="1" t="n">
        <v>1766</v>
      </c>
      <c r="B1767" s="7" t="str">
        <f aca="false">HYPERLINK("https://mncourtfraud.com/file/27-CR-21-2803.pdf","27-CR-21-2803")</f>
        <v>27-CR-21-2803</v>
      </c>
      <c r="C1767" s="1" t="n">
        <v>1</v>
      </c>
      <c r="D1767" s="2" t="s">
        <v>12</v>
      </c>
      <c r="E1767" s="8" t="n">
        <v>44543</v>
      </c>
      <c r="F1767" s="2" t="s">
        <v>15</v>
      </c>
      <c r="G1767" s="7" t="str">
        <f aca="false">HYPERLINK("https://mncourtfraud.com/file/MCRO_27-CR-21-2803_Order-Evaluation for Competency to Proceed (Rule 20.01)_2021-12-13_20251126184318.pdf","MCRO_27-CR-21-2803_Order-Evaluation for Competency to Proceed (Rule 20.01)_2021-12-13_20251126184318.pdf")</f>
        <v>MCRO_27-CR-21-2803_Order-Evaluation for Competency to Proceed (Rule 20.01)_2021-12-13_20251126184318.pdf</v>
      </c>
      <c r="H1767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1767" s="1" t="s">
        <v>3413</v>
      </c>
      <c r="J1767" s="2" t="s">
        <v>3424</v>
      </c>
      <c r="K1767" s="2" t="s">
        <v>3424</v>
      </c>
      <c r="L1767" s="2" t="s">
        <v>3415</v>
      </c>
      <c r="M1767" s="2" t="n">
        <v>14252</v>
      </c>
    </row>
    <row r="1768" customFormat="false" ht="18.7" hidden="false" customHeight="true" outlineLevel="0" collapsed="false">
      <c r="A1768" s="1" t="n">
        <v>1767</v>
      </c>
      <c r="B1768" s="7" t="str">
        <f aca="false">HYPERLINK("https://mncourtfraud.com/file/27-CR-21-2803.pdf","27-CR-21-2803")</f>
        <v>27-CR-21-2803</v>
      </c>
      <c r="C1768" s="1" t="n">
        <v>1</v>
      </c>
      <c r="D1768" s="2" t="s">
        <v>12</v>
      </c>
      <c r="E1768" s="8" t="n">
        <v>44543</v>
      </c>
      <c r="F1768" s="2" t="s">
        <v>15</v>
      </c>
      <c r="G1768" s="7" t="str">
        <f aca="false">HYPERLINK("https://mncourtfraud.com/file/MCRO_27-CR-21-2803_Order-Evaluation for Competency to Proceed (Rule 20.01)_2021-12-13_20251126184318.pdf","MCRO_27-CR-21-2803_Order-Evaluation for Competency to Proceed (Rule 20.01)_2021-12-13_20251126184318.pdf")</f>
        <v>MCRO_27-CR-21-2803_Order-Evaluation for Competency to Proceed (Rule 20.01)_2021-12-13_20251126184318.pdf</v>
      </c>
      <c r="H1768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768" s="1" t="s">
        <v>3406</v>
      </c>
      <c r="K1768" s="2" t="s">
        <v>3420</v>
      </c>
      <c r="L1768" s="2" t="s">
        <v>3408</v>
      </c>
      <c r="M1768" s="2" t="n">
        <v>7306</v>
      </c>
      <c r="O1768" s="2" t="s">
        <v>3409</v>
      </c>
      <c r="P1768" s="2" t="s">
        <v>3410</v>
      </c>
      <c r="S1768" s="2" t="n">
        <v>319</v>
      </c>
      <c r="T1768" s="2" t="n">
        <v>105</v>
      </c>
    </row>
    <row r="1769" customFormat="false" ht="18.7" hidden="false" customHeight="true" outlineLevel="0" collapsed="false">
      <c r="A1769" s="1" t="n">
        <v>1768</v>
      </c>
      <c r="B1769" s="7" t="str">
        <f aca="false">HYPERLINK("https://mncourtfraud.com/file/27-CR-21-2803.pdf","27-CR-21-2803")</f>
        <v>27-CR-21-2803</v>
      </c>
      <c r="C1769" s="1" t="n">
        <v>1</v>
      </c>
      <c r="D1769" s="2" t="s">
        <v>12</v>
      </c>
      <c r="E1769" s="8" t="n">
        <v>44543</v>
      </c>
      <c r="F1769" s="2" t="s">
        <v>15</v>
      </c>
      <c r="G1769" s="7" t="str">
        <f aca="false">HYPERLINK("https://mncourtfraud.com/file/MCRO_27-CR-21-2803_Order-Evaluation for Competency to Proceed (Rule 20.01)_2021-12-13_20251126184318.pdf","MCRO_27-CR-21-2803_Order-Evaluation for Competency to Proceed (Rule 20.01)_2021-12-13_20251126184318.pdf")</f>
        <v>MCRO_27-CR-21-2803_Order-Evaluation for Competency to Proceed (Rule 20.01)_2021-12-13_20251126184318.pdf</v>
      </c>
      <c r="H1769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769" s="1" t="s">
        <v>3406</v>
      </c>
      <c r="K1769" s="2" t="s">
        <v>3425</v>
      </c>
      <c r="L1769" s="2" t="s">
        <v>3408</v>
      </c>
      <c r="M1769" s="2" t="n">
        <v>21225</v>
      </c>
      <c r="O1769" s="2" t="s">
        <v>3409</v>
      </c>
      <c r="P1769" s="2" t="s">
        <v>3410</v>
      </c>
      <c r="S1769" s="2" t="n">
        <v>319</v>
      </c>
      <c r="T1769" s="2" t="n">
        <v>105</v>
      </c>
    </row>
    <row r="1770" customFormat="false" ht="18.7" hidden="false" customHeight="true" outlineLevel="0" collapsed="false">
      <c r="A1770" s="1" t="n">
        <v>1769</v>
      </c>
      <c r="B1770" s="7" t="str">
        <f aca="false">HYPERLINK("https://mncourtfraud.com/file/27-CR-21-2803.pdf","27-CR-21-2803")</f>
        <v>27-CR-21-2803</v>
      </c>
      <c r="C1770" s="1" t="n">
        <v>1</v>
      </c>
      <c r="D1770" s="2" t="s">
        <v>12</v>
      </c>
      <c r="E1770" s="8" t="n">
        <v>44543</v>
      </c>
      <c r="F1770" s="2" t="s">
        <v>15</v>
      </c>
      <c r="G1770" s="7" t="str">
        <f aca="false">HYPERLINK("https://mncourtfraud.com/file/MCRO_27-CR-21-2803_Order-Evaluation for Competency to Proceed (Rule 20.01)_2021-12-13_20251126184318.pdf","MCRO_27-CR-21-2803_Order-Evaluation for Competency to Proceed (Rule 20.01)_2021-12-13_20251126184318.pdf")</f>
        <v>MCRO_27-CR-21-2803_Order-Evaluation for Competency to Proceed (Rule 20.01)_2021-12-13_20251126184318.pdf</v>
      </c>
      <c r="H1770" s="7" t="str">
        <f aca="false">HYPERLINK("https://mncourtfraud.com/file/f942eca43ffd6bdbf3ee942fee873a73c8baea7707298295b91918b6d8b6d6ee.ttf","f942eca43ffd6bdbf3ee942fee873a73c8baea7707298295b91918b6d8b6d6ee")</f>
        <v>f942eca43ffd6bdbf3ee942fee873a73c8baea7707298295b91918b6d8b6d6ee</v>
      </c>
      <c r="I1770" s="1" t="s">
        <v>3413</v>
      </c>
      <c r="J1770" s="2" t="s">
        <v>3422</v>
      </c>
      <c r="K1770" s="2" t="s">
        <v>3422</v>
      </c>
      <c r="L1770" s="2" t="s">
        <v>3415</v>
      </c>
      <c r="M1770" s="2" t="n">
        <v>125444</v>
      </c>
    </row>
    <row r="1771" customFormat="false" ht="18.7" hidden="false" customHeight="true" outlineLevel="0" collapsed="false">
      <c r="A1771" s="1" t="n">
        <v>1770</v>
      </c>
      <c r="B1771" s="7" t="str">
        <f aca="false">HYPERLINK("https://mncourtfraud.com/file/27-CR-21-2803.pdf","27-CR-21-2803")</f>
        <v>27-CR-21-2803</v>
      </c>
      <c r="C1771" s="1" t="n">
        <v>1</v>
      </c>
      <c r="D1771" s="2" t="s">
        <v>12</v>
      </c>
      <c r="E1771" s="8" t="n">
        <v>44558</v>
      </c>
      <c r="F1771" s="2" t="s">
        <v>15</v>
      </c>
      <c r="G1771" s="7" t="str">
        <f aca="false">HYPERLINK("https://mncourtfraud.com/file/MCRO_27-CR-21-2803_Order-Evaluation for Competency to Proceed (Rule 20.01)_2021-12-28_20251126184326.pdf","MCRO_27-CR-21-2803_Order-Evaluation for Competency to Proceed (Rule 20.01)_2021-12-28_20251126184326.pdf")</f>
        <v>MCRO_27-CR-21-2803_Order-Evaluation for Competency to Proceed (Rule 20.01)_2021-12-28_20251126184326.pdf</v>
      </c>
      <c r="H1771" s="7" t="str">
        <f aca="false">HYPERLINK("https://mncourtfraud.com/file/1c58899aae0261f6b32a53e5738c490df96f42fc8177a49439b93e54e921890b.png","1c58899aae0261f6b32a53e5738c490df96f42fc8177a49439b93e54e921890b")</f>
        <v>1c58899aae0261f6b32a53e5738c490df96f42fc8177a49439b93e54e921890b</v>
      </c>
      <c r="I1771" s="1" t="s">
        <v>3406</v>
      </c>
      <c r="L1771" s="2" t="s">
        <v>3412</v>
      </c>
      <c r="M1771" s="2" t="n">
        <v>130990</v>
      </c>
      <c r="S1771" s="2" t="n">
        <v>2550</v>
      </c>
      <c r="T1771" s="2" t="n">
        <v>3300</v>
      </c>
    </row>
    <row r="1772" customFormat="false" ht="18.7" hidden="false" customHeight="true" outlineLevel="0" collapsed="false">
      <c r="A1772" s="1" t="n">
        <v>1771</v>
      </c>
      <c r="B1772" s="7" t="str">
        <f aca="false">HYPERLINK("https://mncourtfraud.com/file/27-CR-21-2803.pdf","27-CR-21-2803")</f>
        <v>27-CR-21-2803</v>
      </c>
      <c r="C1772" s="1" t="n">
        <v>1</v>
      </c>
      <c r="D1772" s="2" t="s">
        <v>12</v>
      </c>
      <c r="E1772" s="8" t="n">
        <v>44558</v>
      </c>
      <c r="F1772" s="2" t="s">
        <v>15</v>
      </c>
      <c r="G1772" s="7" t="str">
        <f aca="false">HYPERLINK("https://mncourtfraud.com/file/MCRO_27-CR-21-2803_Order-Evaluation for Competency to Proceed (Rule 20.01)_2021-12-28_20251126184326.pdf","MCRO_27-CR-21-2803_Order-Evaluation for Competency to Proceed (Rule 20.01)_2021-12-28_20251126184326.pdf")</f>
        <v>MCRO_27-CR-21-2803_Order-Evaluation for Competency to Proceed (Rule 20.01)_2021-12-28_20251126184326.pdf</v>
      </c>
      <c r="H1772" s="7" t="str">
        <f aca="false">HYPERLINK("https://mncourtfraud.com/file/339cfa0bbd814a4b1264db53c3cbf8a5878e3ba3a7b9a3cb68bbed92f76ef3ae.png","339cfa0bbd814a4b1264db53c3cbf8a5878e3ba3a7b9a3cb68bbed92f76ef3ae")</f>
        <v>339cfa0bbd814a4b1264db53c3cbf8a5878e3ba3a7b9a3cb68bbed92f76ef3ae</v>
      </c>
      <c r="I1772" s="1" t="s">
        <v>3406</v>
      </c>
      <c r="L1772" s="2" t="s">
        <v>3412</v>
      </c>
      <c r="M1772" s="2" t="n">
        <v>99213</v>
      </c>
      <c r="S1772" s="2" t="n">
        <v>2550</v>
      </c>
      <c r="T1772" s="2" t="n">
        <v>3300</v>
      </c>
    </row>
    <row r="1773" customFormat="false" ht="18.7" hidden="false" customHeight="true" outlineLevel="0" collapsed="false">
      <c r="A1773" s="1" t="n">
        <v>1772</v>
      </c>
      <c r="B1773" s="7" t="str">
        <f aca="false">HYPERLINK("https://mncourtfraud.com/file/27-CR-21-2803.pdf","27-CR-21-2803")</f>
        <v>27-CR-21-2803</v>
      </c>
      <c r="C1773" s="1" t="n">
        <v>1</v>
      </c>
      <c r="D1773" s="2" t="s">
        <v>12</v>
      </c>
      <c r="E1773" s="8" t="n">
        <v>44558</v>
      </c>
      <c r="F1773" s="2" t="s">
        <v>15</v>
      </c>
      <c r="G1773" s="7" t="str">
        <f aca="false">HYPERLINK("https://mncourtfraud.com/file/MCRO_27-CR-21-2803_Order-Evaluation for Competency to Proceed (Rule 20.01)_2021-12-28_20251126184326.pdf","MCRO_27-CR-21-2803_Order-Evaluation for Competency to Proceed (Rule 20.01)_2021-12-28_20251126184326.pdf")</f>
        <v>MCRO_27-CR-21-2803_Order-Evaluation for Competency to Proceed (Rule 20.01)_2021-12-28_20251126184326.pdf</v>
      </c>
      <c r="H1773" s="7" t="str">
        <f aca="false">HYPERLINK("https://mncourtfraud.com/file/cd7dcd9e6b153547d48776a77fc87da4dfff571fc038b55212a4a870b2d233f4.ttf","cd7dcd9e6b153547d48776a77fc87da4dfff571fc038b55212a4a870b2d233f4")</f>
        <v>cd7dcd9e6b153547d48776a77fc87da4dfff571fc038b55212a4a870b2d233f4</v>
      </c>
      <c r="I1773" s="1" t="s">
        <v>3413</v>
      </c>
      <c r="L1773" s="2" t="s">
        <v>3415</v>
      </c>
      <c r="M1773" s="2" t="n">
        <v>333576</v>
      </c>
    </row>
    <row r="1774" customFormat="false" ht="18.7" hidden="false" customHeight="true" outlineLevel="0" collapsed="false">
      <c r="A1774" s="1" t="n">
        <v>1773</v>
      </c>
      <c r="B1774" s="7" t="str">
        <f aca="false">HYPERLINK("https://mncourtfraud.com/file/27-CR-21-2803.pdf","27-CR-21-2803")</f>
        <v>27-CR-21-2803</v>
      </c>
      <c r="C1774" s="1" t="n">
        <v>1</v>
      </c>
      <c r="D1774" s="2" t="s">
        <v>12</v>
      </c>
      <c r="E1774" s="8" t="n">
        <v>44558</v>
      </c>
      <c r="F1774" s="2" t="s">
        <v>15</v>
      </c>
      <c r="G1774" s="7" t="str">
        <f aca="false">HYPERLINK("https://mncourtfraud.com/file/MCRO_27-CR-21-2803_Order-Evaluation for Competency to Proceed (Rule 20.01)_2021-12-28_20251126184326.pdf","MCRO_27-CR-21-2803_Order-Evaluation for Competency to Proceed (Rule 20.01)_2021-12-28_20251126184326.pdf")</f>
        <v>MCRO_27-CR-21-2803_Order-Evaluation for Competency to Proceed (Rule 20.01)_2021-12-28_20251126184326.pdf</v>
      </c>
      <c r="H1774" s="7" t="str">
        <f aca="false">HYPERLINK("https://mncourtfraud.com/file/e854e1812d0aa745a409ebb62402fcd3286726d38cb16df25e50c14314009756.png","e854e1812d0aa745a409ebb62402fcd3286726d38cb16df25e50c14314009756")</f>
        <v>e854e1812d0aa745a409ebb62402fcd3286726d38cb16df25e50c14314009756</v>
      </c>
      <c r="I1774" s="1" t="s">
        <v>3406</v>
      </c>
      <c r="L1774" s="2" t="s">
        <v>3412</v>
      </c>
      <c r="M1774" s="2" t="n">
        <v>157448</v>
      </c>
      <c r="S1774" s="2" t="n">
        <v>2550</v>
      </c>
      <c r="T1774" s="2" t="n">
        <v>3300</v>
      </c>
    </row>
    <row r="1775" customFormat="false" ht="18.7" hidden="false" customHeight="true" outlineLevel="0" collapsed="false">
      <c r="A1775" s="1" t="n">
        <v>1774</v>
      </c>
      <c r="B1775" s="7" t="str">
        <f aca="false">HYPERLINK("https://mncourtfraud.com/file/27-CR-21-2803.pdf","27-CR-21-2803")</f>
        <v>27-CR-21-2803</v>
      </c>
      <c r="C1775" s="1" t="n">
        <v>1</v>
      </c>
      <c r="D1775" s="2" t="s">
        <v>12</v>
      </c>
      <c r="E1775" s="8" t="n">
        <v>44593</v>
      </c>
      <c r="F1775" s="2" t="s">
        <v>19</v>
      </c>
      <c r="G1775" s="7" t="str">
        <f aca="false">HYPERLINK("https://mncourtfraud.com/file/MCRO_27-CR-21-2803_Findings and Order_2022-02-01_20251126184218.pdf","MCRO_27-CR-21-2803_Findings and Order_2022-02-01_20251126184218.pdf")</f>
        <v>MCRO_27-CR-21-2803_Findings and Order_2022-02-01_20251126184218.pdf</v>
      </c>
      <c r="H1775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1775" s="1" t="s">
        <v>3413</v>
      </c>
      <c r="J1775" s="2" t="s">
        <v>3426</v>
      </c>
      <c r="K1775" s="2" t="s">
        <v>3426</v>
      </c>
      <c r="L1775" s="2" t="s">
        <v>3415</v>
      </c>
      <c r="M1775" s="2" t="n">
        <v>74997</v>
      </c>
      <c r="N1775" s="2" t="s">
        <v>3427</v>
      </c>
    </row>
    <row r="1776" customFormat="false" ht="18.7" hidden="false" customHeight="true" outlineLevel="0" collapsed="false">
      <c r="A1776" s="1" t="n">
        <v>1775</v>
      </c>
      <c r="B1776" s="7" t="str">
        <f aca="false">HYPERLINK("https://mncourtfraud.com/file/27-CR-21-2803.pdf","27-CR-21-2803")</f>
        <v>27-CR-21-2803</v>
      </c>
      <c r="C1776" s="1" t="n">
        <v>1</v>
      </c>
      <c r="D1776" s="2" t="s">
        <v>12</v>
      </c>
      <c r="E1776" s="8" t="n">
        <v>44593</v>
      </c>
      <c r="F1776" s="2" t="s">
        <v>19</v>
      </c>
      <c r="G1776" s="7" t="str">
        <f aca="false">HYPERLINK("https://mncourtfraud.com/file/MCRO_27-CR-21-2803_Findings and Order_2022-02-01_20251126184218.pdf","MCRO_27-CR-21-2803_Findings and Order_2022-02-01_20251126184218.pdf")</f>
        <v>MCRO_27-CR-21-2803_Findings and Order_2022-02-01_20251126184218.pdf</v>
      </c>
      <c r="H1776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1776" s="1" t="s">
        <v>3428</v>
      </c>
      <c r="J1776" s="2" t="s">
        <v>3429</v>
      </c>
      <c r="K1776" s="2" t="s">
        <v>3429</v>
      </c>
      <c r="L1776" s="2" t="s">
        <v>3415</v>
      </c>
      <c r="M1776" s="2" t="n">
        <v>86093</v>
      </c>
    </row>
    <row r="1777" customFormat="false" ht="18.7" hidden="false" customHeight="true" outlineLevel="0" collapsed="false">
      <c r="A1777" s="1" t="n">
        <v>1776</v>
      </c>
      <c r="B1777" s="7" t="str">
        <f aca="false">HYPERLINK("https://mncourtfraud.com/file/27-CR-21-2803.pdf","27-CR-21-2803")</f>
        <v>27-CR-21-2803</v>
      </c>
      <c r="C1777" s="1" t="n">
        <v>1</v>
      </c>
      <c r="D1777" s="2" t="s">
        <v>12</v>
      </c>
      <c r="E1777" s="8" t="n">
        <v>44593</v>
      </c>
      <c r="F1777" s="2" t="s">
        <v>19</v>
      </c>
      <c r="G1777" s="7" t="str">
        <f aca="false">HYPERLINK("https://mncourtfraud.com/file/MCRO_27-CR-21-2803_Findings and Order_2022-02-01_20251126184218.pdf","MCRO_27-CR-21-2803_Findings and Order_2022-02-01_20251126184218.pdf")</f>
        <v>MCRO_27-CR-21-2803_Findings and Order_2022-02-01_20251126184218.pdf</v>
      </c>
      <c r="H1777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1777" s="1" t="s">
        <v>3413</v>
      </c>
      <c r="J1777" s="2" t="s">
        <v>3414</v>
      </c>
      <c r="K1777" s="2" t="s">
        <v>3414</v>
      </c>
      <c r="L1777" s="2" t="s">
        <v>3415</v>
      </c>
      <c r="M1777" s="2" t="n">
        <v>42332</v>
      </c>
    </row>
    <row r="1778" customFormat="false" ht="18.7" hidden="false" customHeight="true" outlineLevel="0" collapsed="false">
      <c r="A1778" s="1" t="n">
        <v>1777</v>
      </c>
      <c r="B1778" s="7" t="str">
        <f aca="false">HYPERLINK("https://mncourtfraud.com/file/27-CR-21-2803.pdf","27-CR-21-2803")</f>
        <v>27-CR-21-2803</v>
      </c>
      <c r="C1778" s="1" t="n">
        <v>1</v>
      </c>
      <c r="D1778" s="2" t="s">
        <v>12</v>
      </c>
      <c r="E1778" s="8" t="n">
        <v>44593</v>
      </c>
      <c r="F1778" s="2" t="s">
        <v>19</v>
      </c>
      <c r="G1778" s="7" t="str">
        <f aca="false">HYPERLINK("https://mncourtfraud.com/file/MCRO_27-CR-21-2803_Findings and Order_2022-02-01_20251126184218.pdf","MCRO_27-CR-21-2803_Findings and Order_2022-02-01_20251126184218.pdf")</f>
        <v>MCRO_27-CR-21-2803_Findings and Order_2022-02-01_20251126184218.pdf</v>
      </c>
      <c r="H1778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1778" s="1" t="s">
        <v>3413</v>
      </c>
      <c r="J1778" s="2" t="s">
        <v>3414</v>
      </c>
      <c r="K1778" s="2" t="s">
        <v>3414</v>
      </c>
      <c r="L1778" s="2" t="s">
        <v>3415</v>
      </c>
      <c r="M1778" s="2" t="n">
        <v>42332</v>
      </c>
    </row>
    <row r="1779" customFormat="false" ht="18.7" hidden="false" customHeight="true" outlineLevel="0" collapsed="false">
      <c r="A1779" s="1" t="n">
        <v>1778</v>
      </c>
      <c r="B1779" s="7" t="str">
        <f aca="false">HYPERLINK("https://mncourtfraud.com/file/27-CR-21-2803.pdf","27-CR-21-2803")</f>
        <v>27-CR-21-2803</v>
      </c>
      <c r="C1779" s="1" t="n">
        <v>1</v>
      </c>
      <c r="D1779" s="2" t="s">
        <v>12</v>
      </c>
      <c r="E1779" s="8" t="n">
        <v>44593</v>
      </c>
      <c r="F1779" s="2" t="s">
        <v>19</v>
      </c>
      <c r="G1779" s="7" t="str">
        <f aca="false">HYPERLINK("https://mncourtfraud.com/file/MCRO_27-CR-21-2803_Findings and Order_2022-02-01_20251126184218.pdf","MCRO_27-CR-21-2803_Findings and Order_2022-02-01_20251126184218.pdf")</f>
        <v>MCRO_27-CR-21-2803_Findings and Order_2022-02-01_20251126184218.pdf</v>
      </c>
      <c r="H1779" s="7" t="str">
        <f aca="false">HYPERLINK("https://mncourtfraud.com/file/d1e06f7a12c8d4ae1de62861dbfeadf4f6b52b1cfd6801e548bc1d08782c1451.ttf","d1e06f7a12c8d4ae1de62861dbfeadf4f6b52b1cfd6801e548bc1d08782c1451")</f>
        <v>d1e06f7a12c8d4ae1de62861dbfeadf4f6b52b1cfd6801e548bc1d08782c1451</v>
      </c>
      <c r="I1779" s="1" t="s">
        <v>3413</v>
      </c>
      <c r="J1779" s="2" t="s">
        <v>3414</v>
      </c>
      <c r="K1779" s="2" t="s">
        <v>3416</v>
      </c>
      <c r="L1779" s="2" t="s">
        <v>3415</v>
      </c>
      <c r="M1779" s="2" t="n">
        <v>28584</v>
      </c>
    </row>
    <row r="1780" customFormat="false" ht="18.7" hidden="false" customHeight="true" outlineLevel="0" collapsed="false">
      <c r="A1780" s="1" t="n">
        <v>1779</v>
      </c>
      <c r="B1780" s="7" t="str">
        <f aca="false">HYPERLINK("https://mncourtfraud.com/file/27-CR-21-2803.pdf","27-CR-21-2803")</f>
        <v>27-CR-21-2803</v>
      </c>
      <c r="C1780" s="1" t="n">
        <v>1</v>
      </c>
      <c r="D1780" s="2" t="s">
        <v>12</v>
      </c>
      <c r="E1780" s="8" t="n">
        <v>44593</v>
      </c>
      <c r="F1780" s="2" t="s">
        <v>19</v>
      </c>
      <c r="G1780" s="7" t="str">
        <f aca="false">HYPERLINK("https://mncourtfraud.com/file/MCRO_27-CR-21-2803_Findings and Order_2022-02-01_20251126184218.pdf","MCRO_27-CR-21-2803_Findings and Order_2022-02-01_20251126184218.pdf")</f>
        <v>MCRO_27-CR-21-2803_Findings and Order_2022-02-01_20251126184218.pdf</v>
      </c>
      <c r="H1780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1780" s="1" t="s">
        <v>3406</v>
      </c>
      <c r="K1780" s="2" t="s">
        <v>3430</v>
      </c>
      <c r="L1780" s="2" t="s">
        <v>3408</v>
      </c>
      <c r="M1780" s="2" t="n">
        <v>28069</v>
      </c>
      <c r="O1780" s="2" t="s">
        <v>3409</v>
      </c>
      <c r="P1780" s="2" t="s">
        <v>3410</v>
      </c>
      <c r="S1780" s="2" t="n">
        <v>448</v>
      </c>
      <c r="T1780" s="2" t="n">
        <v>128</v>
      </c>
    </row>
    <row r="1781" customFormat="false" ht="18.7" hidden="false" customHeight="true" outlineLevel="0" collapsed="false">
      <c r="A1781" s="1" t="n">
        <v>1780</v>
      </c>
      <c r="B1781" s="7" t="str">
        <f aca="false">HYPERLINK("https://mncourtfraud.com/file/27-CR-21-2803.pdf","27-CR-21-2803")</f>
        <v>27-CR-21-2803</v>
      </c>
      <c r="C1781" s="1" t="n">
        <v>1</v>
      </c>
      <c r="D1781" s="2" t="s">
        <v>12</v>
      </c>
      <c r="E1781" s="8" t="n">
        <v>44692</v>
      </c>
      <c r="F1781" s="2" t="s">
        <v>15</v>
      </c>
      <c r="G1781" s="7" t="str">
        <f aca="false">HYPERLINK("https://mncourtfraud.com/file/MCRO_27-CR-21-2803_Order-Evaluation for Competency to Proceed (Rule 20.01)_2022-05-11_20251126184334.pdf","MCRO_27-CR-21-2803_Order-Evaluation for Competency to Proceed (Rule 20.01)_2022-05-11_20251126184334.pdf")</f>
        <v>MCRO_27-CR-21-2803_Order-Evaluation for Competency to Proceed (Rule 20.01)_2022-05-11_20251126184334.pdf</v>
      </c>
      <c r="H1781" s="7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1781" s="1" t="s">
        <v>3406</v>
      </c>
      <c r="K1781" s="2" t="s">
        <v>3432</v>
      </c>
      <c r="L1781" s="2" t="s">
        <v>3408</v>
      </c>
      <c r="M1781" s="2" t="n">
        <v>21121</v>
      </c>
      <c r="O1781" s="2" t="s">
        <v>3409</v>
      </c>
      <c r="P1781" s="2" t="s">
        <v>3410</v>
      </c>
      <c r="S1781" s="2" t="n">
        <v>695</v>
      </c>
      <c r="T1781" s="2" t="n">
        <v>233</v>
      </c>
    </row>
    <row r="1782" customFormat="false" ht="18.7" hidden="false" customHeight="true" outlineLevel="0" collapsed="false">
      <c r="A1782" s="1" t="n">
        <v>1781</v>
      </c>
      <c r="B1782" s="7" t="str">
        <f aca="false">HYPERLINK("https://mncourtfraud.com/file/27-CR-21-2803.pdf","27-CR-21-2803")</f>
        <v>27-CR-21-2803</v>
      </c>
      <c r="C1782" s="1" t="n">
        <v>1</v>
      </c>
      <c r="D1782" s="2" t="s">
        <v>12</v>
      </c>
      <c r="E1782" s="8" t="n">
        <v>44692</v>
      </c>
      <c r="F1782" s="2" t="s">
        <v>15</v>
      </c>
      <c r="G1782" s="7" t="str">
        <f aca="false">HYPERLINK("https://mncourtfraud.com/file/MCRO_27-CR-21-2803_Order-Evaluation for Competency to Proceed (Rule 20.01)_2022-05-11_20251126184334.pdf","MCRO_27-CR-21-2803_Order-Evaluation for Competency to Proceed (Rule 20.01)_2022-05-11_20251126184334.pdf")</f>
        <v>MCRO_27-CR-21-2803_Order-Evaluation for Competency to Proceed (Rule 20.01)_2022-05-11_20251126184334.pdf</v>
      </c>
      <c r="H1782" s="7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1782" s="1" t="s">
        <v>3406</v>
      </c>
      <c r="K1782" s="2" t="s">
        <v>3433</v>
      </c>
      <c r="L1782" s="2" t="s">
        <v>3408</v>
      </c>
      <c r="M1782" s="2" t="n">
        <v>53838</v>
      </c>
      <c r="O1782" s="2" t="s">
        <v>3409</v>
      </c>
      <c r="P1782" s="2" t="s">
        <v>3410</v>
      </c>
      <c r="S1782" s="2" t="n">
        <v>695</v>
      </c>
      <c r="T1782" s="2" t="n">
        <v>233</v>
      </c>
    </row>
    <row r="1783" customFormat="false" ht="18.7" hidden="false" customHeight="true" outlineLevel="0" collapsed="false">
      <c r="A1783" s="1" t="n">
        <v>1782</v>
      </c>
      <c r="B1783" s="7" t="str">
        <f aca="false">HYPERLINK("https://mncourtfraud.com/file/27-CR-21-2803.pdf","27-CR-21-2803")</f>
        <v>27-CR-21-2803</v>
      </c>
      <c r="C1783" s="1" t="n">
        <v>1</v>
      </c>
      <c r="D1783" s="2" t="s">
        <v>12</v>
      </c>
      <c r="E1783" s="8" t="n">
        <v>44692</v>
      </c>
      <c r="F1783" s="2" t="s">
        <v>15</v>
      </c>
      <c r="G1783" s="7" t="str">
        <f aca="false">HYPERLINK("https://mncourtfraud.com/file/MCRO_27-CR-21-2803_Order-Evaluation for Competency to Proceed (Rule 20.01)_2022-05-11_20251126184334.pdf","MCRO_27-CR-21-2803_Order-Evaluation for Competency to Proceed (Rule 20.01)_2022-05-11_20251126184334.pdf")</f>
        <v>MCRO_27-CR-21-2803_Order-Evaluation for Competency to Proceed (Rule 20.01)_2022-05-11_20251126184334.pdf</v>
      </c>
      <c r="H1783" s="7" t="str">
        <f aca="false">HYPERLINK("https://mncourtfraud.com/file/322fe0e9595a4df4693edf307e5f8a42a470721d59f006a7b0e86def92125a58.ttf","322fe0e9595a4df4693edf307e5f8a42a470721d59f006a7b0e86def92125a58")</f>
        <v>322fe0e9595a4df4693edf307e5f8a42a470721d59f006a7b0e86def92125a58</v>
      </c>
      <c r="I1783" s="1" t="s">
        <v>3413</v>
      </c>
      <c r="J1783" s="2" t="s">
        <v>3434</v>
      </c>
      <c r="K1783" s="2" t="s">
        <v>3434</v>
      </c>
      <c r="L1783" s="2" t="s">
        <v>3415</v>
      </c>
      <c r="M1783" s="2" t="n">
        <v>46736</v>
      </c>
      <c r="N1783" s="2" t="s">
        <v>3435</v>
      </c>
    </row>
    <row r="1784" customFormat="false" ht="18.7" hidden="false" customHeight="true" outlineLevel="0" collapsed="false">
      <c r="A1784" s="1" t="n">
        <v>1783</v>
      </c>
      <c r="B1784" s="7" t="str">
        <f aca="false">HYPERLINK("https://mncourtfraud.com/file/27-CR-21-2803.pdf","27-CR-21-2803")</f>
        <v>27-CR-21-2803</v>
      </c>
      <c r="C1784" s="1" t="n">
        <v>1</v>
      </c>
      <c r="D1784" s="2" t="s">
        <v>12</v>
      </c>
      <c r="E1784" s="8" t="n">
        <v>44692</v>
      </c>
      <c r="F1784" s="2" t="s">
        <v>15</v>
      </c>
      <c r="G1784" s="7" t="str">
        <f aca="false">HYPERLINK("https://mncourtfraud.com/file/MCRO_27-CR-21-2803_Order-Evaluation for Competency to Proceed (Rule 20.01)_2022-05-11_20251126184334.pdf","MCRO_27-CR-21-2803_Order-Evaluation for Competency to Proceed (Rule 20.01)_2022-05-11_20251126184334.pdf")</f>
        <v>MCRO_27-CR-21-2803_Order-Evaluation for Competency to Proceed (Rule 20.01)_2022-05-11_20251126184334.pdf</v>
      </c>
      <c r="H1784" s="7" t="str">
        <f aca="false">HYPERLINK("https://mncourtfraud.com/file/32ebada21768d6238e03c647b5e5acdf6ce656f0735d59c3fb698ce40418a709.ttf","32ebada21768d6238e03c647b5e5acdf6ce656f0735d59c3fb698ce40418a709")</f>
        <v>32ebada21768d6238e03c647b5e5acdf6ce656f0735d59c3fb698ce40418a709</v>
      </c>
      <c r="I1784" s="1" t="s">
        <v>3413</v>
      </c>
      <c r="J1784" s="2" t="s">
        <v>3436</v>
      </c>
      <c r="K1784" s="2" t="s">
        <v>3436</v>
      </c>
      <c r="L1784" s="2" t="s">
        <v>3415</v>
      </c>
      <c r="M1784" s="2" t="n">
        <v>65744</v>
      </c>
      <c r="N1784" s="2" t="s">
        <v>3437</v>
      </c>
    </row>
    <row r="1785" customFormat="false" ht="18.7" hidden="false" customHeight="true" outlineLevel="0" collapsed="false">
      <c r="A1785" s="1" t="n">
        <v>1784</v>
      </c>
      <c r="B1785" s="7" t="str">
        <f aca="false">HYPERLINK("https://mncourtfraud.com/file/27-CR-21-2803.pdf","27-CR-21-2803")</f>
        <v>27-CR-21-2803</v>
      </c>
      <c r="C1785" s="1" t="n">
        <v>1</v>
      </c>
      <c r="D1785" s="2" t="s">
        <v>12</v>
      </c>
      <c r="E1785" s="8" t="n">
        <v>44692</v>
      </c>
      <c r="F1785" s="2" t="s">
        <v>15</v>
      </c>
      <c r="G1785" s="7" t="str">
        <f aca="false">HYPERLINK("https://mncourtfraud.com/file/MCRO_27-CR-21-2803_Order-Evaluation for Competency to Proceed (Rule 20.01)_2022-05-11_20251126184334.pdf","MCRO_27-CR-21-2803_Order-Evaluation for Competency to Proceed (Rule 20.01)_2022-05-11_20251126184334.pdf")</f>
        <v>MCRO_27-CR-21-2803_Order-Evaluation for Competency to Proceed (Rule 20.01)_2022-05-11_20251126184334.pdf</v>
      </c>
      <c r="H1785" s="7" t="str">
        <f aca="false">HYPERLINK("https://mncourtfraud.com/file/694dcb82a5515430b7fddfbf16881b942820c8c41fee3eea3505a20c7d4e41e6.ttf","694dcb82a5515430b7fddfbf16881b942820c8c41fee3eea3505a20c7d4e41e6")</f>
        <v>694dcb82a5515430b7fddfbf16881b942820c8c41fee3eea3505a20c7d4e41e6</v>
      </c>
      <c r="I1785" s="1" t="s">
        <v>3413</v>
      </c>
      <c r="J1785" s="2" t="s">
        <v>3438</v>
      </c>
      <c r="K1785" s="2" t="s">
        <v>3438</v>
      </c>
      <c r="L1785" s="2" t="s">
        <v>3415</v>
      </c>
      <c r="M1785" s="2" t="n">
        <v>72828</v>
      </c>
      <c r="N1785" s="2" t="s">
        <v>3439</v>
      </c>
    </row>
    <row r="1786" customFormat="false" ht="18.7" hidden="false" customHeight="true" outlineLevel="0" collapsed="false">
      <c r="A1786" s="1" t="n">
        <v>1785</v>
      </c>
      <c r="B1786" s="7" t="str">
        <f aca="false">HYPERLINK("https://mncourtfraud.com/file/27-CR-21-2803.pdf","27-CR-21-2803")</f>
        <v>27-CR-21-2803</v>
      </c>
      <c r="C1786" s="1" t="n">
        <v>1</v>
      </c>
      <c r="D1786" s="2" t="s">
        <v>12</v>
      </c>
      <c r="E1786" s="8" t="n">
        <v>44692</v>
      </c>
      <c r="F1786" s="2" t="s">
        <v>15</v>
      </c>
      <c r="G1786" s="7" t="str">
        <f aca="false">HYPERLINK("https://mncourtfraud.com/file/MCRO_27-CR-21-2803_Order-Evaluation for Competency to Proceed (Rule 20.01)_2022-05-11_20251126184334.pdf","MCRO_27-CR-21-2803_Order-Evaluation for Competency to Proceed (Rule 20.01)_2022-05-11_20251126184334.pdf")</f>
        <v>MCRO_27-CR-21-2803_Order-Evaluation for Competency to Proceed (Rule 20.01)_2022-05-11_20251126184334.pdf</v>
      </c>
      <c r="H1786" s="7" t="str">
        <f aca="false">HYPERLINK("https://mncourtfraud.com/file/87764021d6d62f7c396208d3f1fa8113e5ad5f90bd03c35e7200536389af4e6a.ttf","87764021d6d62f7c396208d3f1fa8113e5ad5f90bd03c35e7200536389af4e6a")</f>
        <v>87764021d6d62f7c396208d3f1fa8113e5ad5f90bd03c35e7200536389af4e6a</v>
      </c>
      <c r="I1786" s="1" t="s">
        <v>3413</v>
      </c>
      <c r="J1786" s="2" t="s">
        <v>3440</v>
      </c>
      <c r="K1786" s="2" t="s">
        <v>3440</v>
      </c>
      <c r="L1786" s="2" t="s">
        <v>3415</v>
      </c>
      <c r="M1786" s="2" t="n">
        <v>6280</v>
      </c>
      <c r="N1786" s="2" t="s">
        <v>3441</v>
      </c>
    </row>
    <row r="1787" customFormat="false" ht="18.7" hidden="false" customHeight="true" outlineLevel="0" collapsed="false">
      <c r="A1787" s="1" t="n">
        <v>1786</v>
      </c>
      <c r="B1787" s="7" t="str">
        <f aca="false">HYPERLINK("https://mncourtfraud.com/file/27-CR-21-2803.pdf","27-CR-21-2803")</f>
        <v>27-CR-21-2803</v>
      </c>
      <c r="C1787" s="1" t="n">
        <v>1</v>
      </c>
      <c r="D1787" s="2" t="s">
        <v>12</v>
      </c>
      <c r="E1787" s="8" t="n">
        <v>44692</v>
      </c>
      <c r="F1787" s="2" t="s">
        <v>15</v>
      </c>
      <c r="G1787" s="7" t="str">
        <f aca="false">HYPERLINK("https://mncourtfraud.com/file/MCRO_27-CR-21-2803_Order-Evaluation for Competency to Proceed (Rule 20.01)_2022-05-11_20251126184334.pdf","MCRO_27-CR-21-2803_Order-Evaluation for Competency to Proceed (Rule 20.01)_2022-05-11_20251126184334.pdf")</f>
        <v>MCRO_27-CR-21-2803_Order-Evaluation for Competency to Proceed (Rule 20.01)_2022-05-11_20251126184334.pdf</v>
      </c>
      <c r="H1787" s="7" t="str">
        <f aca="false">HYPERLINK("https://mncourtfraud.com/file/a1ad71f465be26cf6bb430c59ae6133d3c381ada339ba3c6b2eadf32a9b4096b.ttf","a1ad71f465be26cf6bb430c59ae6133d3c381ada339ba3c6b2eadf32a9b4096b")</f>
        <v>a1ad71f465be26cf6bb430c59ae6133d3c381ada339ba3c6b2eadf32a9b4096b</v>
      </c>
      <c r="I1787" s="1" t="s">
        <v>3413</v>
      </c>
      <c r="J1787" s="2" t="s">
        <v>3442</v>
      </c>
      <c r="K1787" s="2" t="s">
        <v>3442</v>
      </c>
      <c r="L1787" s="2" t="s">
        <v>3415</v>
      </c>
      <c r="M1787" s="2" t="n">
        <v>5988</v>
      </c>
      <c r="N1787" s="2" t="s">
        <v>3443</v>
      </c>
    </row>
    <row r="1788" customFormat="false" ht="18.7" hidden="false" customHeight="true" outlineLevel="0" collapsed="false">
      <c r="A1788" s="1" t="n">
        <v>1787</v>
      </c>
      <c r="B1788" s="7" t="str">
        <f aca="false">HYPERLINK("https://mncourtfraud.com/file/27-CR-21-2803.pdf","27-CR-21-2803")</f>
        <v>27-CR-21-2803</v>
      </c>
      <c r="C1788" s="1" t="n">
        <v>1</v>
      </c>
      <c r="D1788" s="2" t="s">
        <v>12</v>
      </c>
      <c r="E1788" s="8" t="n">
        <v>44692</v>
      </c>
      <c r="F1788" s="2" t="s">
        <v>15</v>
      </c>
      <c r="G1788" s="7" t="str">
        <f aca="false">HYPERLINK("https://mncourtfraud.com/file/MCRO_27-CR-21-2803_Order-Evaluation for Competency to Proceed (Rule 20.01)_2022-05-11_20251126184334.pdf","MCRO_27-CR-21-2803_Order-Evaluation for Competency to Proceed (Rule 20.01)_2022-05-11_20251126184334.pdf")</f>
        <v>MCRO_27-CR-21-2803_Order-Evaluation for Competency to Proceed (Rule 20.01)_2022-05-11_20251126184334.pdf</v>
      </c>
      <c r="H1788" s="7" t="str">
        <f aca="false">HYPERLINK("https://mncourtfraud.com/file/e1befe23dc5d05be4c8e965e6fc9e74e95400600e0da0c86dd389645355f3ad1.ttf","e1befe23dc5d05be4c8e965e6fc9e74e95400600e0da0c86dd389645355f3ad1")</f>
        <v>e1befe23dc5d05be4c8e965e6fc9e74e95400600e0da0c86dd389645355f3ad1</v>
      </c>
      <c r="I1788" s="1" t="s">
        <v>3413</v>
      </c>
      <c r="J1788" s="2" t="s">
        <v>3444</v>
      </c>
      <c r="K1788" s="2" t="s">
        <v>3444</v>
      </c>
      <c r="L1788" s="2" t="s">
        <v>3415</v>
      </c>
      <c r="M1788" s="2" t="n">
        <v>94308</v>
      </c>
      <c r="N1788" s="2" t="s">
        <v>3445</v>
      </c>
    </row>
    <row r="1789" customFormat="false" ht="18.7" hidden="false" customHeight="true" outlineLevel="0" collapsed="false">
      <c r="A1789" s="1" t="n">
        <v>1788</v>
      </c>
      <c r="B1789" s="7" t="str">
        <f aca="false">HYPERLINK("https://mncourtfraud.com/file/27-CR-21-2803.pdf","27-CR-21-2803")</f>
        <v>27-CR-21-2803</v>
      </c>
      <c r="C1789" s="1" t="n">
        <v>1</v>
      </c>
      <c r="D1789" s="2" t="s">
        <v>12</v>
      </c>
      <c r="E1789" s="8" t="n">
        <v>44895</v>
      </c>
      <c r="F1789" s="2" t="s">
        <v>15</v>
      </c>
      <c r="G1789" s="7" t="str">
        <f aca="false">HYPERLINK("https://mncourtfraud.com/file/MCRO_27-CR-21-2803_Order-Evaluation for Competency to Proceed (Rule 20.01)_2022-11-30_20251126184340.pdf","MCRO_27-CR-21-2803_Order-Evaluation for Competency to Proceed (Rule 20.01)_2022-11-30_20251126184340.pdf")</f>
        <v>MCRO_27-CR-21-2803_Order-Evaluation for Competency to Proceed (Rule 20.01)_2022-11-30_20251126184340.pdf</v>
      </c>
      <c r="H1789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1789" s="1" t="s">
        <v>3413</v>
      </c>
      <c r="J1789" s="2" t="s">
        <v>3423</v>
      </c>
      <c r="K1789" s="2" t="s">
        <v>3423</v>
      </c>
      <c r="L1789" s="2" t="s">
        <v>3415</v>
      </c>
      <c r="M1789" s="2" t="n">
        <v>11088</v>
      </c>
    </row>
    <row r="1790" customFormat="false" ht="18.7" hidden="false" customHeight="true" outlineLevel="0" collapsed="false">
      <c r="A1790" s="1" t="n">
        <v>1789</v>
      </c>
      <c r="B1790" s="7" t="str">
        <f aca="false">HYPERLINK("https://mncourtfraud.com/file/27-CR-21-2803.pdf","27-CR-21-2803")</f>
        <v>27-CR-21-2803</v>
      </c>
      <c r="C1790" s="1" t="n">
        <v>1</v>
      </c>
      <c r="D1790" s="2" t="s">
        <v>12</v>
      </c>
      <c r="E1790" s="8" t="n">
        <v>44895</v>
      </c>
      <c r="F1790" s="2" t="s">
        <v>15</v>
      </c>
      <c r="G1790" s="7" t="str">
        <f aca="false">HYPERLINK("https://mncourtfraud.com/file/MCRO_27-CR-21-2803_Order-Evaluation for Competency to Proceed (Rule 20.01)_2022-11-30_20251126184340.pdf","MCRO_27-CR-21-2803_Order-Evaluation for Competency to Proceed (Rule 20.01)_2022-11-30_20251126184340.pdf")</f>
        <v>MCRO_27-CR-21-2803_Order-Evaluation for Competency to Proceed (Rule 20.01)_2022-11-30_20251126184340.pdf</v>
      </c>
      <c r="H1790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1790" s="1" t="s">
        <v>3413</v>
      </c>
      <c r="J1790" s="2" t="s">
        <v>3446</v>
      </c>
      <c r="K1790" s="2" t="s">
        <v>3446</v>
      </c>
      <c r="L1790" s="2" t="s">
        <v>3415</v>
      </c>
      <c r="M1790" s="2" t="n">
        <v>55072</v>
      </c>
      <c r="N1790" s="2" t="s">
        <v>3447</v>
      </c>
    </row>
    <row r="1791" customFormat="false" ht="18.7" hidden="false" customHeight="true" outlineLevel="0" collapsed="false">
      <c r="A1791" s="1" t="n">
        <v>1790</v>
      </c>
      <c r="B1791" s="7" t="str">
        <f aca="false">HYPERLINK("https://mncourtfraud.com/file/27-CR-21-2803.pdf","27-CR-21-2803")</f>
        <v>27-CR-21-2803</v>
      </c>
      <c r="C1791" s="1" t="n">
        <v>1</v>
      </c>
      <c r="D1791" s="2" t="s">
        <v>12</v>
      </c>
      <c r="E1791" s="8" t="n">
        <v>44895</v>
      </c>
      <c r="F1791" s="2" t="s">
        <v>15</v>
      </c>
      <c r="G1791" s="7" t="str">
        <f aca="false">HYPERLINK("https://mncourtfraud.com/file/MCRO_27-CR-21-2803_Order-Evaluation for Competency to Proceed (Rule 20.01)_2022-11-30_20251126184340.pdf","MCRO_27-CR-21-2803_Order-Evaluation for Competency to Proceed (Rule 20.01)_2022-11-30_20251126184340.pdf")</f>
        <v>MCRO_27-CR-21-2803_Order-Evaluation for Competency to Proceed (Rule 20.01)_2022-11-30_20251126184340.pdf</v>
      </c>
      <c r="H1791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1791" s="1" t="s">
        <v>3413</v>
      </c>
      <c r="J1791" s="2" t="s">
        <v>3424</v>
      </c>
      <c r="K1791" s="2" t="s">
        <v>3424</v>
      </c>
      <c r="L1791" s="2" t="s">
        <v>3415</v>
      </c>
      <c r="M1791" s="2" t="n">
        <v>14252</v>
      </c>
    </row>
    <row r="1792" customFormat="false" ht="18.7" hidden="false" customHeight="true" outlineLevel="0" collapsed="false">
      <c r="A1792" s="1" t="n">
        <v>1791</v>
      </c>
      <c r="B1792" s="7" t="str">
        <f aca="false">HYPERLINK("https://mncourtfraud.com/file/27-CR-21-2803.pdf","27-CR-21-2803")</f>
        <v>27-CR-21-2803</v>
      </c>
      <c r="C1792" s="1" t="n">
        <v>1</v>
      </c>
      <c r="D1792" s="2" t="s">
        <v>12</v>
      </c>
      <c r="E1792" s="8" t="n">
        <v>44895</v>
      </c>
      <c r="F1792" s="2" t="s">
        <v>15</v>
      </c>
      <c r="G1792" s="7" t="str">
        <f aca="false">HYPERLINK("https://mncourtfraud.com/file/MCRO_27-CR-21-2803_Order-Evaluation for Competency to Proceed (Rule 20.01)_2022-11-30_20251126184340.pdf","MCRO_27-CR-21-2803_Order-Evaluation for Competency to Proceed (Rule 20.01)_2022-11-30_20251126184340.pdf")</f>
        <v>MCRO_27-CR-21-2803_Order-Evaluation for Competency to Proceed (Rule 20.01)_2022-11-30_20251126184340.pdf</v>
      </c>
      <c r="H1792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792" s="1" t="s">
        <v>3406</v>
      </c>
      <c r="K1792" s="2" t="s">
        <v>3420</v>
      </c>
      <c r="L1792" s="2" t="s">
        <v>3408</v>
      </c>
      <c r="M1792" s="2" t="n">
        <v>7306</v>
      </c>
      <c r="O1792" s="2" t="s">
        <v>3409</v>
      </c>
      <c r="P1792" s="2" t="s">
        <v>3410</v>
      </c>
      <c r="S1792" s="2" t="n">
        <v>319</v>
      </c>
      <c r="T1792" s="2" t="n">
        <v>105</v>
      </c>
    </row>
    <row r="1793" customFormat="false" ht="18.7" hidden="false" customHeight="true" outlineLevel="0" collapsed="false">
      <c r="A1793" s="1" t="n">
        <v>1792</v>
      </c>
      <c r="B1793" s="7" t="str">
        <f aca="false">HYPERLINK("https://mncourtfraud.com/file/27-CR-21-2803.pdf","27-CR-21-2803")</f>
        <v>27-CR-21-2803</v>
      </c>
      <c r="C1793" s="1" t="n">
        <v>1</v>
      </c>
      <c r="D1793" s="2" t="s">
        <v>12</v>
      </c>
      <c r="E1793" s="8" t="n">
        <v>44895</v>
      </c>
      <c r="F1793" s="2" t="s">
        <v>15</v>
      </c>
      <c r="G1793" s="7" t="str">
        <f aca="false">HYPERLINK("https://mncourtfraud.com/file/MCRO_27-CR-21-2803_Order-Evaluation for Competency to Proceed (Rule 20.01)_2022-11-30_20251126184340.pdf","MCRO_27-CR-21-2803_Order-Evaluation for Competency to Proceed (Rule 20.01)_2022-11-30_20251126184340.pdf")</f>
        <v>MCRO_27-CR-21-2803_Order-Evaluation for Competency to Proceed (Rule 20.01)_2022-11-30_20251126184340.pdf</v>
      </c>
      <c r="H1793" s="7" t="str">
        <f aca="false">HYPERLINK("https://mncourtfraud.com/file/677e52a3b8403ce87e338b0a2e31e6f8e5ddf03fb0ca7043a341135cf0255eaa.ttf","677e52a3b8403ce87e338b0a2e31e6f8e5ddf03fb0ca7043a341135cf0255eaa")</f>
        <v>677e52a3b8403ce87e338b0a2e31e6f8e5ddf03fb0ca7043a341135cf0255eaa</v>
      </c>
      <c r="I1793" s="1" t="s">
        <v>3413</v>
      </c>
      <c r="J1793" s="2" t="s">
        <v>3422</v>
      </c>
      <c r="K1793" s="2" t="s">
        <v>3422</v>
      </c>
      <c r="L1793" s="2" t="s">
        <v>3415</v>
      </c>
      <c r="M1793" s="2" t="n">
        <v>149960</v>
      </c>
    </row>
    <row r="1794" customFormat="false" ht="18.7" hidden="false" customHeight="true" outlineLevel="0" collapsed="false">
      <c r="A1794" s="1" t="n">
        <v>1793</v>
      </c>
      <c r="B1794" s="7" t="str">
        <f aca="false">HYPERLINK("https://mncourtfraud.com/file/27-CR-21-2803.pdf","27-CR-21-2803")</f>
        <v>27-CR-21-2803</v>
      </c>
      <c r="C1794" s="1" t="n">
        <v>1</v>
      </c>
      <c r="D1794" s="2" t="s">
        <v>12</v>
      </c>
      <c r="E1794" s="8" t="n">
        <v>44895</v>
      </c>
      <c r="F1794" s="2" t="s">
        <v>15</v>
      </c>
      <c r="G1794" s="7" t="str">
        <f aca="false">HYPERLINK("https://mncourtfraud.com/file/MCRO_27-CR-21-2803_Order-Evaluation for Competency to Proceed (Rule 20.01)_2022-11-30_20251126184340.pdf","MCRO_27-CR-21-2803_Order-Evaluation for Competency to Proceed (Rule 20.01)_2022-11-30_20251126184340.pdf")</f>
        <v>MCRO_27-CR-21-2803_Order-Evaluation for Competency to Proceed (Rule 20.01)_2022-11-30_20251126184340.pdf</v>
      </c>
      <c r="H1794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1794" s="1" t="s">
        <v>3413</v>
      </c>
      <c r="J1794" s="2" t="s">
        <v>3448</v>
      </c>
      <c r="K1794" s="2" t="s">
        <v>3448</v>
      </c>
      <c r="L1794" s="2" t="s">
        <v>3415</v>
      </c>
      <c r="M1794" s="2" t="n">
        <v>916684</v>
      </c>
    </row>
    <row r="1795" customFormat="false" ht="18.7" hidden="false" customHeight="true" outlineLevel="0" collapsed="false">
      <c r="A1795" s="1" t="n">
        <v>1794</v>
      </c>
      <c r="B1795" s="7" t="str">
        <f aca="false">HYPERLINK("https://mncourtfraud.com/file/27-CR-21-2803.pdf","27-CR-21-2803")</f>
        <v>27-CR-21-2803</v>
      </c>
      <c r="C1795" s="1" t="n">
        <v>1</v>
      </c>
      <c r="D1795" s="2" t="s">
        <v>12</v>
      </c>
      <c r="E1795" s="8" t="n">
        <v>44895</v>
      </c>
      <c r="F1795" s="2" t="s">
        <v>15</v>
      </c>
      <c r="G1795" s="7" t="str">
        <f aca="false">HYPERLINK("https://mncourtfraud.com/file/MCRO_27-CR-21-2803_Order-Evaluation for Competency to Proceed (Rule 20.01)_2022-11-30_20251126184340.pdf","MCRO_27-CR-21-2803_Order-Evaluation for Competency to Proceed (Rule 20.01)_2022-11-30_20251126184340.pdf")</f>
        <v>MCRO_27-CR-21-2803_Order-Evaluation for Competency to Proceed (Rule 20.01)_2022-11-30_20251126184340.pdf</v>
      </c>
      <c r="H1795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795" s="1" t="s">
        <v>3406</v>
      </c>
      <c r="K1795" s="2" t="s">
        <v>3425</v>
      </c>
      <c r="L1795" s="2" t="s">
        <v>3408</v>
      </c>
      <c r="M1795" s="2" t="n">
        <v>21225</v>
      </c>
      <c r="O1795" s="2" t="s">
        <v>3409</v>
      </c>
      <c r="P1795" s="2" t="s">
        <v>3410</v>
      </c>
      <c r="S1795" s="2" t="n">
        <v>319</v>
      </c>
      <c r="T1795" s="2" t="n">
        <v>105</v>
      </c>
    </row>
    <row r="1796" customFormat="false" ht="18.7" hidden="false" customHeight="true" outlineLevel="0" collapsed="false">
      <c r="A1796" s="1" t="n">
        <v>1795</v>
      </c>
      <c r="B1796" s="7" t="str">
        <f aca="false">HYPERLINK("https://mncourtfraud.com/file/27-CR-21-2803.pdf","27-CR-21-2803")</f>
        <v>27-CR-21-2803</v>
      </c>
      <c r="C1796" s="1" t="n">
        <v>1</v>
      </c>
      <c r="D1796" s="2" t="s">
        <v>12</v>
      </c>
      <c r="E1796" s="8" t="n">
        <v>44895</v>
      </c>
      <c r="F1796" s="2" t="s">
        <v>15</v>
      </c>
      <c r="G1796" s="7" t="str">
        <f aca="false">HYPERLINK("https://mncourtfraud.com/file/MCRO_27-CR-21-2803_Order-Evaluation for Competency to Proceed (Rule 20.01)_2022-11-30_20251126184340.pdf","MCRO_27-CR-21-2803_Order-Evaluation for Competency to Proceed (Rule 20.01)_2022-11-30_20251126184340.pdf")</f>
        <v>MCRO_27-CR-21-2803_Order-Evaluation for Competency to Proceed (Rule 20.01)_2022-11-30_20251126184340.pdf</v>
      </c>
      <c r="H1796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1796" s="1" t="s">
        <v>3413</v>
      </c>
      <c r="J1796" s="2" t="s">
        <v>3449</v>
      </c>
      <c r="K1796" s="2" t="s">
        <v>3449</v>
      </c>
      <c r="L1796" s="2" t="s">
        <v>3415</v>
      </c>
      <c r="M1796" s="2" t="n">
        <v>124664</v>
      </c>
    </row>
    <row r="1797" customFormat="false" ht="18.7" hidden="false" customHeight="true" outlineLevel="0" collapsed="false">
      <c r="A1797" s="1" t="n">
        <v>1796</v>
      </c>
      <c r="B1797" s="7" t="str">
        <f aca="false">HYPERLINK("https://mncourtfraud.com/file/27-CR-21-2803.pdf","27-CR-21-2803")</f>
        <v>27-CR-21-2803</v>
      </c>
      <c r="C1797" s="1" t="n">
        <v>1</v>
      </c>
      <c r="D1797" s="2" t="s">
        <v>12</v>
      </c>
      <c r="E1797" s="8" t="n">
        <v>44895</v>
      </c>
      <c r="F1797" s="2" t="s">
        <v>15</v>
      </c>
      <c r="G1797" s="7" t="str">
        <f aca="false">HYPERLINK("https://mncourtfraud.com/file/MCRO_27-CR-21-2803_Order-Evaluation for Competency to Proceed (Rule 20.01)_2022-11-30_20251126184340.pdf","MCRO_27-CR-21-2803_Order-Evaluation for Competency to Proceed (Rule 20.01)_2022-11-30_20251126184340.pdf")</f>
        <v>MCRO_27-CR-21-2803_Order-Evaluation for Competency to Proceed (Rule 20.01)_2022-11-30_20251126184340.pdf</v>
      </c>
      <c r="H1797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1797" s="1" t="s">
        <v>3413</v>
      </c>
      <c r="J1797" s="2" t="s">
        <v>3449</v>
      </c>
      <c r="K1797" s="2" t="s">
        <v>3449</v>
      </c>
      <c r="L1797" s="2" t="s">
        <v>3415</v>
      </c>
      <c r="M1797" s="2" t="n">
        <v>124664</v>
      </c>
    </row>
    <row r="1798" customFormat="false" ht="18.7" hidden="false" customHeight="true" outlineLevel="0" collapsed="false">
      <c r="A1798" s="1" t="n">
        <v>1797</v>
      </c>
      <c r="B1798" s="7" t="str">
        <f aca="false">HYPERLINK("https://mncourtfraud.com/file/27-CR-21-4099.pdf","27-CR-21-4099")</f>
        <v>27-CR-21-4099</v>
      </c>
      <c r="C1798" s="1" t="n">
        <v>1</v>
      </c>
      <c r="D1798" s="2" t="s">
        <v>12</v>
      </c>
      <c r="E1798" s="8" t="n">
        <v>44396</v>
      </c>
      <c r="F1798" s="2" t="s">
        <v>15</v>
      </c>
      <c r="G1798" s="7" t="str">
        <f aca="false">HYPERLINK("https://mncourtfraud.com/file/MCRO_27-CR-21-4099_Order-Evaluation for Competency to Proceed (Rule 20.01)_2021-07-19_20251126184452.pdf","MCRO_27-CR-21-4099_Order-Evaluation for Competency to Proceed (Rule 20.01)_2021-07-19_20251126184452.pdf")</f>
        <v>MCRO_27-CR-21-4099_Order-Evaluation for Competency to Proceed (Rule 20.01)_2021-07-19_20251126184452.pdf</v>
      </c>
      <c r="H1798" s="7" t="str">
        <f aca="false">HYPERLINK("https://mncourtfraud.com/file/6dc6b45b3232ea78f2ccc6376f35564e403156e55425614a78b19aac201f6d32.png","6dc6b45b3232ea78f2ccc6376f35564e403156e55425614a78b19aac201f6d32")</f>
        <v>6dc6b45b3232ea78f2ccc6376f35564e403156e55425614a78b19aac201f6d32</v>
      </c>
      <c r="I1798" s="1" t="s">
        <v>3406</v>
      </c>
      <c r="L1798" s="2" t="s">
        <v>3412</v>
      </c>
      <c r="M1798" s="2" t="n">
        <v>154744</v>
      </c>
      <c r="S1798" s="2" t="n">
        <v>2550</v>
      </c>
      <c r="T1798" s="2" t="n">
        <v>3300</v>
      </c>
    </row>
    <row r="1799" customFormat="false" ht="18.7" hidden="false" customHeight="true" outlineLevel="0" collapsed="false">
      <c r="A1799" s="1" t="n">
        <v>1798</v>
      </c>
      <c r="B1799" s="7" t="str">
        <f aca="false">HYPERLINK("https://mncourtfraud.com/file/27-CR-21-4099.pdf","27-CR-21-4099")</f>
        <v>27-CR-21-4099</v>
      </c>
      <c r="C1799" s="1" t="n">
        <v>1</v>
      </c>
      <c r="D1799" s="2" t="s">
        <v>12</v>
      </c>
      <c r="E1799" s="8" t="n">
        <v>44396</v>
      </c>
      <c r="F1799" s="2" t="s">
        <v>15</v>
      </c>
      <c r="G1799" s="7" t="str">
        <f aca="false">HYPERLINK("https://mncourtfraud.com/file/MCRO_27-CR-21-4099_Order-Evaluation for Competency to Proceed (Rule 20.01)_2021-07-19_20251126184452.pdf","MCRO_27-CR-21-4099_Order-Evaluation for Competency to Proceed (Rule 20.01)_2021-07-19_20251126184452.pdf")</f>
        <v>MCRO_27-CR-21-4099_Order-Evaluation for Competency to Proceed (Rule 20.01)_2021-07-19_20251126184452.pdf</v>
      </c>
      <c r="H1799" s="7" t="str">
        <f aca="false">HYPERLINK("https://mncourtfraud.com/file/a3ff08fa6af20c126da9e7b91944e8d335a40d9eef79f6b6118b9565ab64e38d.png","a3ff08fa6af20c126da9e7b91944e8d335a40d9eef79f6b6118b9565ab64e38d")</f>
        <v>a3ff08fa6af20c126da9e7b91944e8d335a40d9eef79f6b6118b9565ab64e38d</v>
      </c>
      <c r="I1799" s="1" t="s">
        <v>3406</v>
      </c>
      <c r="L1799" s="2" t="s">
        <v>3412</v>
      </c>
      <c r="M1799" s="2" t="n">
        <v>145967</v>
      </c>
      <c r="S1799" s="2" t="n">
        <v>2550</v>
      </c>
      <c r="T1799" s="2" t="n">
        <v>3300</v>
      </c>
    </row>
    <row r="1800" customFormat="false" ht="18.7" hidden="false" customHeight="true" outlineLevel="0" collapsed="false">
      <c r="A1800" s="1" t="n">
        <v>1799</v>
      </c>
      <c r="B1800" s="7" t="str">
        <f aca="false">HYPERLINK("https://mncourtfraud.com/file/27-CR-21-4099.pdf","27-CR-21-4099")</f>
        <v>27-CR-21-4099</v>
      </c>
      <c r="C1800" s="1" t="n">
        <v>1</v>
      </c>
      <c r="D1800" s="2" t="s">
        <v>12</v>
      </c>
      <c r="E1800" s="8" t="n">
        <v>44396</v>
      </c>
      <c r="F1800" s="2" t="s">
        <v>15</v>
      </c>
      <c r="G1800" s="7" t="str">
        <f aca="false">HYPERLINK("https://mncourtfraud.com/file/MCRO_27-CR-21-4099_Order-Evaluation for Competency to Proceed (Rule 20.01)_2021-07-19_20251126184452.pdf","MCRO_27-CR-21-4099_Order-Evaluation for Competency to Proceed (Rule 20.01)_2021-07-19_20251126184452.pdf")</f>
        <v>MCRO_27-CR-21-4099_Order-Evaluation for Competency to Proceed (Rule 20.01)_2021-07-19_20251126184452.pdf</v>
      </c>
      <c r="H1800" s="7" t="str">
        <f aca="false">HYPERLINK("https://mncourtfraud.com/file/e1a80ffb1201214f8eb72046e022fb9a0a4f4904c2c17fe90b87b0c184e4f5f5.ttf","e1a80ffb1201214f8eb72046e022fb9a0a4f4904c2c17fe90b87b0c184e4f5f5")</f>
        <v>e1a80ffb1201214f8eb72046e022fb9a0a4f4904c2c17fe90b87b0c184e4f5f5</v>
      </c>
      <c r="I1800" s="1" t="s">
        <v>3413</v>
      </c>
      <c r="L1800" s="2" t="s">
        <v>3415</v>
      </c>
      <c r="M1800" s="2" t="n">
        <v>333576</v>
      </c>
    </row>
    <row r="1801" customFormat="false" ht="18.7" hidden="false" customHeight="true" outlineLevel="0" collapsed="false">
      <c r="A1801" s="1" t="n">
        <v>1800</v>
      </c>
      <c r="B1801" s="7" t="str">
        <f aca="false">HYPERLINK("https://mncourtfraud.com/file/27-CR-21-4099.pdf","27-CR-21-4099")</f>
        <v>27-CR-21-4099</v>
      </c>
      <c r="C1801" s="1" t="n">
        <v>1</v>
      </c>
      <c r="D1801" s="2" t="s">
        <v>12</v>
      </c>
      <c r="E1801" s="8" t="n">
        <v>44439</v>
      </c>
      <c r="F1801" s="2" t="s">
        <v>19</v>
      </c>
      <c r="G1801" s="7" t="str">
        <f aca="false">HYPERLINK("https://mncourtfraud.com/file/MCRO_27-CR-21-4099_Findings and Order_2021-08-31_20251126184414.pdf","MCRO_27-CR-21-4099_Findings and Order_2021-08-31_20251126184414.pdf")</f>
        <v>MCRO_27-CR-21-4099_Findings and Order_2021-08-31_20251126184414.pdf</v>
      </c>
      <c r="H1801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1801" s="1" t="s">
        <v>3413</v>
      </c>
      <c r="J1801" s="2" t="s">
        <v>3426</v>
      </c>
      <c r="K1801" s="2" t="s">
        <v>3426</v>
      </c>
      <c r="L1801" s="2" t="s">
        <v>3415</v>
      </c>
      <c r="M1801" s="2" t="n">
        <v>74997</v>
      </c>
      <c r="N1801" s="2" t="s">
        <v>3427</v>
      </c>
    </row>
    <row r="1802" customFormat="false" ht="18.7" hidden="false" customHeight="true" outlineLevel="0" collapsed="false">
      <c r="A1802" s="1" t="n">
        <v>1801</v>
      </c>
      <c r="B1802" s="7" t="str">
        <f aca="false">HYPERLINK("https://mncourtfraud.com/file/27-CR-21-4099.pdf","27-CR-21-4099")</f>
        <v>27-CR-21-4099</v>
      </c>
      <c r="C1802" s="1" t="n">
        <v>1</v>
      </c>
      <c r="D1802" s="2" t="s">
        <v>12</v>
      </c>
      <c r="E1802" s="8" t="n">
        <v>44439</v>
      </c>
      <c r="F1802" s="2" t="s">
        <v>19</v>
      </c>
      <c r="G1802" s="7" t="str">
        <f aca="false">HYPERLINK("https://mncourtfraud.com/file/MCRO_27-CR-21-4099_Findings and Order_2021-08-31_20251126184414.pdf","MCRO_27-CR-21-4099_Findings and Order_2021-08-31_20251126184414.pdf")</f>
        <v>MCRO_27-CR-21-4099_Findings and Order_2021-08-31_20251126184414.pdf</v>
      </c>
      <c r="H1802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1802" s="1" t="s">
        <v>3413</v>
      </c>
      <c r="J1802" s="2" t="s">
        <v>3414</v>
      </c>
      <c r="K1802" s="2" t="s">
        <v>3414</v>
      </c>
      <c r="L1802" s="2" t="s">
        <v>3415</v>
      </c>
      <c r="M1802" s="2" t="n">
        <v>65384</v>
      </c>
    </row>
    <row r="1803" customFormat="false" ht="18.7" hidden="false" customHeight="true" outlineLevel="0" collapsed="false">
      <c r="A1803" s="1" t="n">
        <v>1802</v>
      </c>
      <c r="B1803" s="7" t="str">
        <f aca="false">HYPERLINK("https://mncourtfraud.com/file/27-CR-21-4099.pdf","27-CR-21-4099")</f>
        <v>27-CR-21-4099</v>
      </c>
      <c r="C1803" s="1" t="n">
        <v>1</v>
      </c>
      <c r="D1803" s="2" t="s">
        <v>12</v>
      </c>
      <c r="E1803" s="8" t="n">
        <v>44439</v>
      </c>
      <c r="F1803" s="2" t="s">
        <v>19</v>
      </c>
      <c r="G1803" s="7" t="str">
        <f aca="false">HYPERLINK("https://mncourtfraud.com/file/MCRO_27-CR-21-4099_Findings and Order_2021-08-31_20251126184414.pdf","MCRO_27-CR-21-4099_Findings and Order_2021-08-31_20251126184414.pdf")</f>
        <v>MCRO_27-CR-21-4099_Findings and Order_2021-08-31_20251126184414.pdf</v>
      </c>
      <c r="H1803" s="7" t="str">
        <f aca="false">HYPERLINK("https://mncourtfraud.com/file/1d70db507d4d02dadf3cfbe0a8c38096531762797d3fa12c7d4219af78bf7787.ttf","1d70db507d4d02dadf3cfbe0a8c38096531762797d3fa12c7d4219af78bf7787")</f>
        <v>1d70db507d4d02dadf3cfbe0a8c38096531762797d3fa12c7d4219af78bf7787</v>
      </c>
      <c r="I1803" s="1" t="s">
        <v>3413</v>
      </c>
      <c r="J1803" s="2" t="s">
        <v>3414</v>
      </c>
      <c r="K1803" s="2" t="s">
        <v>3414</v>
      </c>
      <c r="L1803" s="2" t="s">
        <v>3415</v>
      </c>
      <c r="M1803" s="2" t="n">
        <v>65384</v>
      </c>
    </row>
    <row r="1804" customFormat="false" ht="18.7" hidden="false" customHeight="true" outlineLevel="0" collapsed="false">
      <c r="A1804" s="1" t="n">
        <v>1803</v>
      </c>
      <c r="B1804" s="7" t="str">
        <f aca="false">HYPERLINK("https://mncourtfraud.com/file/27-CR-21-4099.pdf","27-CR-21-4099")</f>
        <v>27-CR-21-4099</v>
      </c>
      <c r="C1804" s="1" t="n">
        <v>1</v>
      </c>
      <c r="D1804" s="2" t="s">
        <v>12</v>
      </c>
      <c r="E1804" s="8" t="n">
        <v>44439</v>
      </c>
      <c r="F1804" s="2" t="s">
        <v>19</v>
      </c>
      <c r="G1804" s="7" t="str">
        <f aca="false">HYPERLINK("https://mncourtfraud.com/file/MCRO_27-CR-21-4099_Findings and Order_2021-08-31_20251126184414.pdf","MCRO_27-CR-21-4099_Findings and Order_2021-08-31_20251126184414.pdf")</f>
        <v>MCRO_27-CR-21-4099_Findings and Order_2021-08-31_20251126184414.pdf</v>
      </c>
      <c r="H1804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1804" s="1" t="s">
        <v>3428</v>
      </c>
      <c r="J1804" s="2" t="s">
        <v>3429</v>
      </c>
      <c r="K1804" s="2" t="s">
        <v>3429</v>
      </c>
      <c r="L1804" s="2" t="s">
        <v>3415</v>
      </c>
      <c r="M1804" s="2" t="n">
        <v>86093</v>
      </c>
    </row>
    <row r="1805" customFormat="false" ht="18.7" hidden="false" customHeight="true" outlineLevel="0" collapsed="false">
      <c r="A1805" s="1" t="n">
        <v>1804</v>
      </c>
      <c r="B1805" s="7" t="str">
        <f aca="false">HYPERLINK("https://mncourtfraud.com/file/27-CR-21-4099.pdf","27-CR-21-4099")</f>
        <v>27-CR-21-4099</v>
      </c>
      <c r="C1805" s="1" t="n">
        <v>1</v>
      </c>
      <c r="D1805" s="2" t="s">
        <v>12</v>
      </c>
      <c r="E1805" s="8" t="n">
        <v>44439</v>
      </c>
      <c r="F1805" s="2" t="s">
        <v>134</v>
      </c>
      <c r="G1805" s="7" t="str">
        <f aca="false">HYPERLINK("https://mncourtfraud.com/file/MCRO_27-CR-21-4099_Notice of Intent to Prosecute_2021-08-31_20251126184425.pdf","MCRO_27-CR-21-4099_Notice of Intent to Prosecute_2021-08-31_20251126184425.pdf")</f>
        <v>MCRO_27-CR-21-4099_Notice of Intent to Prosecute_2021-08-31_20251126184425.pdf</v>
      </c>
      <c r="H1805" s="7" t="str">
        <f aca="false">HYPERLINK("https://mncourtfraud.com/file/90c0a2a65a938494a3d53cc51b1880ee341440a983d29c310155b6f7d0724888.ttf","90c0a2a65a938494a3d53cc51b1880ee341440a983d29c310155b6f7d0724888")</f>
        <v>90c0a2a65a938494a3d53cc51b1880ee341440a983d29c310155b6f7d0724888</v>
      </c>
      <c r="I1805" s="1" t="s">
        <v>3413</v>
      </c>
      <c r="J1805" s="2" t="s">
        <v>3533</v>
      </c>
      <c r="K1805" s="2" t="s">
        <v>3533</v>
      </c>
      <c r="L1805" s="2" t="s">
        <v>3415</v>
      </c>
      <c r="M1805" s="2" t="n">
        <v>62004</v>
      </c>
      <c r="N1805" s="2" t="s">
        <v>3534</v>
      </c>
    </row>
    <row r="1806" customFormat="false" ht="18.7" hidden="false" customHeight="true" outlineLevel="0" collapsed="false">
      <c r="A1806" s="1" t="n">
        <v>1805</v>
      </c>
      <c r="B1806" s="7" t="str">
        <f aca="false">HYPERLINK("https://mncourtfraud.com/file/27-CR-21-4099.pdf","27-CR-21-4099")</f>
        <v>27-CR-21-4099</v>
      </c>
      <c r="C1806" s="1" t="n">
        <v>1</v>
      </c>
      <c r="D1806" s="2" t="s">
        <v>12</v>
      </c>
      <c r="E1806" s="8" t="n">
        <v>44439</v>
      </c>
      <c r="F1806" s="2" t="s">
        <v>19</v>
      </c>
      <c r="G1806" s="7" t="str">
        <f aca="false">HYPERLINK("https://mncourtfraud.com/file/MCRO_27-CR-21-4099_Findings and Order_2021-08-31_20251126184414.pdf","MCRO_27-CR-21-4099_Findings and Order_2021-08-31_20251126184414.pdf")</f>
        <v>MCRO_27-CR-21-4099_Findings and Order_2021-08-31_20251126184414.pdf</v>
      </c>
      <c r="H1806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1806" s="1" t="s">
        <v>3406</v>
      </c>
      <c r="K1806" s="2" t="s">
        <v>3430</v>
      </c>
      <c r="L1806" s="2" t="s">
        <v>3408</v>
      </c>
      <c r="M1806" s="2" t="n">
        <v>28069</v>
      </c>
      <c r="O1806" s="2" t="s">
        <v>3409</v>
      </c>
      <c r="P1806" s="2" t="s">
        <v>3410</v>
      </c>
      <c r="S1806" s="2" t="n">
        <v>448</v>
      </c>
      <c r="T1806" s="2" t="n">
        <v>128</v>
      </c>
    </row>
    <row r="1807" customFormat="false" ht="18.7" hidden="false" customHeight="true" outlineLevel="0" collapsed="false">
      <c r="A1807" s="1" t="n">
        <v>1806</v>
      </c>
      <c r="B1807" s="7" t="str">
        <f aca="false">HYPERLINK("https://mncourtfraud.com/file/27-CR-21-4099.pdf","27-CR-21-4099")</f>
        <v>27-CR-21-4099</v>
      </c>
      <c r="C1807" s="1" t="n">
        <v>1</v>
      </c>
      <c r="D1807" s="2" t="s">
        <v>12</v>
      </c>
      <c r="E1807" s="8" t="n">
        <v>44439</v>
      </c>
      <c r="F1807" s="2" t="s">
        <v>19</v>
      </c>
      <c r="G1807" s="7" t="str">
        <f aca="false">HYPERLINK("https://mncourtfraud.com/file/MCRO_27-CR-21-4099_Findings and Order_2021-08-31_20251126184414.pdf","MCRO_27-CR-21-4099_Findings and Order_2021-08-31_20251126184414.pdf")</f>
        <v>MCRO_27-CR-21-4099_Findings and Order_2021-08-31_20251126184414.pdf</v>
      </c>
      <c r="H1807" s="7" t="str">
        <f aca="false">HYPERLINK("https://mncourtfraud.com/file/d85226137c53579f37f2c87321a4ff209a309a82330591d9457774d7d697befc.ttf","d85226137c53579f37f2c87321a4ff209a309a82330591d9457774d7d697befc")</f>
        <v>d85226137c53579f37f2c87321a4ff209a309a82330591d9457774d7d697befc</v>
      </c>
      <c r="I1807" s="1" t="s">
        <v>3413</v>
      </c>
      <c r="J1807" s="2" t="s">
        <v>3414</v>
      </c>
      <c r="K1807" s="2" t="s">
        <v>3416</v>
      </c>
      <c r="L1807" s="2" t="s">
        <v>3415</v>
      </c>
      <c r="M1807" s="2" t="n">
        <v>49992</v>
      </c>
    </row>
    <row r="1808" customFormat="false" ht="18.7" hidden="false" customHeight="true" outlineLevel="0" collapsed="false">
      <c r="A1808" s="1" t="n">
        <v>1807</v>
      </c>
      <c r="B1808" s="7" t="str">
        <f aca="false">HYPERLINK("https://mncourtfraud.com/file/27-CR-21-4099.pdf","27-CR-21-4099")</f>
        <v>27-CR-21-4099</v>
      </c>
      <c r="C1808" s="1" t="n">
        <v>1</v>
      </c>
      <c r="D1808" s="2" t="s">
        <v>12</v>
      </c>
      <c r="E1808" s="8" t="n">
        <v>44439</v>
      </c>
      <c r="F1808" s="2" t="s">
        <v>134</v>
      </c>
      <c r="G1808" s="7" t="str">
        <f aca="false">HYPERLINK("https://mncourtfraud.com/file/MCRO_27-CR-21-4099_Notice of Intent to Prosecute_2021-08-31_20251126184425.pdf","MCRO_27-CR-21-4099_Notice of Intent to Prosecute_2021-08-31_20251126184425.pdf")</f>
        <v>MCRO_27-CR-21-4099_Notice of Intent to Prosecute_2021-08-31_20251126184425.pdf</v>
      </c>
      <c r="H1808" s="7" t="str">
        <f aca="false">HYPERLINK("https://mncourtfraud.com/file/f7a1a4c4bba3843f73f42c6757409a048bf8d2ac6af6bb46e5b21544d856e10b.ttf","f7a1a4c4bba3843f73f42c6757409a048bf8d2ac6af6bb46e5b21544d856e10b")</f>
        <v>f7a1a4c4bba3843f73f42c6757409a048bf8d2ac6af6bb46e5b21544d856e10b</v>
      </c>
      <c r="I1808" s="1" t="s">
        <v>3413</v>
      </c>
      <c r="J1808" s="2" t="s">
        <v>3535</v>
      </c>
      <c r="K1808" s="2" t="s">
        <v>3535</v>
      </c>
      <c r="L1808" s="2" t="s">
        <v>3415</v>
      </c>
      <c r="M1808" s="2" t="n">
        <v>95248</v>
      </c>
      <c r="N1808" s="2" t="s">
        <v>3536</v>
      </c>
    </row>
    <row r="1809" customFormat="false" ht="18.7" hidden="false" customHeight="true" outlineLevel="0" collapsed="false">
      <c r="A1809" s="1" t="n">
        <v>1808</v>
      </c>
      <c r="B1809" s="7" t="str">
        <f aca="false">HYPERLINK("https://mncourtfraud.com/file/27-CR-21-4099.pdf","27-CR-21-4099")</f>
        <v>27-CR-21-4099</v>
      </c>
      <c r="C1809" s="1" t="n">
        <v>1</v>
      </c>
      <c r="D1809" s="2" t="s">
        <v>12</v>
      </c>
      <c r="E1809" s="8" t="n">
        <v>44460</v>
      </c>
      <c r="F1809" s="2" t="s">
        <v>24</v>
      </c>
      <c r="G1809" s="7" t="str">
        <f aca="false">HYPERLINK("https://mncourtfraud.com/file/MCRO_27-CR-21-4099_Order for Conditional Release_2021-09-21_20251126184441.pdf","MCRO_27-CR-21-4099_Order for Conditional Release_2021-09-21_20251126184441.pdf")</f>
        <v>MCRO_27-CR-21-4099_Order for Conditional Release_2021-09-21_20251126184441.pdf</v>
      </c>
      <c r="H1809" s="7" t="str">
        <f aca="false">HYPERLINK("https://mncourtfraud.com/file/02dfb6e08fd11b3563d1b9b621b56dbf2dc11acbd85e42bfd83f728fb300bef2.ttf","02dfb6e08fd11b3563d1b9b621b56dbf2dc11acbd85e42bfd83f728fb300bef2")</f>
        <v>02dfb6e08fd11b3563d1b9b621b56dbf2dc11acbd85e42bfd83f728fb300bef2</v>
      </c>
      <c r="I1809" s="1" t="s">
        <v>3413</v>
      </c>
      <c r="L1809" s="2" t="s">
        <v>3415</v>
      </c>
      <c r="M1809" s="2" t="n">
        <v>333576</v>
      </c>
    </row>
    <row r="1810" customFormat="false" ht="18.7" hidden="false" customHeight="true" outlineLevel="0" collapsed="false">
      <c r="A1810" s="1" t="n">
        <v>1809</v>
      </c>
      <c r="B1810" s="7" t="str">
        <f aca="false">HYPERLINK("https://mncourtfraud.com/file/27-CR-21-4099.pdf","27-CR-21-4099")</f>
        <v>27-CR-21-4099</v>
      </c>
      <c r="C1810" s="1" t="n">
        <v>1</v>
      </c>
      <c r="D1810" s="2" t="s">
        <v>12</v>
      </c>
      <c r="E1810" s="8" t="n">
        <v>44460</v>
      </c>
      <c r="F1810" s="2" t="s">
        <v>24</v>
      </c>
      <c r="G1810" s="7" t="str">
        <f aca="false">HYPERLINK("https://mncourtfraud.com/file/MCRO_27-CR-21-4099_Order for Conditional Release_2021-09-21_20251126184441.pdf","MCRO_27-CR-21-4099_Order for Conditional Release_2021-09-21_20251126184441.pdf")</f>
        <v>MCRO_27-CR-21-4099_Order for Conditional Release_2021-09-21_20251126184441.pdf</v>
      </c>
      <c r="H1810" s="7" t="str">
        <f aca="false">HYPERLINK("https://mncourtfraud.com/file/917235b833f53039163f6437ef7805816dcf5b7e8ceaf9f1f5b7a31e8d364673.png","917235b833f53039163f6437ef7805816dcf5b7e8ceaf9f1f5b7a31e8d364673")</f>
        <v>917235b833f53039163f6437ef7805816dcf5b7e8ceaf9f1f5b7a31e8d364673</v>
      </c>
      <c r="I1810" s="1" t="s">
        <v>3406</v>
      </c>
      <c r="L1810" s="2" t="s">
        <v>3412</v>
      </c>
      <c r="M1810" s="2" t="n">
        <v>152962</v>
      </c>
      <c r="S1810" s="2" t="n">
        <v>2560</v>
      </c>
      <c r="T1810" s="2" t="n">
        <v>3300</v>
      </c>
    </row>
    <row r="1811" customFormat="false" ht="18.7" hidden="false" customHeight="true" outlineLevel="0" collapsed="false">
      <c r="A1811" s="1" t="n">
        <v>1810</v>
      </c>
      <c r="B1811" s="7" t="str">
        <f aca="false">HYPERLINK("https://mncourtfraud.com/file/27-CR-21-4099.pdf","27-CR-21-4099")</f>
        <v>27-CR-21-4099</v>
      </c>
      <c r="C1811" s="1" t="n">
        <v>1</v>
      </c>
      <c r="D1811" s="2" t="s">
        <v>12</v>
      </c>
      <c r="E1811" s="8" t="n">
        <v>44468</v>
      </c>
      <c r="F1811" s="2" t="s">
        <v>24</v>
      </c>
      <c r="G1811" s="7" t="str">
        <f aca="false">HYPERLINK("https://mncourtfraud.com/file/MCRO_27-CR-21-4099_Order for Conditional Release_2021-09-29_20251126184435.pdf","MCRO_27-CR-21-4099_Order for Conditional Release_2021-09-29_20251126184435.pdf")</f>
        <v>MCRO_27-CR-21-4099_Order for Conditional Release_2021-09-29_20251126184435.pdf</v>
      </c>
      <c r="H1811" s="7" t="str">
        <f aca="false">HYPERLINK("https://mncourtfraud.com/file/29d541cb6920f2a0815a72232c8164e19ffda7ff89f025261d343aef97d55c23.png","29d541cb6920f2a0815a72232c8164e19ffda7ff89f025261d343aef97d55c23")</f>
        <v>29d541cb6920f2a0815a72232c8164e19ffda7ff89f025261d343aef97d55c23</v>
      </c>
      <c r="I1811" s="1" t="s">
        <v>3406</v>
      </c>
      <c r="L1811" s="2" t="s">
        <v>3412</v>
      </c>
      <c r="M1811" s="2" t="n">
        <v>104</v>
      </c>
      <c r="S1811" s="2" t="n">
        <v>5</v>
      </c>
      <c r="T1811" s="2" t="n">
        <v>75</v>
      </c>
    </row>
    <row r="1812" customFormat="false" ht="18.7" hidden="false" customHeight="true" outlineLevel="0" collapsed="false">
      <c r="A1812" s="1" t="n">
        <v>1811</v>
      </c>
      <c r="B1812" s="7" t="str">
        <f aca="false">HYPERLINK("https://mncourtfraud.com/file/27-CR-21-4099.pdf","27-CR-21-4099")</f>
        <v>27-CR-21-4099</v>
      </c>
      <c r="C1812" s="1" t="n">
        <v>1</v>
      </c>
      <c r="D1812" s="2" t="s">
        <v>12</v>
      </c>
      <c r="E1812" s="8" t="n">
        <v>44468</v>
      </c>
      <c r="F1812" s="2" t="s">
        <v>24</v>
      </c>
      <c r="G1812" s="7" t="str">
        <f aca="false">HYPERLINK("https://mncourtfraud.com/file/MCRO_27-CR-21-4099_Order for Conditional Release_2021-09-29_20251126184435.pdf","MCRO_27-CR-21-4099_Order for Conditional Release_2021-09-29_20251126184435.pdf")</f>
        <v>MCRO_27-CR-21-4099_Order for Conditional Release_2021-09-29_20251126184435.pdf</v>
      </c>
      <c r="H1812" s="7" t="str">
        <f aca="false">HYPERLINK("https://mncourtfraud.com/file/3d978c70f8a4a91fd25d0f653c2931516767fdd837fcadff75a8c3cd2ba3a28e.png","3d978c70f8a4a91fd25d0f653c2931516767fdd837fcadff75a8c3cd2ba3a28e")</f>
        <v>3d978c70f8a4a91fd25d0f653c2931516767fdd837fcadff75a8c3cd2ba3a28e</v>
      </c>
      <c r="I1812" s="1" t="s">
        <v>3406</v>
      </c>
      <c r="L1812" s="2" t="s">
        <v>3412</v>
      </c>
      <c r="M1812" s="2" t="n">
        <v>2435</v>
      </c>
      <c r="S1812" s="2" t="n">
        <v>1069</v>
      </c>
      <c r="T1812" s="2" t="n">
        <v>679</v>
      </c>
    </row>
    <row r="1813" customFormat="false" ht="18.7" hidden="false" customHeight="true" outlineLevel="0" collapsed="false">
      <c r="A1813" s="1" t="n">
        <v>1812</v>
      </c>
      <c r="B1813" s="7" t="str">
        <f aca="false">HYPERLINK("https://mncourtfraud.com/file/27-CR-21-4099.pdf","27-CR-21-4099")</f>
        <v>27-CR-21-4099</v>
      </c>
      <c r="C1813" s="1" t="n">
        <v>1</v>
      </c>
      <c r="D1813" s="2" t="s">
        <v>12</v>
      </c>
      <c r="E1813" s="8" t="n">
        <v>44468</v>
      </c>
      <c r="F1813" s="2" t="s">
        <v>24</v>
      </c>
      <c r="G1813" s="7" t="str">
        <f aca="false">HYPERLINK("https://mncourtfraud.com/file/MCRO_27-CR-21-4099_Order for Conditional Release_2021-09-29_20251126184435.pdf","MCRO_27-CR-21-4099_Order for Conditional Release_2021-09-29_20251126184435.pdf")</f>
        <v>MCRO_27-CR-21-4099_Order for Conditional Release_2021-09-29_20251126184435.pdf</v>
      </c>
      <c r="H1813" s="7" t="str">
        <f aca="false">HYPERLINK("https://mncourtfraud.com/file/3f202249d41f264cabf7a4fd2c634829df7886c25cb759658f06c1a8bca28360.cid","3f202249d41f264cabf7a4fd2c634829df7886c25cb759658f06c1a8bca28360")</f>
        <v>3f202249d41f264cabf7a4fd2c634829df7886c25cb759658f06c1a8bca28360</v>
      </c>
      <c r="I1813" s="1" t="s">
        <v>3431</v>
      </c>
      <c r="L1813" s="2" t="s">
        <v>3415</v>
      </c>
      <c r="M1813" s="2" t="n">
        <v>1397</v>
      </c>
    </row>
    <row r="1814" customFormat="false" ht="18.7" hidden="false" customHeight="true" outlineLevel="0" collapsed="false">
      <c r="A1814" s="1" t="n">
        <v>1813</v>
      </c>
      <c r="B1814" s="7" t="str">
        <f aca="false">HYPERLINK("https://mncourtfraud.com/file/27-CR-21-4099.pdf","27-CR-21-4099")</f>
        <v>27-CR-21-4099</v>
      </c>
      <c r="C1814" s="1" t="n">
        <v>1</v>
      </c>
      <c r="D1814" s="2" t="s">
        <v>12</v>
      </c>
      <c r="E1814" s="8" t="n">
        <v>44468</v>
      </c>
      <c r="F1814" s="2" t="s">
        <v>24</v>
      </c>
      <c r="G1814" s="7" t="str">
        <f aca="false">HYPERLINK("https://mncourtfraud.com/file/MCRO_27-CR-21-4099_Order for Conditional Release_2021-09-29_20251126184435.pdf","MCRO_27-CR-21-4099_Order for Conditional Release_2021-09-29_20251126184435.pdf")</f>
        <v>MCRO_27-CR-21-4099_Order for Conditional Release_2021-09-29_20251126184435.pdf</v>
      </c>
      <c r="H1814" s="7" t="str">
        <f aca="false">HYPERLINK("https://mncourtfraud.com/file/425a64ecdc19aa0c86b927b2be8980d179c92ac4af2a49d3c3ad0aa278728c52.png","425a64ecdc19aa0c86b927b2be8980d179c92ac4af2a49d3c3ad0aa278728c52")</f>
        <v>425a64ecdc19aa0c86b927b2be8980d179c92ac4af2a49d3c3ad0aa278728c52</v>
      </c>
      <c r="I1814" s="1" t="s">
        <v>3406</v>
      </c>
      <c r="L1814" s="2" t="s">
        <v>3412</v>
      </c>
      <c r="M1814" s="2" t="n">
        <v>520</v>
      </c>
      <c r="S1814" s="2" t="n">
        <v>126</v>
      </c>
      <c r="T1814" s="2" t="n">
        <v>150</v>
      </c>
    </row>
    <row r="1815" customFormat="false" ht="18.7" hidden="false" customHeight="true" outlineLevel="0" collapsed="false">
      <c r="A1815" s="1" t="n">
        <v>1814</v>
      </c>
      <c r="B1815" s="7" t="str">
        <f aca="false">HYPERLINK("https://mncourtfraud.com/file/27-CR-21-4099.pdf","27-CR-21-4099")</f>
        <v>27-CR-21-4099</v>
      </c>
      <c r="C1815" s="1" t="n">
        <v>1</v>
      </c>
      <c r="D1815" s="2" t="s">
        <v>12</v>
      </c>
      <c r="E1815" s="8" t="n">
        <v>44468</v>
      </c>
      <c r="F1815" s="2" t="s">
        <v>24</v>
      </c>
      <c r="G1815" s="7" t="str">
        <f aca="false">HYPERLINK("https://mncourtfraud.com/file/MCRO_27-CR-21-4099_Order for Conditional Release_2021-09-29_20251126184435.pdf","MCRO_27-CR-21-4099_Order for Conditional Release_2021-09-29_20251126184435.pdf")</f>
        <v>MCRO_27-CR-21-4099_Order for Conditional Release_2021-09-29_20251126184435.pdf</v>
      </c>
      <c r="H1815" s="7" t="str">
        <f aca="false">HYPERLINK("https://mncourtfraud.com/file/4458a2b033c8132fd890227750c1df180ec4563b9dc0a6394b3691240425c9b3.cid","4458a2b033c8132fd890227750c1df180ec4563b9dc0a6394b3691240425c9b3")</f>
        <v>4458a2b033c8132fd890227750c1df180ec4563b9dc0a6394b3691240425c9b3</v>
      </c>
      <c r="I1815" s="1" t="s">
        <v>3431</v>
      </c>
      <c r="L1815" s="2" t="s">
        <v>3415</v>
      </c>
      <c r="M1815" s="2" t="n">
        <v>3580</v>
      </c>
    </row>
    <row r="1816" customFormat="false" ht="18.7" hidden="false" customHeight="true" outlineLevel="0" collapsed="false">
      <c r="A1816" s="1" t="n">
        <v>1815</v>
      </c>
      <c r="B1816" s="7" t="str">
        <f aca="false">HYPERLINK("https://mncourtfraud.com/file/27-CR-21-4099.pdf","27-CR-21-4099")</f>
        <v>27-CR-21-4099</v>
      </c>
      <c r="C1816" s="1" t="n">
        <v>1</v>
      </c>
      <c r="D1816" s="2" t="s">
        <v>12</v>
      </c>
      <c r="E1816" s="8" t="n">
        <v>44468</v>
      </c>
      <c r="F1816" s="2" t="s">
        <v>24</v>
      </c>
      <c r="G1816" s="7" t="str">
        <f aca="false">HYPERLINK("https://mncourtfraud.com/file/MCRO_27-CR-21-4099_Order for Conditional Release_2021-09-29_20251126184435.pdf","MCRO_27-CR-21-4099_Order for Conditional Release_2021-09-29_20251126184435.pdf")</f>
        <v>MCRO_27-CR-21-4099_Order for Conditional Release_2021-09-29_20251126184435.pdf</v>
      </c>
      <c r="H1816" s="7" t="str">
        <f aca="false">HYPERLINK("https://mncourtfraud.com/file/45a9f49ddf96d4a4dcf4561d2702204f448986045babf3fdd52fa18200557e31.png","45a9f49ddf96d4a4dcf4561d2702204f448986045babf3fdd52fa18200557e31")</f>
        <v>45a9f49ddf96d4a4dcf4561d2702204f448986045babf3fdd52fa18200557e31</v>
      </c>
      <c r="I1816" s="1" t="s">
        <v>3406</v>
      </c>
      <c r="L1816" s="2" t="s">
        <v>3412</v>
      </c>
      <c r="M1816" s="2" t="n">
        <v>97</v>
      </c>
      <c r="S1816" s="2" t="n">
        <v>3</v>
      </c>
      <c r="T1816" s="2" t="n">
        <v>4</v>
      </c>
    </row>
    <row r="1817" customFormat="false" ht="18.7" hidden="false" customHeight="true" outlineLevel="0" collapsed="false">
      <c r="A1817" s="1" t="n">
        <v>1816</v>
      </c>
      <c r="B1817" s="7" t="str">
        <f aca="false">HYPERLINK("https://mncourtfraud.com/file/27-CR-21-4099.pdf","27-CR-21-4099")</f>
        <v>27-CR-21-4099</v>
      </c>
      <c r="C1817" s="1" t="n">
        <v>1</v>
      </c>
      <c r="D1817" s="2" t="s">
        <v>12</v>
      </c>
      <c r="E1817" s="8" t="n">
        <v>44468</v>
      </c>
      <c r="F1817" s="2" t="s">
        <v>24</v>
      </c>
      <c r="G1817" s="7" t="str">
        <f aca="false">HYPERLINK("https://mncourtfraud.com/file/MCRO_27-CR-21-4099_Order for Conditional Release_2021-09-29_20251126184435.pdf","MCRO_27-CR-21-4099_Order for Conditional Release_2021-09-29_20251126184435.pdf")</f>
        <v>MCRO_27-CR-21-4099_Order for Conditional Release_2021-09-29_20251126184435.pdf</v>
      </c>
      <c r="H1817" s="7" t="str">
        <f aca="false">HYPERLINK("https://mncourtfraud.com/file/50457dc3e0bb6204f128f3222c76884dffaf132a86395902e3967a44a5d511ed.cid","50457dc3e0bb6204f128f3222c76884dffaf132a86395902e3967a44a5d511ed")</f>
        <v>50457dc3e0bb6204f128f3222c76884dffaf132a86395902e3967a44a5d511ed</v>
      </c>
      <c r="I1817" s="1" t="s">
        <v>3431</v>
      </c>
      <c r="L1817" s="2" t="s">
        <v>3415</v>
      </c>
      <c r="M1817" s="2" t="n">
        <v>2839</v>
      </c>
    </row>
    <row r="1818" customFormat="false" ht="18.7" hidden="false" customHeight="true" outlineLevel="0" collapsed="false">
      <c r="A1818" s="1" t="n">
        <v>1817</v>
      </c>
      <c r="B1818" s="7" t="str">
        <f aca="false">HYPERLINK("https://mncourtfraud.com/file/27-CR-21-4099.pdf","27-CR-21-4099")</f>
        <v>27-CR-21-4099</v>
      </c>
      <c r="C1818" s="1" t="n">
        <v>1</v>
      </c>
      <c r="D1818" s="2" t="s">
        <v>12</v>
      </c>
      <c r="E1818" s="8" t="n">
        <v>44468</v>
      </c>
      <c r="F1818" s="2" t="s">
        <v>24</v>
      </c>
      <c r="G1818" s="7" t="str">
        <f aca="false">HYPERLINK("https://mncourtfraud.com/file/MCRO_27-CR-21-4099_Order for Conditional Release_2021-09-29_20251126184435.pdf","MCRO_27-CR-21-4099_Order for Conditional Release_2021-09-29_20251126184435.pdf")</f>
        <v>MCRO_27-CR-21-4099_Order for Conditional Release_2021-09-29_20251126184435.pdf</v>
      </c>
      <c r="H1818" s="7" t="str">
        <f aca="false">HYPERLINK("https://mncourtfraud.com/file/52f2827f81e9a21813e5089396a7afa6accf4023998e877d3b9460283e0bb9a5.cid","52f2827f81e9a21813e5089396a7afa6accf4023998e877d3b9460283e0bb9a5")</f>
        <v>52f2827f81e9a21813e5089396a7afa6accf4023998e877d3b9460283e0bb9a5</v>
      </c>
      <c r="I1818" s="1" t="s">
        <v>3431</v>
      </c>
      <c r="L1818" s="2" t="s">
        <v>3415</v>
      </c>
      <c r="M1818" s="2" t="n">
        <v>381</v>
      </c>
    </row>
    <row r="1819" customFormat="false" ht="18.7" hidden="false" customHeight="true" outlineLevel="0" collapsed="false">
      <c r="A1819" s="1" t="n">
        <v>1818</v>
      </c>
      <c r="B1819" s="7" t="str">
        <f aca="false">HYPERLINK("https://mncourtfraud.com/file/27-CR-21-4099.pdf","27-CR-21-4099")</f>
        <v>27-CR-21-4099</v>
      </c>
      <c r="C1819" s="1" t="n">
        <v>1</v>
      </c>
      <c r="D1819" s="2" t="s">
        <v>12</v>
      </c>
      <c r="E1819" s="8" t="n">
        <v>44468</v>
      </c>
      <c r="F1819" s="2" t="s">
        <v>24</v>
      </c>
      <c r="G1819" s="7" t="str">
        <f aca="false">HYPERLINK("https://mncourtfraud.com/file/MCRO_27-CR-21-4099_Order for Conditional Release_2021-09-29_20251126184435.pdf","MCRO_27-CR-21-4099_Order for Conditional Release_2021-09-29_20251126184435.pdf")</f>
        <v>MCRO_27-CR-21-4099_Order for Conditional Release_2021-09-29_20251126184435.pdf</v>
      </c>
      <c r="H1819" s="7" t="str">
        <f aca="false">HYPERLINK("https://mncourtfraud.com/file/5bf127b8427f0831bc8864aa549643604be6b63d8ca96ff1ba7182ccec9bc2ad.cid","5bf127b8427f0831bc8864aa549643604be6b63d8ca96ff1ba7182ccec9bc2ad")</f>
        <v>5bf127b8427f0831bc8864aa549643604be6b63d8ca96ff1ba7182ccec9bc2ad</v>
      </c>
      <c r="I1819" s="1" t="s">
        <v>3431</v>
      </c>
      <c r="L1819" s="2" t="s">
        <v>3415</v>
      </c>
      <c r="M1819" s="2" t="n">
        <v>7990</v>
      </c>
    </row>
    <row r="1820" customFormat="false" ht="18.7" hidden="false" customHeight="true" outlineLevel="0" collapsed="false">
      <c r="A1820" s="1" t="n">
        <v>1819</v>
      </c>
      <c r="B1820" s="7" t="str">
        <f aca="false">HYPERLINK("https://mncourtfraud.com/file/27-CR-21-4099.pdf","27-CR-21-4099")</f>
        <v>27-CR-21-4099</v>
      </c>
      <c r="C1820" s="1" t="n">
        <v>1</v>
      </c>
      <c r="D1820" s="2" t="s">
        <v>12</v>
      </c>
      <c r="E1820" s="8" t="n">
        <v>44468</v>
      </c>
      <c r="F1820" s="2" t="s">
        <v>24</v>
      </c>
      <c r="G1820" s="7" t="str">
        <f aca="false">HYPERLINK("https://mncourtfraud.com/file/MCRO_27-CR-21-4099_Order for Conditional Release_2021-09-29_20251126184435.pdf","MCRO_27-CR-21-4099_Order for Conditional Release_2021-09-29_20251126184435.pdf")</f>
        <v>MCRO_27-CR-21-4099_Order for Conditional Release_2021-09-29_20251126184435.pdf</v>
      </c>
      <c r="H1820" s="7" t="str">
        <f aca="false">HYPERLINK("https://mncourtfraud.com/file/614121b29b009262816a5b70532c1a04ec73c5d83786c4500719e9e7d614a562.cid","614121b29b009262816a5b70532c1a04ec73c5d83786c4500719e9e7d614a562")</f>
        <v>614121b29b009262816a5b70532c1a04ec73c5d83786c4500719e9e7d614a562</v>
      </c>
      <c r="I1820" s="1" t="s">
        <v>3431</v>
      </c>
      <c r="L1820" s="2" t="s">
        <v>3415</v>
      </c>
      <c r="M1820" s="2" t="n">
        <v>5970</v>
      </c>
    </row>
    <row r="1821" customFormat="false" ht="18.7" hidden="false" customHeight="true" outlineLevel="0" collapsed="false">
      <c r="A1821" s="1" t="n">
        <v>1820</v>
      </c>
      <c r="B1821" s="7" t="str">
        <f aca="false">HYPERLINK("https://mncourtfraud.com/file/27-CR-21-4099.pdf","27-CR-21-4099")</f>
        <v>27-CR-21-4099</v>
      </c>
      <c r="C1821" s="1" t="n">
        <v>1</v>
      </c>
      <c r="D1821" s="2" t="s">
        <v>12</v>
      </c>
      <c r="E1821" s="8" t="n">
        <v>44468</v>
      </c>
      <c r="F1821" s="2" t="s">
        <v>24</v>
      </c>
      <c r="G1821" s="7" t="str">
        <f aca="false">HYPERLINK("https://mncourtfraud.com/file/MCRO_27-CR-21-4099_Order for Conditional Release_2021-09-29_20251126184435.pdf","MCRO_27-CR-21-4099_Order for Conditional Release_2021-09-29_20251126184435.pdf")</f>
        <v>MCRO_27-CR-21-4099_Order for Conditional Release_2021-09-29_20251126184435.pdf</v>
      </c>
      <c r="H1821" s="7" t="str">
        <f aca="false">HYPERLINK("https://mncourtfraud.com/file/7e14169e8fd6eddddd43bc2fc14557202f527587078dd29e867ad63570714e07.png","7e14169e8fd6eddddd43bc2fc14557202f527587078dd29e867ad63570714e07")</f>
        <v>7e14169e8fd6eddddd43bc2fc14557202f527587078dd29e867ad63570714e07</v>
      </c>
      <c r="I1821" s="1" t="s">
        <v>3406</v>
      </c>
      <c r="L1821" s="2" t="s">
        <v>3412</v>
      </c>
      <c r="M1821" s="2" t="n">
        <v>100</v>
      </c>
      <c r="S1821" s="2" t="n">
        <v>5</v>
      </c>
      <c r="T1821" s="2" t="n">
        <v>5</v>
      </c>
    </row>
    <row r="1822" customFormat="false" ht="18.7" hidden="false" customHeight="true" outlineLevel="0" collapsed="false">
      <c r="A1822" s="1" t="n">
        <v>1821</v>
      </c>
      <c r="B1822" s="7" t="str">
        <f aca="false">HYPERLINK("https://mncourtfraud.com/file/27-CR-21-4099.pdf","27-CR-21-4099")</f>
        <v>27-CR-21-4099</v>
      </c>
      <c r="C1822" s="1" t="n">
        <v>1</v>
      </c>
      <c r="D1822" s="2" t="s">
        <v>12</v>
      </c>
      <c r="E1822" s="8" t="n">
        <v>44468</v>
      </c>
      <c r="F1822" s="2" t="s">
        <v>24</v>
      </c>
      <c r="G1822" s="7" t="str">
        <f aca="false">HYPERLINK("https://mncourtfraud.com/file/MCRO_27-CR-21-4099_Order for Conditional Release_2021-09-29_20251126184435.pdf","MCRO_27-CR-21-4099_Order for Conditional Release_2021-09-29_20251126184435.pdf")</f>
        <v>MCRO_27-CR-21-4099_Order for Conditional Release_2021-09-29_20251126184435.pdf</v>
      </c>
      <c r="H1822" s="7" t="str">
        <f aca="false">HYPERLINK("https://mncourtfraud.com/file/8198df5372238cac138bb64883627cf42bfc08ac483ff14b35858ae098fa3e09.cid","8198df5372238cac138bb64883627cf42bfc08ac483ff14b35858ae098fa3e09")</f>
        <v>8198df5372238cac138bb64883627cf42bfc08ac483ff14b35858ae098fa3e09</v>
      </c>
      <c r="I1822" s="1" t="s">
        <v>3431</v>
      </c>
      <c r="L1822" s="2" t="s">
        <v>3415</v>
      </c>
      <c r="M1822" s="2" t="n">
        <v>3966</v>
      </c>
    </row>
    <row r="1823" customFormat="false" ht="18.7" hidden="false" customHeight="true" outlineLevel="0" collapsed="false">
      <c r="A1823" s="1" t="n">
        <v>1822</v>
      </c>
      <c r="B1823" s="7" t="str">
        <f aca="false">HYPERLINK("https://mncourtfraud.com/file/27-CR-21-4099.pdf","27-CR-21-4099")</f>
        <v>27-CR-21-4099</v>
      </c>
      <c r="C1823" s="1" t="n">
        <v>1</v>
      </c>
      <c r="D1823" s="2" t="s">
        <v>12</v>
      </c>
      <c r="E1823" s="8" t="n">
        <v>44468</v>
      </c>
      <c r="F1823" s="2" t="s">
        <v>24</v>
      </c>
      <c r="G1823" s="7" t="str">
        <f aca="false">HYPERLINK("https://mncourtfraud.com/file/MCRO_27-CR-21-4099_Order for Conditional Release_2021-09-29_20251126184435.pdf","MCRO_27-CR-21-4099_Order for Conditional Release_2021-09-29_20251126184435.pdf")</f>
        <v>MCRO_27-CR-21-4099_Order for Conditional Release_2021-09-29_20251126184435.pdf</v>
      </c>
      <c r="H1823" s="7" t="str">
        <f aca="false">HYPERLINK("https://mncourtfraud.com/file/8793bfb8eeebb59de729b22461b75a010eda532097214bf8285117449fae5b3c.png","8793bfb8eeebb59de729b22461b75a010eda532097214bf8285117449fae5b3c")</f>
        <v>8793bfb8eeebb59de729b22461b75a010eda532097214bf8285117449fae5b3c</v>
      </c>
      <c r="I1823" s="1" t="s">
        <v>3406</v>
      </c>
      <c r="L1823" s="2" t="s">
        <v>3412</v>
      </c>
      <c r="M1823" s="2" t="n">
        <v>104</v>
      </c>
      <c r="S1823" s="2" t="n">
        <v>6</v>
      </c>
      <c r="T1823" s="2" t="n">
        <v>4</v>
      </c>
    </row>
    <row r="1824" customFormat="false" ht="18.7" hidden="false" customHeight="true" outlineLevel="0" collapsed="false">
      <c r="A1824" s="1" t="n">
        <v>1823</v>
      </c>
      <c r="B1824" s="7" t="str">
        <f aca="false">HYPERLINK("https://mncourtfraud.com/file/27-CR-21-4099.pdf","27-CR-21-4099")</f>
        <v>27-CR-21-4099</v>
      </c>
      <c r="C1824" s="1" t="n">
        <v>1</v>
      </c>
      <c r="D1824" s="2" t="s">
        <v>12</v>
      </c>
      <c r="E1824" s="8" t="n">
        <v>44468</v>
      </c>
      <c r="F1824" s="2" t="s">
        <v>24</v>
      </c>
      <c r="G1824" s="7" t="str">
        <f aca="false">HYPERLINK("https://mncourtfraud.com/file/MCRO_27-CR-21-4099_Order for Conditional Release_2021-09-29_20251126184435.pdf","MCRO_27-CR-21-4099_Order for Conditional Release_2021-09-29_20251126184435.pdf")</f>
        <v>MCRO_27-CR-21-4099_Order for Conditional Release_2021-09-29_20251126184435.pdf</v>
      </c>
      <c r="H1824" s="7" t="str">
        <f aca="false">HYPERLINK("https://mncourtfraud.com/file/8c2e00c7a4e8974eff73eba397a59d5f5f25d249433535298973d70a9f79dec8.png","8c2e00c7a4e8974eff73eba397a59d5f5f25d249433535298973d70a9f79dec8")</f>
        <v>8c2e00c7a4e8974eff73eba397a59d5f5f25d249433535298973d70a9f79dec8</v>
      </c>
      <c r="I1824" s="1" t="s">
        <v>3406</v>
      </c>
      <c r="L1824" s="2" t="s">
        <v>3412</v>
      </c>
      <c r="M1824" s="2" t="n">
        <v>810</v>
      </c>
      <c r="S1824" s="2" t="n">
        <v>519</v>
      </c>
      <c r="T1824" s="2" t="n">
        <v>231</v>
      </c>
    </row>
    <row r="1825" customFormat="false" ht="18.7" hidden="false" customHeight="true" outlineLevel="0" collapsed="false">
      <c r="A1825" s="1" t="n">
        <v>1824</v>
      </c>
      <c r="B1825" s="7" t="str">
        <f aca="false">HYPERLINK("https://mncourtfraud.com/file/27-CR-21-4099.pdf","27-CR-21-4099")</f>
        <v>27-CR-21-4099</v>
      </c>
      <c r="C1825" s="1" t="n">
        <v>1</v>
      </c>
      <c r="D1825" s="2" t="s">
        <v>12</v>
      </c>
      <c r="E1825" s="8" t="n">
        <v>44468</v>
      </c>
      <c r="F1825" s="2" t="s">
        <v>24</v>
      </c>
      <c r="G1825" s="7" t="str">
        <f aca="false">HYPERLINK("https://mncourtfraud.com/file/MCRO_27-CR-21-4099_Order for Conditional Release_2021-09-29_20251126184435.pdf","MCRO_27-CR-21-4099_Order for Conditional Release_2021-09-29_20251126184435.pdf")</f>
        <v>MCRO_27-CR-21-4099_Order for Conditional Release_2021-09-29_20251126184435.pdf</v>
      </c>
      <c r="H1825" s="7" t="str">
        <f aca="false">HYPERLINK("https://mncourtfraud.com/file/a431b1b5f48186b4c98851d84352c1573e22c0e9b97117edbc0ad8603da3c307.png","a431b1b5f48186b4c98851d84352c1573e22c0e9b97117edbc0ad8603da3c307")</f>
        <v>a431b1b5f48186b4c98851d84352c1573e22c0e9b97117edbc0ad8603da3c307</v>
      </c>
      <c r="I1825" s="1" t="s">
        <v>3406</v>
      </c>
      <c r="L1825" s="2" t="s">
        <v>3412</v>
      </c>
      <c r="M1825" s="2" t="n">
        <v>157</v>
      </c>
      <c r="S1825" s="2" t="n">
        <v>7</v>
      </c>
      <c r="T1825" s="2" t="n">
        <v>284</v>
      </c>
    </row>
    <row r="1826" customFormat="false" ht="18.7" hidden="false" customHeight="true" outlineLevel="0" collapsed="false">
      <c r="A1826" s="1" t="n">
        <v>1825</v>
      </c>
      <c r="B1826" s="7" t="str">
        <f aca="false">HYPERLINK("https://mncourtfraud.com/file/27-CR-21-4099.pdf","27-CR-21-4099")</f>
        <v>27-CR-21-4099</v>
      </c>
      <c r="C1826" s="1" t="n">
        <v>1</v>
      </c>
      <c r="D1826" s="2" t="s">
        <v>12</v>
      </c>
      <c r="E1826" s="8" t="n">
        <v>44468</v>
      </c>
      <c r="F1826" s="2" t="s">
        <v>24</v>
      </c>
      <c r="G1826" s="7" t="str">
        <f aca="false">HYPERLINK("https://mncourtfraud.com/file/MCRO_27-CR-21-4099_Order for Conditional Release_2021-09-29_20251126184435.pdf","MCRO_27-CR-21-4099_Order for Conditional Release_2021-09-29_20251126184435.pdf")</f>
        <v>MCRO_27-CR-21-4099_Order for Conditional Release_2021-09-29_20251126184435.pdf</v>
      </c>
      <c r="H1826" s="7" t="str">
        <f aca="false">HYPERLINK("https://mncourtfraud.com/file/ac369f378e3fbed88e7c1c71d7e27d3af59d79c8d2f8338a6182f69d0e17a2ef.cid","ac369f378e3fbed88e7c1c71d7e27d3af59d79c8d2f8338a6182f69d0e17a2ef")</f>
        <v>ac369f378e3fbed88e7c1c71d7e27d3af59d79c8d2f8338a6182f69d0e17a2ef</v>
      </c>
      <c r="I1826" s="1" t="s">
        <v>3431</v>
      </c>
      <c r="L1826" s="2" t="s">
        <v>3415</v>
      </c>
      <c r="M1826" s="2" t="n">
        <v>14113</v>
      </c>
    </row>
    <row r="1827" customFormat="false" ht="18.7" hidden="false" customHeight="true" outlineLevel="0" collapsed="false">
      <c r="A1827" s="1" t="n">
        <v>1826</v>
      </c>
      <c r="B1827" s="7" t="str">
        <f aca="false">HYPERLINK("https://mncourtfraud.com/file/27-CR-21-4099.pdf","27-CR-21-4099")</f>
        <v>27-CR-21-4099</v>
      </c>
      <c r="C1827" s="1" t="n">
        <v>1</v>
      </c>
      <c r="D1827" s="2" t="s">
        <v>12</v>
      </c>
      <c r="E1827" s="8" t="n">
        <v>44468</v>
      </c>
      <c r="F1827" s="2" t="s">
        <v>24</v>
      </c>
      <c r="G1827" s="7" t="str">
        <f aca="false">HYPERLINK("https://mncourtfraud.com/file/MCRO_27-CR-21-4099_Order for Conditional Release_2021-09-29_20251126184435.pdf","MCRO_27-CR-21-4099_Order for Conditional Release_2021-09-29_20251126184435.pdf")</f>
        <v>MCRO_27-CR-21-4099_Order for Conditional Release_2021-09-29_20251126184435.pdf</v>
      </c>
      <c r="H1827" s="7" t="str">
        <f aca="false">HYPERLINK("https://mncourtfraud.com/file/b1c38e97038ce898a189d377f1fa9f4b673ae497ef07cd779e6d54764f350895.cid","b1c38e97038ce898a189d377f1fa9f4b673ae497ef07cd779e6d54764f350895")</f>
        <v>b1c38e97038ce898a189d377f1fa9f4b673ae497ef07cd779e6d54764f350895</v>
      </c>
      <c r="I1827" s="1" t="s">
        <v>3431</v>
      </c>
      <c r="L1827" s="2" t="s">
        <v>3415</v>
      </c>
      <c r="M1827" s="2" t="n">
        <v>3783</v>
      </c>
    </row>
    <row r="1828" customFormat="false" ht="18.7" hidden="false" customHeight="true" outlineLevel="0" collapsed="false">
      <c r="A1828" s="1" t="n">
        <v>1827</v>
      </c>
      <c r="B1828" s="7" t="str">
        <f aca="false">HYPERLINK("https://mncourtfraud.com/file/27-CR-21-4099.pdf","27-CR-21-4099")</f>
        <v>27-CR-21-4099</v>
      </c>
      <c r="C1828" s="1" t="n">
        <v>1</v>
      </c>
      <c r="D1828" s="2" t="s">
        <v>12</v>
      </c>
      <c r="E1828" s="8" t="n">
        <v>44468</v>
      </c>
      <c r="F1828" s="2" t="s">
        <v>24</v>
      </c>
      <c r="G1828" s="7" t="str">
        <f aca="false">HYPERLINK("https://mncourtfraud.com/file/MCRO_27-CR-21-4099_Order for Conditional Release_2021-09-29_20251126184435.pdf","MCRO_27-CR-21-4099_Order for Conditional Release_2021-09-29_20251126184435.pdf")</f>
        <v>MCRO_27-CR-21-4099_Order for Conditional Release_2021-09-29_20251126184435.pdf</v>
      </c>
      <c r="H1828" s="7" t="str">
        <f aca="false">HYPERLINK("https://mncourtfraud.com/file/ba989ca65f54d43887ebbc930462a840e60360223cb0c16c223e7e9ed46afecb.cid","ba989ca65f54d43887ebbc930462a840e60360223cb0c16c223e7e9ed46afecb")</f>
        <v>ba989ca65f54d43887ebbc930462a840e60360223cb0c16c223e7e9ed46afecb</v>
      </c>
      <c r="I1828" s="1" t="s">
        <v>3431</v>
      </c>
      <c r="L1828" s="2" t="s">
        <v>3415</v>
      </c>
      <c r="M1828" s="2" t="n">
        <v>444</v>
      </c>
    </row>
    <row r="1829" customFormat="false" ht="18.7" hidden="false" customHeight="true" outlineLevel="0" collapsed="false">
      <c r="A1829" s="1" t="n">
        <v>1828</v>
      </c>
      <c r="B1829" s="7" t="str">
        <f aca="false">HYPERLINK("https://mncourtfraud.com/file/27-CR-21-4099.pdf","27-CR-21-4099")</f>
        <v>27-CR-21-4099</v>
      </c>
      <c r="C1829" s="1" t="n">
        <v>1</v>
      </c>
      <c r="D1829" s="2" t="s">
        <v>12</v>
      </c>
      <c r="E1829" s="8" t="n">
        <v>44468</v>
      </c>
      <c r="F1829" s="2" t="s">
        <v>24</v>
      </c>
      <c r="G1829" s="7" t="str">
        <f aca="false">HYPERLINK("https://mncourtfraud.com/file/MCRO_27-CR-21-4099_Order for Conditional Release_2021-09-29_20251126184435.pdf","MCRO_27-CR-21-4099_Order for Conditional Release_2021-09-29_20251126184435.pdf")</f>
        <v>MCRO_27-CR-21-4099_Order for Conditional Release_2021-09-29_20251126184435.pdf</v>
      </c>
      <c r="H1829" s="7" t="str">
        <f aca="false">HYPERLINK("https://mncourtfraud.com/file/db9c8118091788c7a0a30157e363f5dd281f7a35fb525fad58599ee6371079a5.cid","db9c8118091788c7a0a30157e363f5dd281f7a35fb525fad58599ee6371079a5")</f>
        <v>db9c8118091788c7a0a30157e363f5dd281f7a35fb525fad58599ee6371079a5</v>
      </c>
      <c r="I1829" s="1" t="s">
        <v>3431</v>
      </c>
      <c r="L1829" s="2" t="s">
        <v>3415</v>
      </c>
      <c r="M1829" s="2" t="n">
        <v>848</v>
      </c>
    </row>
    <row r="1830" customFormat="false" ht="18.7" hidden="false" customHeight="true" outlineLevel="0" collapsed="false">
      <c r="A1830" s="1" t="n">
        <v>1829</v>
      </c>
      <c r="B1830" s="7" t="str">
        <f aca="false">HYPERLINK("https://mncourtfraud.com/file/27-CR-21-4099.pdf","27-CR-21-4099")</f>
        <v>27-CR-21-4099</v>
      </c>
      <c r="C1830" s="1" t="n">
        <v>1</v>
      </c>
      <c r="D1830" s="2" t="s">
        <v>12</v>
      </c>
      <c r="E1830" s="8" t="n">
        <v>44468</v>
      </c>
      <c r="F1830" s="2" t="s">
        <v>24</v>
      </c>
      <c r="G1830" s="7" t="str">
        <f aca="false">HYPERLINK("https://mncourtfraud.com/file/MCRO_27-CR-21-4099_Order for Conditional Release_2021-09-29_20251126184435.pdf","MCRO_27-CR-21-4099_Order for Conditional Release_2021-09-29_20251126184435.pdf")</f>
        <v>MCRO_27-CR-21-4099_Order for Conditional Release_2021-09-29_20251126184435.pdf</v>
      </c>
      <c r="H1830" s="7" t="str">
        <f aca="false">HYPERLINK("https://mncourtfraud.com/file/e04b4db843c4bf02679b586bdc06323c2777cf59091b22718210a1dd2a0badc7.png","e04b4db843c4bf02679b586bdc06323c2777cf59091b22718210a1dd2a0badc7")</f>
        <v>e04b4db843c4bf02679b586bdc06323c2777cf59091b22718210a1dd2a0badc7</v>
      </c>
      <c r="I1830" s="1" t="s">
        <v>3406</v>
      </c>
      <c r="L1830" s="2" t="s">
        <v>3412</v>
      </c>
      <c r="M1830" s="2" t="n">
        <v>199</v>
      </c>
      <c r="S1830" s="2" t="n">
        <v>7</v>
      </c>
      <c r="T1830" s="2" t="n">
        <v>347</v>
      </c>
    </row>
    <row r="1831" customFormat="false" ht="18.7" hidden="false" customHeight="true" outlineLevel="0" collapsed="false">
      <c r="A1831" s="1" t="n">
        <v>1830</v>
      </c>
      <c r="B1831" s="7" t="str">
        <f aca="false">HYPERLINK("https://mncourtfraud.com/file/27-CR-21-4099.pdf","27-CR-21-4099")</f>
        <v>27-CR-21-4099</v>
      </c>
      <c r="C1831" s="1" t="n">
        <v>1</v>
      </c>
      <c r="D1831" s="2" t="s">
        <v>12</v>
      </c>
      <c r="E1831" s="8" t="n">
        <v>44468</v>
      </c>
      <c r="F1831" s="2" t="s">
        <v>24</v>
      </c>
      <c r="G1831" s="7" t="str">
        <f aca="false">HYPERLINK("https://mncourtfraud.com/file/MCRO_27-CR-21-4099_Order for Conditional Release_2021-09-29_20251126184435.pdf","MCRO_27-CR-21-4099_Order for Conditional Release_2021-09-29_20251126184435.pdf")</f>
        <v>MCRO_27-CR-21-4099_Order for Conditional Release_2021-09-29_20251126184435.pdf</v>
      </c>
      <c r="H1831" s="7" t="str">
        <f aca="false">HYPERLINK("https://mncourtfraud.com/file/edbae421bba147262ba26ef60780ca6dfd5bedce23be39a1f883da7c23dae35f.cid","edbae421bba147262ba26ef60780ca6dfd5bedce23be39a1f883da7c23dae35f")</f>
        <v>edbae421bba147262ba26ef60780ca6dfd5bedce23be39a1f883da7c23dae35f</v>
      </c>
      <c r="I1831" s="1" t="s">
        <v>3431</v>
      </c>
      <c r="L1831" s="2" t="s">
        <v>3415</v>
      </c>
      <c r="M1831" s="2" t="n">
        <v>21348</v>
      </c>
    </row>
    <row r="1832" customFormat="false" ht="18.7" hidden="false" customHeight="true" outlineLevel="0" collapsed="false">
      <c r="A1832" s="1" t="n">
        <v>1831</v>
      </c>
      <c r="B1832" s="7" t="str">
        <f aca="false">HYPERLINK("https://mncourtfraud.com/file/27-CR-21-4099.pdf","27-CR-21-4099")</f>
        <v>27-CR-21-4099</v>
      </c>
      <c r="C1832" s="1" t="n">
        <v>1</v>
      </c>
      <c r="D1832" s="2" t="s">
        <v>12</v>
      </c>
      <c r="E1832" s="8" t="n">
        <v>44468</v>
      </c>
      <c r="F1832" s="2" t="s">
        <v>24</v>
      </c>
      <c r="G1832" s="7" t="str">
        <f aca="false">HYPERLINK("https://mncourtfraud.com/file/MCRO_27-CR-21-4099_Order for Conditional Release_2021-09-29_20251126184435.pdf","MCRO_27-CR-21-4099_Order for Conditional Release_2021-09-29_20251126184435.pdf")</f>
        <v>MCRO_27-CR-21-4099_Order for Conditional Release_2021-09-29_20251126184435.pdf</v>
      </c>
      <c r="H1832" s="7" t="str">
        <f aca="false">HYPERLINK("https://mncourtfraud.com/file/efd944d517e9b552a77a910c5203f04540cf1249b7304a04f4907f542ec53c17.cid","efd944d517e9b552a77a910c5203f04540cf1249b7304a04f4907f542ec53c17")</f>
        <v>efd944d517e9b552a77a910c5203f04540cf1249b7304a04f4907f542ec53c17</v>
      </c>
      <c r="I1832" s="1" t="s">
        <v>3431</v>
      </c>
      <c r="L1832" s="2" t="s">
        <v>3415</v>
      </c>
      <c r="M1832" s="2" t="n">
        <v>5521</v>
      </c>
    </row>
    <row r="1833" customFormat="false" ht="18.7" hidden="false" customHeight="true" outlineLevel="0" collapsed="false">
      <c r="A1833" s="1" t="n">
        <v>1832</v>
      </c>
      <c r="B1833" s="7" t="str">
        <f aca="false">HYPERLINK("https://mncourtfraud.com/file/27-CR-21-4099.pdf","27-CR-21-4099")</f>
        <v>27-CR-21-4099</v>
      </c>
      <c r="C1833" s="1" t="n">
        <v>1</v>
      </c>
      <c r="D1833" s="2" t="s">
        <v>12</v>
      </c>
      <c r="E1833" s="8" t="n">
        <v>44468</v>
      </c>
      <c r="F1833" s="2" t="s">
        <v>24</v>
      </c>
      <c r="G1833" s="7" t="str">
        <f aca="false">HYPERLINK("https://mncourtfraud.com/file/MCRO_27-CR-21-4099_Order for Conditional Release_2021-09-29_20251126184435.pdf","MCRO_27-CR-21-4099_Order for Conditional Release_2021-09-29_20251126184435.pdf")</f>
        <v>MCRO_27-CR-21-4099_Order for Conditional Release_2021-09-29_20251126184435.pdf</v>
      </c>
      <c r="H1833" s="7" t="str">
        <f aca="false">HYPERLINK("https://mncourtfraud.com/file/fe1965a60cba51fe144ad80b55474d56106539ec2835ed039f2e68d2691deed0.cid","fe1965a60cba51fe144ad80b55474d56106539ec2835ed039f2e68d2691deed0")</f>
        <v>fe1965a60cba51fe144ad80b55474d56106539ec2835ed039f2e68d2691deed0</v>
      </c>
      <c r="I1833" s="1" t="s">
        <v>3431</v>
      </c>
      <c r="L1833" s="2" t="s">
        <v>3415</v>
      </c>
      <c r="M1833" s="2" t="n">
        <v>4323</v>
      </c>
    </row>
    <row r="1834" customFormat="false" ht="18.7" hidden="false" customHeight="true" outlineLevel="0" collapsed="false">
      <c r="A1834" s="1" t="n">
        <v>1833</v>
      </c>
      <c r="B1834" s="7" t="str">
        <f aca="false">HYPERLINK("https://mncourtfraud.com/file/27-CR-21-4099.pdf","27-CR-21-4099")</f>
        <v>27-CR-21-4099</v>
      </c>
      <c r="C1834" s="1" t="n">
        <v>1</v>
      </c>
      <c r="D1834" s="2" t="s">
        <v>12</v>
      </c>
      <c r="E1834" s="8" t="n">
        <v>44468</v>
      </c>
      <c r="F1834" s="2" t="s">
        <v>24</v>
      </c>
      <c r="G1834" s="7" t="str">
        <f aca="false">HYPERLINK("https://mncourtfraud.com/file/MCRO_27-CR-21-4099_Order for Conditional Release_2021-09-29_20251126184435.pdf","MCRO_27-CR-21-4099_Order for Conditional Release_2021-09-29_20251126184435.pdf")</f>
        <v>MCRO_27-CR-21-4099_Order for Conditional Release_2021-09-29_20251126184435.pdf</v>
      </c>
      <c r="H1834" s="7" t="str">
        <f aca="false">HYPERLINK("https://mncourtfraud.com/file/ff78f82f1ff3b9436a8d65df586b0bef19dd8fcf1b27941145ca7e723b37620b.cid","ff78f82f1ff3b9436a8d65df586b0bef19dd8fcf1b27941145ca7e723b37620b")</f>
        <v>ff78f82f1ff3b9436a8d65df586b0bef19dd8fcf1b27941145ca7e723b37620b</v>
      </c>
      <c r="I1834" s="1" t="s">
        <v>3431</v>
      </c>
      <c r="L1834" s="2" t="s">
        <v>3415</v>
      </c>
      <c r="M1834" s="2" t="n">
        <v>339</v>
      </c>
    </row>
    <row r="1835" customFormat="false" ht="18.7" hidden="false" customHeight="true" outlineLevel="0" collapsed="false">
      <c r="A1835" s="1" t="n">
        <v>1834</v>
      </c>
      <c r="B1835" s="7" t="str">
        <f aca="false">HYPERLINK("https://mncourtfraud.com/file/27-CR-21-4099.pdf","27-CR-21-4099")</f>
        <v>27-CR-21-4099</v>
      </c>
      <c r="C1835" s="1" t="n">
        <v>1</v>
      </c>
      <c r="D1835" s="2" t="s">
        <v>12</v>
      </c>
      <c r="E1835" s="8" t="n">
        <v>44543</v>
      </c>
      <c r="F1835" s="2" t="s">
        <v>15</v>
      </c>
      <c r="G1835" s="7" t="str">
        <f aca="false">HYPERLINK("https://mncourtfraud.com/file/MCRO_27-CR-21-4099_Order-Evaluation for Competency to Proceed (Rule 20.01)_2021-12-13_20251126184501.pdf","MCRO_27-CR-21-4099_Order-Evaluation for Competency to Proceed (Rule 20.01)_2021-12-13_20251126184501.pdf")</f>
        <v>MCRO_27-CR-21-4099_Order-Evaluation for Competency to Proceed (Rule 20.01)_2021-12-13_20251126184501.pdf</v>
      </c>
      <c r="H1835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1835" s="1" t="s">
        <v>3413</v>
      </c>
      <c r="J1835" s="2" t="s">
        <v>3423</v>
      </c>
      <c r="K1835" s="2" t="s">
        <v>3423</v>
      </c>
      <c r="L1835" s="2" t="s">
        <v>3415</v>
      </c>
      <c r="M1835" s="2" t="n">
        <v>11088</v>
      </c>
    </row>
    <row r="1836" customFormat="false" ht="18.7" hidden="false" customHeight="true" outlineLevel="0" collapsed="false">
      <c r="A1836" s="1" t="n">
        <v>1835</v>
      </c>
      <c r="B1836" s="7" t="str">
        <f aca="false">HYPERLINK("https://mncourtfraud.com/file/27-CR-21-4099.pdf","27-CR-21-4099")</f>
        <v>27-CR-21-4099</v>
      </c>
      <c r="C1836" s="1" t="n">
        <v>1</v>
      </c>
      <c r="D1836" s="2" t="s">
        <v>12</v>
      </c>
      <c r="E1836" s="8" t="n">
        <v>44543</v>
      </c>
      <c r="F1836" s="2" t="s">
        <v>15</v>
      </c>
      <c r="G1836" s="7" t="str">
        <f aca="false">HYPERLINK("https://mncourtfraud.com/file/MCRO_27-CR-21-4099_Order-Evaluation for Competency to Proceed (Rule 20.01)_2021-12-13_20251126184501.pdf","MCRO_27-CR-21-4099_Order-Evaluation for Competency to Proceed (Rule 20.01)_2021-12-13_20251126184501.pdf")</f>
        <v>MCRO_27-CR-21-4099_Order-Evaluation for Competency to Proceed (Rule 20.01)_2021-12-13_20251126184501.pdf</v>
      </c>
      <c r="H1836" s="7" t="str">
        <f aca="false">HYPERLINK("https://mncourtfraud.com/file/22be6394304ce5b678311fefb19c39c8cb0a49d25f23150f1efe21ad14b99c7b.ttf","22be6394304ce5b678311fefb19c39c8cb0a49d25f23150f1efe21ad14b99c7b")</f>
        <v>22be6394304ce5b678311fefb19c39c8cb0a49d25f23150f1efe21ad14b99c7b</v>
      </c>
      <c r="I1836" s="1" t="s">
        <v>3413</v>
      </c>
      <c r="J1836" s="2" t="s">
        <v>3421</v>
      </c>
      <c r="K1836" s="2" t="s">
        <v>3421</v>
      </c>
      <c r="L1836" s="2" t="s">
        <v>3415</v>
      </c>
      <c r="M1836" s="2" t="n">
        <v>117192</v>
      </c>
    </row>
    <row r="1837" customFormat="false" ht="18.7" hidden="false" customHeight="true" outlineLevel="0" collapsed="false">
      <c r="A1837" s="1" t="n">
        <v>1836</v>
      </c>
      <c r="B1837" s="7" t="str">
        <f aca="false">HYPERLINK("https://mncourtfraud.com/file/27-CR-21-4099.pdf","27-CR-21-4099")</f>
        <v>27-CR-21-4099</v>
      </c>
      <c r="C1837" s="1" t="n">
        <v>1</v>
      </c>
      <c r="D1837" s="2" t="s">
        <v>12</v>
      </c>
      <c r="E1837" s="8" t="n">
        <v>44543</v>
      </c>
      <c r="F1837" s="2" t="s">
        <v>15</v>
      </c>
      <c r="G1837" s="7" t="str">
        <f aca="false">HYPERLINK("https://mncourtfraud.com/file/MCRO_27-CR-21-4099_Order-Evaluation for Competency to Proceed (Rule 20.01)_2021-12-13_20251126184501.pdf","MCRO_27-CR-21-4099_Order-Evaluation for Competency to Proceed (Rule 20.01)_2021-12-13_20251126184501.pdf")</f>
        <v>MCRO_27-CR-21-4099_Order-Evaluation for Competency to Proceed (Rule 20.01)_2021-12-13_20251126184501.pdf</v>
      </c>
      <c r="H1837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1837" s="1" t="s">
        <v>3413</v>
      </c>
      <c r="J1837" s="2" t="s">
        <v>3424</v>
      </c>
      <c r="K1837" s="2" t="s">
        <v>3424</v>
      </c>
      <c r="L1837" s="2" t="s">
        <v>3415</v>
      </c>
      <c r="M1837" s="2" t="n">
        <v>14252</v>
      </c>
    </row>
    <row r="1838" customFormat="false" ht="18.7" hidden="false" customHeight="true" outlineLevel="0" collapsed="false">
      <c r="A1838" s="1" t="n">
        <v>1837</v>
      </c>
      <c r="B1838" s="7" t="str">
        <f aca="false">HYPERLINK("https://mncourtfraud.com/file/27-CR-21-4099.pdf","27-CR-21-4099")</f>
        <v>27-CR-21-4099</v>
      </c>
      <c r="C1838" s="1" t="n">
        <v>1</v>
      </c>
      <c r="D1838" s="2" t="s">
        <v>12</v>
      </c>
      <c r="E1838" s="8" t="n">
        <v>44543</v>
      </c>
      <c r="F1838" s="2" t="s">
        <v>15</v>
      </c>
      <c r="G1838" s="7" t="str">
        <f aca="false">HYPERLINK("https://mncourtfraud.com/file/MCRO_27-CR-21-4099_Order-Evaluation for Competency to Proceed (Rule 20.01)_2021-12-13_20251126184501.pdf","MCRO_27-CR-21-4099_Order-Evaluation for Competency to Proceed (Rule 20.01)_2021-12-13_20251126184501.pdf")</f>
        <v>MCRO_27-CR-21-4099_Order-Evaluation for Competency to Proceed (Rule 20.01)_2021-12-13_20251126184501.pdf</v>
      </c>
      <c r="H1838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838" s="1" t="s">
        <v>3406</v>
      </c>
      <c r="K1838" s="2" t="s">
        <v>3420</v>
      </c>
      <c r="L1838" s="2" t="s">
        <v>3408</v>
      </c>
      <c r="M1838" s="2" t="n">
        <v>7306</v>
      </c>
      <c r="O1838" s="2" t="s">
        <v>3409</v>
      </c>
      <c r="P1838" s="2" t="s">
        <v>3410</v>
      </c>
      <c r="S1838" s="2" t="n">
        <v>319</v>
      </c>
      <c r="T1838" s="2" t="n">
        <v>105</v>
      </c>
    </row>
    <row r="1839" customFormat="false" ht="18.7" hidden="false" customHeight="true" outlineLevel="0" collapsed="false">
      <c r="A1839" s="1" t="n">
        <v>1838</v>
      </c>
      <c r="B1839" s="7" t="str">
        <f aca="false">HYPERLINK("https://mncourtfraud.com/file/27-CR-21-4099.pdf","27-CR-21-4099")</f>
        <v>27-CR-21-4099</v>
      </c>
      <c r="C1839" s="1" t="n">
        <v>1</v>
      </c>
      <c r="D1839" s="2" t="s">
        <v>12</v>
      </c>
      <c r="E1839" s="8" t="n">
        <v>44543</v>
      </c>
      <c r="F1839" s="2" t="s">
        <v>15</v>
      </c>
      <c r="G1839" s="7" t="str">
        <f aca="false">HYPERLINK("https://mncourtfraud.com/file/MCRO_27-CR-21-4099_Order-Evaluation for Competency to Proceed (Rule 20.01)_2021-12-13_20251126184501.pdf","MCRO_27-CR-21-4099_Order-Evaluation for Competency to Proceed (Rule 20.01)_2021-12-13_20251126184501.pdf")</f>
        <v>MCRO_27-CR-21-4099_Order-Evaluation for Competency to Proceed (Rule 20.01)_2021-12-13_20251126184501.pdf</v>
      </c>
      <c r="H1839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839" s="1" t="s">
        <v>3406</v>
      </c>
      <c r="K1839" s="2" t="s">
        <v>3425</v>
      </c>
      <c r="L1839" s="2" t="s">
        <v>3408</v>
      </c>
      <c r="M1839" s="2" t="n">
        <v>21225</v>
      </c>
      <c r="O1839" s="2" t="s">
        <v>3409</v>
      </c>
      <c r="P1839" s="2" t="s">
        <v>3410</v>
      </c>
      <c r="S1839" s="2" t="n">
        <v>319</v>
      </c>
      <c r="T1839" s="2" t="n">
        <v>105</v>
      </c>
    </row>
    <row r="1840" customFormat="false" ht="18.7" hidden="false" customHeight="true" outlineLevel="0" collapsed="false">
      <c r="A1840" s="1" t="n">
        <v>1839</v>
      </c>
      <c r="B1840" s="7" t="str">
        <f aca="false">HYPERLINK("https://mncourtfraud.com/file/27-CR-21-4099.pdf","27-CR-21-4099")</f>
        <v>27-CR-21-4099</v>
      </c>
      <c r="C1840" s="1" t="n">
        <v>1</v>
      </c>
      <c r="D1840" s="2" t="s">
        <v>12</v>
      </c>
      <c r="E1840" s="8" t="n">
        <v>44543</v>
      </c>
      <c r="F1840" s="2" t="s">
        <v>15</v>
      </c>
      <c r="G1840" s="7" t="str">
        <f aca="false">HYPERLINK("https://mncourtfraud.com/file/MCRO_27-CR-21-4099_Order-Evaluation for Competency to Proceed (Rule 20.01)_2021-12-13_20251126184501.pdf","MCRO_27-CR-21-4099_Order-Evaluation for Competency to Proceed (Rule 20.01)_2021-12-13_20251126184501.pdf")</f>
        <v>MCRO_27-CR-21-4099_Order-Evaluation for Competency to Proceed (Rule 20.01)_2021-12-13_20251126184501.pdf</v>
      </c>
      <c r="H1840" s="7" t="str">
        <f aca="false">HYPERLINK("https://mncourtfraud.com/file/f942eca43ffd6bdbf3ee942fee873a73c8baea7707298295b91918b6d8b6d6ee.ttf","f942eca43ffd6bdbf3ee942fee873a73c8baea7707298295b91918b6d8b6d6ee")</f>
        <v>f942eca43ffd6bdbf3ee942fee873a73c8baea7707298295b91918b6d8b6d6ee</v>
      </c>
      <c r="I1840" s="1" t="s">
        <v>3413</v>
      </c>
      <c r="J1840" s="2" t="s">
        <v>3422</v>
      </c>
      <c r="K1840" s="2" t="s">
        <v>3422</v>
      </c>
      <c r="L1840" s="2" t="s">
        <v>3415</v>
      </c>
      <c r="M1840" s="2" t="n">
        <v>125444</v>
      </c>
    </row>
    <row r="1841" customFormat="false" ht="18.7" hidden="false" customHeight="true" outlineLevel="0" collapsed="false">
      <c r="A1841" s="1" t="n">
        <v>1840</v>
      </c>
      <c r="B1841" s="7" t="str">
        <f aca="false">HYPERLINK("https://mncourtfraud.com/file/27-CR-21-4099.pdf","27-CR-21-4099")</f>
        <v>27-CR-21-4099</v>
      </c>
      <c r="C1841" s="1" t="n">
        <v>1</v>
      </c>
      <c r="D1841" s="2" t="s">
        <v>12</v>
      </c>
      <c r="E1841" s="8" t="n">
        <v>44558</v>
      </c>
      <c r="F1841" s="2" t="s">
        <v>15</v>
      </c>
      <c r="G1841" s="7" t="str">
        <f aca="false">HYPERLINK("https://mncourtfraud.com/file/MCRO_27-CR-21-4099_Order-Evaluation for Competency to Proceed (Rule 20.01)_2021-12-28_20251126184509.pdf","MCRO_27-CR-21-4099_Order-Evaluation for Competency to Proceed (Rule 20.01)_2021-12-28_20251126184509.pdf")</f>
        <v>MCRO_27-CR-21-4099_Order-Evaluation for Competency to Proceed (Rule 20.01)_2021-12-28_20251126184509.pdf</v>
      </c>
      <c r="H1841" s="7" t="str">
        <f aca="false">HYPERLINK("https://mncourtfraud.com/file/04e027bd2094191621c57d4fb3292a2ec1fa3be96ad00f2c3d43993dd4de4fe2.ttf","04e027bd2094191621c57d4fb3292a2ec1fa3be96ad00f2c3d43993dd4de4fe2")</f>
        <v>04e027bd2094191621c57d4fb3292a2ec1fa3be96ad00f2c3d43993dd4de4fe2</v>
      </c>
      <c r="I1841" s="1" t="s">
        <v>3413</v>
      </c>
      <c r="L1841" s="2" t="s">
        <v>3415</v>
      </c>
      <c r="M1841" s="2" t="n">
        <v>333576</v>
      </c>
    </row>
    <row r="1842" customFormat="false" ht="18.7" hidden="false" customHeight="true" outlineLevel="0" collapsed="false">
      <c r="A1842" s="1" t="n">
        <v>1841</v>
      </c>
      <c r="B1842" s="7" t="str">
        <f aca="false">HYPERLINK("https://mncourtfraud.com/file/27-CR-21-4099.pdf","27-CR-21-4099")</f>
        <v>27-CR-21-4099</v>
      </c>
      <c r="C1842" s="1" t="n">
        <v>1</v>
      </c>
      <c r="D1842" s="2" t="s">
        <v>12</v>
      </c>
      <c r="E1842" s="8" t="n">
        <v>44558</v>
      </c>
      <c r="F1842" s="2" t="s">
        <v>15</v>
      </c>
      <c r="G1842" s="7" t="str">
        <f aca="false">HYPERLINK("https://mncourtfraud.com/file/MCRO_27-CR-21-4099_Order-Evaluation for Competency to Proceed (Rule 20.01)_2021-12-28_20251126184509.pdf","MCRO_27-CR-21-4099_Order-Evaluation for Competency to Proceed (Rule 20.01)_2021-12-28_20251126184509.pdf")</f>
        <v>MCRO_27-CR-21-4099_Order-Evaluation for Competency to Proceed (Rule 20.01)_2021-12-28_20251126184509.pdf</v>
      </c>
      <c r="H1842" s="7" t="str">
        <f aca="false">HYPERLINK("https://mncourtfraud.com/file/0a1407b950a249c64db3dad8d90b1d5d0fdf56f8b662c2c6397bb5138a22164b.png","0a1407b950a249c64db3dad8d90b1d5d0fdf56f8b662c2c6397bb5138a22164b")</f>
        <v>0a1407b950a249c64db3dad8d90b1d5d0fdf56f8b662c2c6397bb5138a22164b</v>
      </c>
      <c r="I1842" s="1" t="s">
        <v>3406</v>
      </c>
      <c r="L1842" s="2" t="s">
        <v>3412</v>
      </c>
      <c r="M1842" s="2" t="n">
        <v>131071</v>
      </c>
      <c r="S1842" s="2" t="n">
        <v>2550</v>
      </c>
      <c r="T1842" s="2" t="n">
        <v>3300</v>
      </c>
    </row>
    <row r="1843" customFormat="false" ht="18.7" hidden="false" customHeight="true" outlineLevel="0" collapsed="false">
      <c r="A1843" s="1" t="n">
        <v>1842</v>
      </c>
      <c r="B1843" s="7" t="str">
        <f aca="false">HYPERLINK("https://mncourtfraud.com/file/27-CR-21-4099.pdf","27-CR-21-4099")</f>
        <v>27-CR-21-4099</v>
      </c>
      <c r="C1843" s="1" t="n">
        <v>1</v>
      </c>
      <c r="D1843" s="2" t="s">
        <v>12</v>
      </c>
      <c r="E1843" s="8" t="n">
        <v>44558</v>
      </c>
      <c r="F1843" s="2" t="s">
        <v>15</v>
      </c>
      <c r="G1843" s="7" t="str">
        <f aca="false">HYPERLINK("https://mncourtfraud.com/file/MCRO_27-CR-21-4099_Order-Evaluation for Competency to Proceed (Rule 20.01)_2021-12-28_20251126184509.pdf","MCRO_27-CR-21-4099_Order-Evaluation for Competency to Proceed (Rule 20.01)_2021-12-28_20251126184509.pdf")</f>
        <v>MCRO_27-CR-21-4099_Order-Evaluation for Competency to Proceed (Rule 20.01)_2021-12-28_20251126184509.pdf</v>
      </c>
      <c r="H1843" s="7" t="str">
        <f aca="false">HYPERLINK("https://mncourtfraud.com/file/3cfc7ab62fe550ad3c8cae8a317d348361d18bf4d7fa486fc8225d1be55b06b3.png","3cfc7ab62fe550ad3c8cae8a317d348361d18bf4d7fa486fc8225d1be55b06b3")</f>
        <v>3cfc7ab62fe550ad3c8cae8a317d348361d18bf4d7fa486fc8225d1be55b06b3</v>
      </c>
      <c r="I1843" s="1" t="s">
        <v>3406</v>
      </c>
      <c r="L1843" s="2" t="s">
        <v>3412</v>
      </c>
      <c r="M1843" s="2" t="n">
        <v>156975</v>
      </c>
      <c r="S1843" s="2" t="n">
        <v>2550</v>
      </c>
      <c r="T1843" s="2" t="n">
        <v>3300</v>
      </c>
    </row>
    <row r="1844" customFormat="false" ht="18.7" hidden="false" customHeight="true" outlineLevel="0" collapsed="false">
      <c r="A1844" s="1" t="n">
        <v>1843</v>
      </c>
      <c r="B1844" s="7" t="str">
        <f aca="false">HYPERLINK("https://mncourtfraud.com/file/27-CR-21-4099.pdf","27-CR-21-4099")</f>
        <v>27-CR-21-4099</v>
      </c>
      <c r="C1844" s="1" t="n">
        <v>1</v>
      </c>
      <c r="D1844" s="2" t="s">
        <v>12</v>
      </c>
      <c r="E1844" s="8" t="n">
        <v>44558</v>
      </c>
      <c r="F1844" s="2" t="s">
        <v>15</v>
      </c>
      <c r="G1844" s="7" t="str">
        <f aca="false">HYPERLINK("https://mncourtfraud.com/file/MCRO_27-CR-21-4099_Order-Evaluation for Competency to Proceed (Rule 20.01)_2021-12-28_20251126184509.pdf","MCRO_27-CR-21-4099_Order-Evaluation for Competency to Proceed (Rule 20.01)_2021-12-28_20251126184509.pdf")</f>
        <v>MCRO_27-CR-21-4099_Order-Evaluation for Competency to Proceed (Rule 20.01)_2021-12-28_20251126184509.pdf</v>
      </c>
      <c r="H1844" s="7" t="str">
        <f aca="false">HYPERLINK("https://mncourtfraud.com/file/8f35035d25511662ed556bf130146c8a22412a287ae20bdbf7bfbb2c893ee9e3.png","8f35035d25511662ed556bf130146c8a22412a287ae20bdbf7bfbb2c893ee9e3")</f>
        <v>8f35035d25511662ed556bf130146c8a22412a287ae20bdbf7bfbb2c893ee9e3</v>
      </c>
      <c r="I1844" s="1" t="s">
        <v>3406</v>
      </c>
      <c r="L1844" s="2" t="s">
        <v>3412</v>
      </c>
      <c r="M1844" s="2" t="n">
        <v>98693</v>
      </c>
      <c r="S1844" s="2" t="n">
        <v>2550</v>
      </c>
      <c r="T1844" s="2" t="n">
        <v>3300</v>
      </c>
    </row>
    <row r="1845" customFormat="false" ht="18.7" hidden="false" customHeight="true" outlineLevel="0" collapsed="false">
      <c r="A1845" s="1" t="n">
        <v>1844</v>
      </c>
      <c r="B1845" s="7" t="str">
        <f aca="false">HYPERLINK("https://mncourtfraud.com/file/27-CR-21-4099.pdf","27-CR-21-4099")</f>
        <v>27-CR-21-4099</v>
      </c>
      <c r="C1845" s="1" t="n">
        <v>1</v>
      </c>
      <c r="D1845" s="2" t="s">
        <v>12</v>
      </c>
      <c r="E1845" s="8" t="n">
        <v>44593</v>
      </c>
      <c r="F1845" s="2" t="s">
        <v>19</v>
      </c>
      <c r="G1845" s="7" t="str">
        <f aca="false">HYPERLINK("https://mncourtfraud.com/file/MCRO_27-CR-21-4099_Findings and Order_2022-02-01_20251126184406.pdf","MCRO_27-CR-21-4099_Findings and Order_2022-02-01_20251126184406.pdf")</f>
        <v>MCRO_27-CR-21-4099_Findings and Order_2022-02-01_20251126184406.pdf</v>
      </c>
      <c r="H1845" s="7" t="str">
        <f aca="false">HYPERLINK("https://mncourtfraud.com/file/0928f6a1c9f98c6980495b0c88306d302dd23423cafe888e0e2dc924bf2b9ec5.ttf","0928f6a1c9f98c6980495b0c88306d302dd23423cafe888e0e2dc924bf2b9ec5")</f>
        <v>0928f6a1c9f98c6980495b0c88306d302dd23423cafe888e0e2dc924bf2b9ec5</v>
      </c>
      <c r="I1845" s="1" t="s">
        <v>3413</v>
      </c>
      <c r="J1845" s="2" t="s">
        <v>3426</v>
      </c>
      <c r="K1845" s="2" t="s">
        <v>3426</v>
      </c>
      <c r="L1845" s="2" t="s">
        <v>3415</v>
      </c>
      <c r="M1845" s="2" t="n">
        <v>74997</v>
      </c>
      <c r="N1845" s="2" t="s">
        <v>3427</v>
      </c>
    </row>
    <row r="1846" customFormat="false" ht="18.7" hidden="false" customHeight="true" outlineLevel="0" collapsed="false">
      <c r="A1846" s="1" t="n">
        <v>1845</v>
      </c>
      <c r="B1846" s="7" t="str">
        <f aca="false">HYPERLINK("https://mncourtfraud.com/file/27-CR-21-4099.pdf","27-CR-21-4099")</f>
        <v>27-CR-21-4099</v>
      </c>
      <c r="C1846" s="1" t="n">
        <v>1</v>
      </c>
      <c r="D1846" s="2" t="s">
        <v>12</v>
      </c>
      <c r="E1846" s="8" t="n">
        <v>44593</v>
      </c>
      <c r="F1846" s="2" t="s">
        <v>19</v>
      </c>
      <c r="G1846" s="7" t="str">
        <f aca="false">HYPERLINK("https://mncourtfraud.com/file/MCRO_27-CR-21-4099_Findings and Order_2022-02-01_20251126184406.pdf","MCRO_27-CR-21-4099_Findings and Order_2022-02-01_20251126184406.pdf")</f>
        <v>MCRO_27-CR-21-4099_Findings and Order_2022-02-01_20251126184406.pdf</v>
      </c>
      <c r="H1846" s="7" t="str">
        <f aca="false">HYPERLINK("https://mncourtfraud.com/file/427af119e8f704848644710f5da65ea8d385162ce3d78bb774a2b0bda4893f95.cff","427af119e8f704848644710f5da65ea8d385162ce3d78bb774a2b0bda4893f95")</f>
        <v>427af119e8f704848644710f5da65ea8d385162ce3d78bb774a2b0bda4893f95</v>
      </c>
      <c r="I1846" s="1" t="s">
        <v>3428</v>
      </c>
      <c r="J1846" s="2" t="s">
        <v>3429</v>
      </c>
      <c r="K1846" s="2" t="s">
        <v>3429</v>
      </c>
      <c r="L1846" s="2" t="s">
        <v>3415</v>
      </c>
      <c r="M1846" s="2" t="n">
        <v>86093</v>
      </c>
    </row>
    <row r="1847" customFormat="false" ht="18.7" hidden="false" customHeight="true" outlineLevel="0" collapsed="false">
      <c r="A1847" s="1" t="n">
        <v>1846</v>
      </c>
      <c r="B1847" s="7" t="str">
        <f aca="false">HYPERLINK("https://mncourtfraud.com/file/27-CR-21-4099.pdf","27-CR-21-4099")</f>
        <v>27-CR-21-4099</v>
      </c>
      <c r="C1847" s="1" t="n">
        <v>1</v>
      </c>
      <c r="D1847" s="2" t="s">
        <v>12</v>
      </c>
      <c r="E1847" s="8" t="n">
        <v>44593</v>
      </c>
      <c r="F1847" s="2" t="s">
        <v>19</v>
      </c>
      <c r="G1847" s="7" t="str">
        <f aca="false">HYPERLINK("https://mncourtfraud.com/file/MCRO_27-CR-21-4099_Findings and Order_2022-02-01_20251126184406.pdf","MCRO_27-CR-21-4099_Findings and Order_2022-02-01_20251126184406.pdf")</f>
        <v>MCRO_27-CR-21-4099_Findings and Order_2022-02-01_20251126184406.pdf</v>
      </c>
      <c r="H1847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1847" s="1" t="s">
        <v>3413</v>
      </c>
      <c r="J1847" s="2" t="s">
        <v>3414</v>
      </c>
      <c r="K1847" s="2" t="s">
        <v>3414</v>
      </c>
      <c r="L1847" s="2" t="s">
        <v>3415</v>
      </c>
      <c r="M1847" s="2" t="n">
        <v>42332</v>
      </c>
    </row>
    <row r="1848" customFormat="false" ht="18.7" hidden="false" customHeight="true" outlineLevel="0" collapsed="false">
      <c r="A1848" s="1" t="n">
        <v>1847</v>
      </c>
      <c r="B1848" s="7" t="str">
        <f aca="false">HYPERLINK("https://mncourtfraud.com/file/27-CR-21-4099.pdf","27-CR-21-4099")</f>
        <v>27-CR-21-4099</v>
      </c>
      <c r="C1848" s="1" t="n">
        <v>1</v>
      </c>
      <c r="D1848" s="2" t="s">
        <v>12</v>
      </c>
      <c r="E1848" s="8" t="n">
        <v>44593</v>
      </c>
      <c r="F1848" s="2" t="s">
        <v>19</v>
      </c>
      <c r="G1848" s="7" t="str">
        <f aca="false">HYPERLINK("https://mncourtfraud.com/file/MCRO_27-CR-21-4099_Findings and Order_2022-02-01_20251126184406.pdf","MCRO_27-CR-21-4099_Findings and Order_2022-02-01_20251126184406.pdf")</f>
        <v>MCRO_27-CR-21-4099_Findings and Order_2022-02-01_20251126184406.pdf</v>
      </c>
      <c r="H1848" s="7" t="str">
        <f aca="false">HYPERLINK("https://mncourtfraud.com/file/620766feb0f4b31ffb91d5a063aa5e5565cf558cddc8360128eeeda4bf60907b.ttf","620766feb0f4b31ffb91d5a063aa5e5565cf558cddc8360128eeeda4bf60907b")</f>
        <v>620766feb0f4b31ffb91d5a063aa5e5565cf558cddc8360128eeeda4bf60907b</v>
      </c>
      <c r="I1848" s="1" t="s">
        <v>3413</v>
      </c>
      <c r="J1848" s="2" t="s">
        <v>3414</v>
      </c>
      <c r="K1848" s="2" t="s">
        <v>3414</v>
      </c>
      <c r="L1848" s="2" t="s">
        <v>3415</v>
      </c>
      <c r="M1848" s="2" t="n">
        <v>42332</v>
      </c>
    </row>
    <row r="1849" customFormat="false" ht="18.7" hidden="false" customHeight="true" outlineLevel="0" collapsed="false">
      <c r="A1849" s="1" t="n">
        <v>1848</v>
      </c>
      <c r="B1849" s="7" t="str">
        <f aca="false">HYPERLINK("https://mncourtfraud.com/file/27-CR-21-4099.pdf","27-CR-21-4099")</f>
        <v>27-CR-21-4099</v>
      </c>
      <c r="C1849" s="1" t="n">
        <v>1</v>
      </c>
      <c r="D1849" s="2" t="s">
        <v>12</v>
      </c>
      <c r="E1849" s="8" t="n">
        <v>44593</v>
      </c>
      <c r="F1849" s="2" t="s">
        <v>19</v>
      </c>
      <c r="G1849" s="7" t="str">
        <f aca="false">HYPERLINK("https://mncourtfraud.com/file/MCRO_27-CR-21-4099_Findings and Order_2022-02-01_20251126184406.pdf","MCRO_27-CR-21-4099_Findings and Order_2022-02-01_20251126184406.pdf")</f>
        <v>MCRO_27-CR-21-4099_Findings and Order_2022-02-01_20251126184406.pdf</v>
      </c>
      <c r="H1849" s="7" t="str">
        <f aca="false">HYPERLINK("https://mncourtfraud.com/file/d1e06f7a12c8d4ae1de62861dbfeadf4f6b52b1cfd6801e548bc1d08782c1451.ttf","d1e06f7a12c8d4ae1de62861dbfeadf4f6b52b1cfd6801e548bc1d08782c1451")</f>
        <v>d1e06f7a12c8d4ae1de62861dbfeadf4f6b52b1cfd6801e548bc1d08782c1451</v>
      </c>
      <c r="I1849" s="1" t="s">
        <v>3413</v>
      </c>
      <c r="J1849" s="2" t="s">
        <v>3414</v>
      </c>
      <c r="K1849" s="2" t="s">
        <v>3416</v>
      </c>
      <c r="L1849" s="2" t="s">
        <v>3415</v>
      </c>
      <c r="M1849" s="2" t="n">
        <v>28584</v>
      </c>
    </row>
    <row r="1850" customFormat="false" ht="18.7" hidden="false" customHeight="true" outlineLevel="0" collapsed="false">
      <c r="A1850" s="1" t="n">
        <v>1849</v>
      </c>
      <c r="B1850" s="7" t="str">
        <f aca="false">HYPERLINK("https://mncourtfraud.com/file/27-CR-21-4099.pdf","27-CR-21-4099")</f>
        <v>27-CR-21-4099</v>
      </c>
      <c r="C1850" s="1" t="n">
        <v>1</v>
      </c>
      <c r="D1850" s="2" t="s">
        <v>12</v>
      </c>
      <c r="E1850" s="8" t="n">
        <v>44593</v>
      </c>
      <c r="F1850" s="2" t="s">
        <v>19</v>
      </c>
      <c r="G1850" s="7" t="str">
        <f aca="false">HYPERLINK("https://mncourtfraud.com/file/MCRO_27-CR-21-4099_Findings and Order_2022-02-01_20251126184406.pdf","MCRO_27-CR-21-4099_Findings and Order_2022-02-01_20251126184406.pdf")</f>
        <v>MCRO_27-CR-21-4099_Findings and Order_2022-02-01_20251126184406.pdf</v>
      </c>
      <c r="H1850" s="7" t="str">
        <f aca="false">HYPERLINK("https://mncourtfraud.com/file/d22583bf55d980aeb2051e21389aeb94b94a7c846c0d59b3f68071a95ebf4af1.png","d22583bf55d980aeb2051e21389aeb94b94a7c846c0d59b3f68071a95ebf4af1")</f>
        <v>d22583bf55d980aeb2051e21389aeb94b94a7c846c0d59b3f68071a95ebf4af1</v>
      </c>
      <c r="I1850" s="1" t="s">
        <v>3406</v>
      </c>
      <c r="K1850" s="2" t="s">
        <v>3430</v>
      </c>
      <c r="L1850" s="2" t="s">
        <v>3408</v>
      </c>
      <c r="M1850" s="2" t="n">
        <v>28069</v>
      </c>
      <c r="O1850" s="2" t="s">
        <v>3409</v>
      </c>
      <c r="P1850" s="2" t="s">
        <v>3410</v>
      </c>
      <c r="S1850" s="2" t="n">
        <v>448</v>
      </c>
      <c r="T1850" s="2" t="n">
        <v>128</v>
      </c>
    </row>
    <row r="1851" customFormat="false" ht="18.7" hidden="false" customHeight="true" outlineLevel="0" collapsed="false">
      <c r="A1851" s="1" t="n">
        <v>1850</v>
      </c>
      <c r="B1851" s="7" t="str">
        <f aca="false">HYPERLINK("https://mncourtfraud.com/file/27-CR-21-4099.pdf","27-CR-21-4099")</f>
        <v>27-CR-21-4099</v>
      </c>
      <c r="C1851" s="1" t="n">
        <v>1</v>
      </c>
      <c r="D1851" s="2" t="s">
        <v>12</v>
      </c>
      <c r="E1851" s="8" t="n">
        <v>44692</v>
      </c>
      <c r="F1851" s="2" t="s">
        <v>15</v>
      </c>
      <c r="G1851" s="7" t="str">
        <f aca="false">HYPERLINK("https://mncourtfraud.com/file/MCRO_27-CR-21-4099_Order-Evaluation for Competency to Proceed (Rule 20.01)_2022-05-11_20251126184519.pdf","MCRO_27-CR-21-4099_Order-Evaluation for Competency to Proceed (Rule 20.01)_2022-05-11_20251126184519.pdf")</f>
        <v>MCRO_27-CR-21-4099_Order-Evaluation for Competency to Proceed (Rule 20.01)_2022-05-11_20251126184519.pdf</v>
      </c>
      <c r="H1851" s="7" t="str">
        <f aca="false">HYPERLINK("https://mncourtfraud.com/file/05416b724b0b00a8d229d462e7a82d693cfb75bb0065de45992fc475b9233838.png","05416b724b0b00a8d229d462e7a82d693cfb75bb0065de45992fc475b9233838")</f>
        <v>05416b724b0b00a8d229d462e7a82d693cfb75bb0065de45992fc475b9233838</v>
      </c>
      <c r="I1851" s="1" t="s">
        <v>3406</v>
      </c>
      <c r="K1851" s="2" t="s">
        <v>3432</v>
      </c>
      <c r="L1851" s="2" t="s">
        <v>3408</v>
      </c>
      <c r="M1851" s="2" t="n">
        <v>21121</v>
      </c>
      <c r="O1851" s="2" t="s">
        <v>3409</v>
      </c>
      <c r="P1851" s="2" t="s">
        <v>3410</v>
      </c>
      <c r="S1851" s="2" t="n">
        <v>695</v>
      </c>
      <c r="T1851" s="2" t="n">
        <v>233</v>
      </c>
    </row>
    <row r="1852" customFormat="false" ht="18.7" hidden="false" customHeight="true" outlineLevel="0" collapsed="false">
      <c r="A1852" s="1" t="n">
        <v>1851</v>
      </c>
      <c r="B1852" s="7" t="str">
        <f aca="false">HYPERLINK("https://mncourtfraud.com/file/27-CR-21-4099.pdf","27-CR-21-4099")</f>
        <v>27-CR-21-4099</v>
      </c>
      <c r="C1852" s="1" t="n">
        <v>1</v>
      </c>
      <c r="D1852" s="2" t="s">
        <v>12</v>
      </c>
      <c r="E1852" s="8" t="n">
        <v>44692</v>
      </c>
      <c r="F1852" s="2" t="s">
        <v>15</v>
      </c>
      <c r="G1852" s="7" t="str">
        <f aca="false">HYPERLINK("https://mncourtfraud.com/file/MCRO_27-CR-21-4099_Order-Evaluation for Competency to Proceed (Rule 20.01)_2022-05-11_20251126184519.pdf","MCRO_27-CR-21-4099_Order-Evaluation for Competency to Proceed (Rule 20.01)_2022-05-11_20251126184519.pdf")</f>
        <v>MCRO_27-CR-21-4099_Order-Evaluation for Competency to Proceed (Rule 20.01)_2022-05-11_20251126184519.pdf</v>
      </c>
      <c r="H1852" s="7" t="str">
        <f aca="false">HYPERLINK("https://mncourtfraud.com/file/1bb003de63ee28de0732cab4d1886c4bd0a3ac4c57bc2ca414181ff85758b071.png","1bb003de63ee28de0732cab4d1886c4bd0a3ac4c57bc2ca414181ff85758b071")</f>
        <v>1bb003de63ee28de0732cab4d1886c4bd0a3ac4c57bc2ca414181ff85758b071</v>
      </c>
      <c r="I1852" s="1" t="s">
        <v>3406</v>
      </c>
      <c r="K1852" s="2" t="s">
        <v>3433</v>
      </c>
      <c r="L1852" s="2" t="s">
        <v>3408</v>
      </c>
      <c r="M1852" s="2" t="n">
        <v>53838</v>
      </c>
      <c r="O1852" s="2" t="s">
        <v>3409</v>
      </c>
      <c r="P1852" s="2" t="s">
        <v>3410</v>
      </c>
      <c r="S1852" s="2" t="n">
        <v>695</v>
      </c>
      <c r="T1852" s="2" t="n">
        <v>233</v>
      </c>
    </row>
    <row r="1853" customFormat="false" ht="18.7" hidden="false" customHeight="true" outlineLevel="0" collapsed="false">
      <c r="A1853" s="1" t="n">
        <v>1852</v>
      </c>
      <c r="B1853" s="7" t="str">
        <f aca="false">HYPERLINK("https://mncourtfraud.com/file/27-CR-21-4099.pdf","27-CR-21-4099")</f>
        <v>27-CR-21-4099</v>
      </c>
      <c r="C1853" s="1" t="n">
        <v>1</v>
      </c>
      <c r="D1853" s="2" t="s">
        <v>12</v>
      </c>
      <c r="E1853" s="8" t="n">
        <v>44692</v>
      </c>
      <c r="F1853" s="2" t="s">
        <v>15</v>
      </c>
      <c r="G1853" s="7" t="str">
        <f aca="false">HYPERLINK("https://mncourtfraud.com/file/MCRO_27-CR-21-4099_Order-Evaluation for Competency to Proceed (Rule 20.01)_2022-05-11_20251126184519.pdf","MCRO_27-CR-21-4099_Order-Evaluation for Competency to Proceed (Rule 20.01)_2022-05-11_20251126184519.pdf")</f>
        <v>MCRO_27-CR-21-4099_Order-Evaluation for Competency to Proceed (Rule 20.01)_2022-05-11_20251126184519.pdf</v>
      </c>
      <c r="H1853" s="7" t="str">
        <f aca="false">HYPERLINK("https://mncourtfraud.com/file/322fe0e9595a4df4693edf307e5f8a42a470721d59f006a7b0e86def92125a58.ttf","322fe0e9595a4df4693edf307e5f8a42a470721d59f006a7b0e86def92125a58")</f>
        <v>322fe0e9595a4df4693edf307e5f8a42a470721d59f006a7b0e86def92125a58</v>
      </c>
      <c r="I1853" s="1" t="s">
        <v>3413</v>
      </c>
      <c r="J1853" s="2" t="s">
        <v>3434</v>
      </c>
      <c r="K1853" s="2" t="s">
        <v>3434</v>
      </c>
      <c r="L1853" s="2" t="s">
        <v>3415</v>
      </c>
      <c r="M1853" s="2" t="n">
        <v>46736</v>
      </c>
      <c r="N1853" s="2" t="s">
        <v>3435</v>
      </c>
    </row>
    <row r="1854" customFormat="false" ht="18.7" hidden="false" customHeight="true" outlineLevel="0" collapsed="false">
      <c r="A1854" s="1" t="n">
        <v>1853</v>
      </c>
      <c r="B1854" s="7" t="str">
        <f aca="false">HYPERLINK("https://mncourtfraud.com/file/27-CR-21-4099.pdf","27-CR-21-4099")</f>
        <v>27-CR-21-4099</v>
      </c>
      <c r="C1854" s="1" t="n">
        <v>1</v>
      </c>
      <c r="D1854" s="2" t="s">
        <v>12</v>
      </c>
      <c r="E1854" s="8" t="n">
        <v>44692</v>
      </c>
      <c r="F1854" s="2" t="s">
        <v>15</v>
      </c>
      <c r="G1854" s="7" t="str">
        <f aca="false">HYPERLINK("https://mncourtfraud.com/file/MCRO_27-CR-21-4099_Order-Evaluation for Competency to Proceed (Rule 20.01)_2022-05-11_20251126184519.pdf","MCRO_27-CR-21-4099_Order-Evaluation for Competency to Proceed (Rule 20.01)_2022-05-11_20251126184519.pdf")</f>
        <v>MCRO_27-CR-21-4099_Order-Evaluation for Competency to Proceed (Rule 20.01)_2022-05-11_20251126184519.pdf</v>
      </c>
      <c r="H1854" s="7" t="str">
        <f aca="false">HYPERLINK("https://mncourtfraud.com/file/32ebada21768d6238e03c647b5e5acdf6ce656f0735d59c3fb698ce40418a709.ttf","32ebada21768d6238e03c647b5e5acdf6ce656f0735d59c3fb698ce40418a709")</f>
        <v>32ebada21768d6238e03c647b5e5acdf6ce656f0735d59c3fb698ce40418a709</v>
      </c>
      <c r="I1854" s="1" t="s">
        <v>3413</v>
      </c>
      <c r="J1854" s="2" t="s">
        <v>3436</v>
      </c>
      <c r="K1854" s="2" t="s">
        <v>3436</v>
      </c>
      <c r="L1854" s="2" t="s">
        <v>3415</v>
      </c>
      <c r="M1854" s="2" t="n">
        <v>65744</v>
      </c>
      <c r="N1854" s="2" t="s">
        <v>3437</v>
      </c>
    </row>
    <row r="1855" customFormat="false" ht="18.7" hidden="false" customHeight="true" outlineLevel="0" collapsed="false">
      <c r="A1855" s="1" t="n">
        <v>1854</v>
      </c>
      <c r="B1855" s="7" t="str">
        <f aca="false">HYPERLINK("https://mncourtfraud.com/file/27-CR-21-4099.pdf","27-CR-21-4099")</f>
        <v>27-CR-21-4099</v>
      </c>
      <c r="C1855" s="1" t="n">
        <v>1</v>
      </c>
      <c r="D1855" s="2" t="s">
        <v>12</v>
      </c>
      <c r="E1855" s="8" t="n">
        <v>44692</v>
      </c>
      <c r="F1855" s="2" t="s">
        <v>15</v>
      </c>
      <c r="G1855" s="7" t="str">
        <f aca="false">HYPERLINK("https://mncourtfraud.com/file/MCRO_27-CR-21-4099_Order-Evaluation for Competency to Proceed (Rule 20.01)_2022-05-11_20251126184519.pdf","MCRO_27-CR-21-4099_Order-Evaluation for Competency to Proceed (Rule 20.01)_2022-05-11_20251126184519.pdf")</f>
        <v>MCRO_27-CR-21-4099_Order-Evaluation for Competency to Proceed (Rule 20.01)_2022-05-11_20251126184519.pdf</v>
      </c>
      <c r="H1855" s="7" t="str">
        <f aca="false">HYPERLINK("https://mncourtfraud.com/file/694dcb82a5515430b7fddfbf16881b942820c8c41fee3eea3505a20c7d4e41e6.ttf","694dcb82a5515430b7fddfbf16881b942820c8c41fee3eea3505a20c7d4e41e6")</f>
        <v>694dcb82a5515430b7fddfbf16881b942820c8c41fee3eea3505a20c7d4e41e6</v>
      </c>
      <c r="I1855" s="1" t="s">
        <v>3413</v>
      </c>
      <c r="J1855" s="2" t="s">
        <v>3438</v>
      </c>
      <c r="K1855" s="2" t="s">
        <v>3438</v>
      </c>
      <c r="L1855" s="2" t="s">
        <v>3415</v>
      </c>
      <c r="M1855" s="2" t="n">
        <v>72828</v>
      </c>
      <c r="N1855" s="2" t="s">
        <v>3439</v>
      </c>
    </row>
    <row r="1856" customFormat="false" ht="18.7" hidden="false" customHeight="true" outlineLevel="0" collapsed="false">
      <c r="A1856" s="1" t="n">
        <v>1855</v>
      </c>
      <c r="B1856" s="7" t="str">
        <f aca="false">HYPERLINK("https://mncourtfraud.com/file/27-CR-21-4099.pdf","27-CR-21-4099")</f>
        <v>27-CR-21-4099</v>
      </c>
      <c r="C1856" s="1" t="n">
        <v>1</v>
      </c>
      <c r="D1856" s="2" t="s">
        <v>12</v>
      </c>
      <c r="E1856" s="8" t="n">
        <v>44692</v>
      </c>
      <c r="F1856" s="2" t="s">
        <v>15</v>
      </c>
      <c r="G1856" s="7" t="str">
        <f aca="false">HYPERLINK("https://mncourtfraud.com/file/MCRO_27-CR-21-4099_Order-Evaluation for Competency to Proceed (Rule 20.01)_2022-05-11_20251126184519.pdf","MCRO_27-CR-21-4099_Order-Evaluation for Competency to Proceed (Rule 20.01)_2022-05-11_20251126184519.pdf")</f>
        <v>MCRO_27-CR-21-4099_Order-Evaluation for Competency to Proceed (Rule 20.01)_2022-05-11_20251126184519.pdf</v>
      </c>
      <c r="H1856" s="7" t="str">
        <f aca="false">HYPERLINK("https://mncourtfraud.com/file/87764021d6d62f7c396208d3f1fa8113e5ad5f90bd03c35e7200536389af4e6a.ttf","87764021d6d62f7c396208d3f1fa8113e5ad5f90bd03c35e7200536389af4e6a")</f>
        <v>87764021d6d62f7c396208d3f1fa8113e5ad5f90bd03c35e7200536389af4e6a</v>
      </c>
      <c r="I1856" s="1" t="s">
        <v>3413</v>
      </c>
      <c r="J1856" s="2" t="s">
        <v>3440</v>
      </c>
      <c r="K1856" s="2" t="s">
        <v>3440</v>
      </c>
      <c r="L1856" s="2" t="s">
        <v>3415</v>
      </c>
      <c r="M1856" s="2" t="n">
        <v>6280</v>
      </c>
      <c r="N1856" s="2" t="s">
        <v>3441</v>
      </c>
    </row>
    <row r="1857" customFormat="false" ht="18.7" hidden="false" customHeight="true" outlineLevel="0" collapsed="false">
      <c r="A1857" s="1" t="n">
        <v>1856</v>
      </c>
      <c r="B1857" s="7" t="str">
        <f aca="false">HYPERLINK("https://mncourtfraud.com/file/27-CR-21-4099.pdf","27-CR-21-4099")</f>
        <v>27-CR-21-4099</v>
      </c>
      <c r="C1857" s="1" t="n">
        <v>1</v>
      </c>
      <c r="D1857" s="2" t="s">
        <v>12</v>
      </c>
      <c r="E1857" s="8" t="n">
        <v>44692</v>
      </c>
      <c r="F1857" s="2" t="s">
        <v>15</v>
      </c>
      <c r="G1857" s="7" t="str">
        <f aca="false">HYPERLINK("https://mncourtfraud.com/file/MCRO_27-CR-21-4099_Order-Evaluation for Competency to Proceed (Rule 20.01)_2022-05-11_20251126184519.pdf","MCRO_27-CR-21-4099_Order-Evaluation for Competency to Proceed (Rule 20.01)_2022-05-11_20251126184519.pdf")</f>
        <v>MCRO_27-CR-21-4099_Order-Evaluation for Competency to Proceed (Rule 20.01)_2022-05-11_20251126184519.pdf</v>
      </c>
      <c r="H1857" s="7" t="str">
        <f aca="false">HYPERLINK("https://mncourtfraud.com/file/a1ad71f465be26cf6bb430c59ae6133d3c381ada339ba3c6b2eadf32a9b4096b.ttf","a1ad71f465be26cf6bb430c59ae6133d3c381ada339ba3c6b2eadf32a9b4096b")</f>
        <v>a1ad71f465be26cf6bb430c59ae6133d3c381ada339ba3c6b2eadf32a9b4096b</v>
      </c>
      <c r="I1857" s="1" t="s">
        <v>3413</v>
      </c>
      <c r="J1857" s="2" t="s">
        <v>3442</v>
      </c>
      <c r="K1857" s="2" t="s">
        <v>3442</v>
      </c>
      <c r="L1857" s="2" t="s">
        <v>3415</v>
      </c>
      <c r="M1857" s="2" t="n">
        <v>5988</v>
      </c>
      <c r="N1857" s="2" t="s">
        <v>3443</v>
      </c>
    </row>
    <row r="1858" customFormat="false" ht="18.7" hidden="false" customHeight="true" outlineLevel="0" collapsed="false">
      <c r="A1858" s="1" t="n">
        <v>1857</v>
      </c>
      <c r="B1858" s="7" t="str">
        <f aca="false">HYPERLINK("https://mncourtfraud.com/file/27-CR-21-4099.pdf","27-CR-21-4099")</f>
        <v>27-CR-21-4099</v>
      </c>
      <c r="C1858" s="1" t="n">
        <v>1</v>
      </c>
      <c r="D1858" s="2" t="s">
        <v>12</v>
      </c>
      <c r="E1858" s="8" t="n">
        <v>44692</v>
      </c>
      <c r="F1858" s="2" t="s">
        <v>15</v>
      </c>
      <c r="G1858" s="7" t="str">
        <f aca="false">HYPERLINK("https://mncourtfraud.com/file/MCRO_27-CR-21-4099_Order-Evaluation for Competency to Proceed (Rule 20.01)_2022-05-11_20251126184519.pdf","MCRO_27-CR-21-4099_Order-Evaluation for Competency to Proceed (Rule 20.01)_2022-05-11_20251126184519.pdf")</f>
        <v>MCRO_27-CR-21-4099_Order-Evaluation for Competency to Proceed (Rule 20.01)_2022-05-11_20251126184519.pdf</v>
      </c>
      <c r="H1858" s="7" t="str">
        <f aca="false">HYPERLINK("https://mncourtfraud.com/file/e1befe23dc5d05be4c8e965e6fc9e74e95400600e0da0c86dd389645355f3ad1.ttf","e1befe23dc5d05be4c8e965e6fc9e74e95400600e0da0c86dd389645355f3ad1")</f>
        <v>e1befe23dc5d05be4c8e965e6fc9e74e95400600e0da0c86dd389645355f3ad1</v>
      </c>
      <c r="I1858" s="1" t="s">
        <v>3413</v>
      </c>
      <c r="J1858" s="2" t="s">
        <v>3444</v>
      </c>
      <c r="K1858" s="2" t="s">
        <v>3444</v>
      </c>
      <c r="L1858" s="2" t="s">
        <v>3415</v>
      </c>
      <c r="M1858" s="2" t="n">
        <v>94308</v>
      </c>
      <c r="N1858" s="2" t="s">
        <v>3445</v>
      </c>
    </row>
    <row r="1859" customFormat="false" ht="18.7" hidden="false" customHeight="true" outlineLevel="0" collapsed="false">
      <c r="A1859" s="1" t="n">
        <v>1858</v>
      </c>
      <c r="B1859" s="7" t="str">
        <f aca="false">HYPERLINK("https://mncourtfraud.com/file/27-CR-21-4099.pdf","27-CR-21-4099")</f>
        <v>27-CR-21-4099</v>
      </c>
      <c r="C1859" s="1" t="n">
        <v>1</v>
      </c>
      <c r="D1859" s="2" t="s">
        <v>12</v>
      </c>
      <c r="E1859" s="8" t="n">
        <v>44895</v>
      </c>
      <c r="F1859" s="2" t="s">
        <v>15</v>
      </c>
      <c r="G1859" s="7" t="str">
        <f aca="false">HYPERLINK("https://mncourtfraud.com/file/MCRO_27-CR-21-4099_Order-Evaluation for Competency to Proceed (Rule 20.01)_2022-11-30_20251126184526.pdf","MCRO_27-CR-21-4099_Order-Evaluation for Competency to Proceed (Rule 20.01)_2022-11-30_20251126184526.pdf")</f>
        <v>MCRO_27-CR-21-4099_Order-Evaluation for Competency to Proceed (Rule 20.01)_2022-11-30_20251126184526.pdf</v>
      </c>
      <c r="H1859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1859" s="1" t="s">
        <v>3413</v>
      </c>
      <c r="J1859" s="2" t="s">
        <v>3423</v>
      </c>
      <c r="K1859" s="2" t="s">
        <v>3423</v>
      </c>
      <c r="L1859" s="2" t="s">
        <v>3415</v>
      </c>
      <c r="M1859" s="2" t="n">
        <v>11088</v>
      </c>
    </row>
    <row r="1860" customFormat="false" ht="18.7" hidden="false" customHeight="true" outlineLevel="0" collapsed="false">
      <c r="A1860" s="1" t="n">
        <v>1859</v>
      </c>
      <c r="B1860" s="7" t="str">
        <f aca="false">HYPERLINK("https://mncourtfraud.com/file/27-CR-21-4099.pdf","27-CR-21-4099")</f>
        <v>27-CR-21-4099</v>
      </c>
      <c r="C1860" s="1" t="n">
        <v>1</v>
      </c>
      <c r="D1860" s="2" t="s">
        <v>12</v>
      </c>
      <c r="E1860" s="8" t="n">
        <v>44895</v>
      </c>
      <c r="F1860" s="2" t="s">
        <v>15</v>
      </c>
      <c r="G1860" s="7" t="str">
        <f aca="false">HYPERLINK("https://mncourtfraud.com/file/MCRO_27-CR-21-4099_Order-Evaluation for Competency to Proceed (Rule 20.01)_2022-11-30_20251126184526.pdf","MCRO_27-CR-21-4099_Order-Evaluation for Competency to Proceed (Rule 20.01)_2022-11-30_20251126184526.pdf")</f>
        <v>MCRO_27-CR-21-4099_Order-Evaluation for Competency to Proceed (Rule 20.01)_2022-11-30_20251126184526.pdf</v>
      </c>
      <c r="H1860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1860" s="1" t="s">
        <v>3413</v>
      </c>
      <c r="J1860" s="2" t="s">
        <v>3446</v>
      </c>
      <c r="K1860" s="2" t="s">
        <v>3446</v>
      </c>
      <c r="L1860" s="2" t="s">
        <v>3415</v>
      </c>
      <c r="M1860" s="2" t="n">
        <v>55072</v>
      </c>
      <c r="N1860" s="2" t="s">
        <v>3447</v>
      </c>
    </row>
    <row r="1861" customFormat="false" ht="18.7" hidden="false" customHeight="true" outlineLevel="0" collapsed="false">
      <c r="A1861" s="1" t="n">
        <v>1860</v>
      </c>
      <c r="B1861" s="7" t="str">
        <f aca="false">HYPERLINK("https://mncourtfraud.com/file/27-CR-21-4099.pdf","27-CR-21-4099")</f>
        <v>27-CR-21-4099</v>
      </c>
      <c r="C1861" s="1" t="n">
        <v>1</v>
      </c>
      <c r="D1861" s="2" t="s">
        <v>12</v>
      </c>
      <c r="E1861" s="8" t="n">
        <v>44895</v>
      </c>
      <c r="F1861" s="2" t="s">
        <v>15</v>
      </c>
      <c r="G1861" s="7" t="str">
        <f aca="false">HYPERLINK("https://mncourtfraud.com/file/MCRO_27-CR-21-4099_Order-Evaluation for Competency to Proceed (Rule 20.01)_2022-11-30_20251126184526.pdf","MCRO_27-CR-21-4099_Order-Evaluation for Competency to Proceed (Rule 20.01)_2022-11-30_20251126184526.pdf")</f>
        <v>MCRO_27-CR-21-4099_Order-Evaluation for Competency to Proceed (Rule 20.01)_2022-11-30_20251126184526.pdf</v>
      </c>
      <c r="H1861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1861" s="1" t="s">
        <v>3413</v>
      </c>
      <c r="J1861" s="2" t="s">
        <v>3424</v>
      </c>
      <c r="K1861" s="2" t="s">
        <v>3424</v>
      </c>
      <c r="L1861" s="2" t="s">
        <v>3415</v>
      </c>
      <c r="M1861" s="2" t="n">
        <v>14252</v>
      </c>
    </row>
    <row r="1862" customFormat="false" ht="18.7" hidden="false" customHeight="true" outlineLevel="0" collapsed="false">
      <c r="A1862" s="1" t="n">
        <v>1861</v>
      </c>
      <c r="B1862" s="7" t="str">
        <f aca="false">HYPERLINK("https://mncourtfraud.com/file/27-CR-21-4099.pdf","27-CR-21-4099")</f>
        <v>27-CR-21-4099</v>
      </c>
      <c r="C1862" s="1" t="n">
        <v>1</v>
      </c>
      <c r="D1862" s="2" t="s">
        <v>12</v>
      </c>
      <c r="E1862" s="8" t="n">
        <v>44895</v>
      </c>
      <c r="F1862" s="2" t="s">
        <v>15</v>
      </c>
      <c r="G1862" s="7" t="str">
        <f aca="false">HYPERLINK("https://mncourtfraud.com/file/MCRO_27-CR-21-4099_Order-Evaluation for Competency to Proceed (Rule 20.01)_2022-11-30_20251126184526.pdf","MCRO_27-CR-21-4099_Order-Evaluation for Competency to Proceed (Rule 20.01)_2022-11-30_20251126184526.pdf")</f>
        <v>MCRO_27-CR-21-4099_Order-Evaluation for Competency to Proceed (Rule 20.01)_2022-11-30_20251126184526.pdf</v>
      </c>
      <c r="H1862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862" s="1" t="s">
        <v>3406</v>
      </c>
      <c r="K1862" s="2" t="s">
        <v>3420</v>
      </c>
      <c r="L1862" s="2" t="s">
        <v>3408</v>
      </c>
      <c r="M1862" s="2" t="n">
        <v>7306</v>
      </c>
      <c r="O1862" s="2" t="s">
        <v>3409</v>
      </c>
      <c r="P1862" s="2" t="s">
        <v>3410</v>
      </c>
      <c r="S1862" s="2" t="n">
        <v>319</v>
      </c>
      <c r="T1862" s="2" t="n">
        <v>105</v>
      </c>
    </row>
    <row r="1863" customFormat="false" ht="18.7" hidden="false" customHeight="true" outlineLevel="0" collapsed="false">
      <c r="A1863" s="1" t="n">
        <v>1862</v>
      </c>
      <c r="B1863" s="7" t="str">
        <f aca="false">HYPERLINK("https://mncourtfraud.com/file/27-CR-21-4099.pdf","27-CR-21-4099")</f>
        <v>27-CR-21-4099</v>
      </c>
      <c r="C1863" s="1" t="n">
        <v>1</v>
      </c>
      <c r="D1863" s="2" t="s">
        <v>12</v>
      </c>
      <c r="E1863" s="8" t="n">
        <v>44895</v>
      </c>
      <c r="F1863" s="2" t="s">
        <v>15</v>
      </c>
      <c r="G1863" s="7" t="str">
        <f aca="false">HYPERLINK("https://mncourtfraud.com/file/MCRO_27-CR-21-4099_Order-Evaluation for Competency to Proceed (Rule 20.01)_2022-11-30_20251126184526.pdf","MCRO_27-CR-21-4099_Order-Evaluation for Competency to Proceed (Rule 20.01)_2022-11-30_20251126184526.pdf")</f>
        <v>MCRO_27-CR-21-4099_Order-Evaluation for Competency to Proceed (Rule 20.01)_2022-11-30_20251126184526.pdf</v>
      </c>
      <c r="H1863" s="7" t="str">
        <f aca="false">HYPERLINK("https://mncourtfraud.com/file/677e52a3b8403ce87e338b0a2e31e6f8e5ddf03fb0ca7043a341135cf0255eaa.ttf","677e52a3b8403ce87e338b0a2e31e6f8e5ddf03fb0ca7043a341135cf0255eaa")</f>
        <v>677e52a3b8403ce87e338b0a2e31e6f8e5ddf03fb0ca7043a341135cf0255eaa</v>
      </c>
      <c r="I1863" s="1" t="s">
        <v>3413</v>
      </c>
      <c r="J1863" s="2" t="s">
        <v>3422</v>
      </c>
      <c r="K1863" s="2" t="s">
        <v>3422</v>
      </c>
      <c r="L1863" s="2" t="s">
        <v>3415</v>
      </c>
      <c r="M1863" s="2" t="n">
        <v>149960</v>
      </c>
    </row>
    <row r="1864" customFormat="false" ht="18.7" hidden="false" customHeight="true" outlineLevel="0" collapsed="false">
      <c r="A1864" s="1" t="n">
        <v>1863</v>
      </c>
      <c r="B1864" s="7" t="str">
        <f aca="false">HYPERLINK("https://mncourtfraud.com/file/27-CR-21-4099.pdf","27-CR-21-4099")</f>
        <v>27-CR-21-4099</v>
      </c>
      <c r="C1864" s="1" t="n">
        <v>1</v>
      </c>
      <c r="D1864" s="2" t="s">
        <v>12</v>
      </c>
      <c r="E1864" s="8" t="n">
        <v>44895</v>
      </c>
      <c r="F1864" s="2" t="s">
        <v>15</v>
      </c>
      <c r="G1864" s="7" t="str">
        <f aca="false">HYPERLINK("https://mncourtfraud.com/file/MCRO_27-CR-21-4099_Order-Evaluation for Competency to Proceed (Rule 20.01)_2022-11-30_20251126184526.pdf","MCRO_27-CR-21-4099_Order-Evaluation for Competency to Proceed (Rule 20.01)_2022-11-30_20251126184526.pdf")</f>
        <v>MCRO_27-CR-21-4099_Order-Evaluation for Competency to Proceed (Rule 20.01)_2022-11-30_20251126184526.pdf</v>
      </c>
      <c r="H1864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1864" s="1" t="s">
        <v>3413</v>
      </c>
      <c r="J1864" s="2" t="s">
        <v>3448</v>
      </c>
      <c r="K1864" s="2" t="s">
        <v>3448</v>
      </c>
      <c r="L1864" s="2" t="s">
        <v>3415</v>
      </c>
      <c r="M1864" s="2" t="n">
        <v>916684</v>
      </c>
    </row>
    <row r="1865" customFormat="false" ht="18.7" hidden="false" customHeight="true" outlineLevel="0" collapsed="false">
      <c r="A1865" s="1" t="n">
        <v>1864</v>
      </c>
      <c r="B1865" s="7" t="str">
        <f aca="false">HYPERLINK("https://mncourtfraud.com/file/27-CR-21-4099.pdf","27-CR-21-4099")</f>
        <v>27-CR-21-4099</v>
      </c>
      <c r="C1865" s="1" t="n">
        <v>1</v>
      </c>
      <c r="D1865" s="2" t="s">
        <v>12</v>
      </c>
      <c r="E1865" s="8" t="n">
        <v>44895</v>
      </c>
      <c r="F1865" s="2" t="s">
        <v>15</v>
      </c>
      <c r="G1865" s="7" t="str">
        <f aca="false">HYPERLINK("https://mncourtfraud.com/file/MCRO_27-CR-21-4099_Order-Evaluation for Competency to Proceed (Rule 20.01)_2022-11-30_20251126184526.pdf","MCRO_27-CR-21-4099_Order-Evaluation for Competency to Proceed (Rule 20.01)_2022-11-30_20251126184526.pdf")</f>
        <v>MCRO_27-CR-21-4099_Order-Evaluation for Competency to Proceed (Rule 20.01)_2022-11-30_20251126184526.pdf</v>
      </c>
      <c r="H1865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865" s="1" t="s">
        <v>3406</v>
      </c>
      <c r="K1865" s="2" t="s">
        <v>3425</v>
      </c>
      <c r="L1865" s="2" t="s">
        <v>3408</v>
      </c>
      <c r="M1865" s="2" t="n">
        <v>21225</v>
      </c>
      <c r="O1865" s="2" t="s">
        <v>3409</v>
      </c>
      <c r="P1865" s="2" t="s">
        <v>3410</v>
      </c>
      <c r="S1865" s="2" t="n">
        <v>319</v>
      </c>
      <c r="T1865" s="2" t="n">
        <v>105</v>
      </c>
    </row>
    <row r="1866" customFormat="false" ht="18.7" hidden="false" customHeight="true" outlineLevel="0" collapsed="false">
      <c r="A1866" s="1" t="n">
        <v>1865</v>
      </c>
      <c r="B1866" s="7" t="str">
        <f aca="false">HYPERLINK("https://mncourtfraud.com/file/27-CR-21-4099.pdf","27-CR-21-4099")</f>
        <v>27-CR-21-4099</v>
      </c>
      <c r="C1866" s="1" t="n">
        <v>1</v>
      </c>
      <c r="D1866" s="2" t="s">
        <v>12</v>
      </c>
      <c r="E1866" s="8" t="n">
        <v>44895</v>
      </c>
      <c r="F1866" s="2" t="s">
        <v>15</v>
      </c>
      <c r="G1866" s="7" t="str">
        <f aca="false">HYPERLINK("https://mncourtfraud.com/file/MCRO_27-CR-21-4099_Order-Evaluation for Competency to Proceed (Rule 20.01)_2022-11-30_20251126184526.pdf","MCRO_27-CR-21-4099_Order-Evaluation for Competency to Proceed (Rule 20.01)_2022-11-30_20251126184526.pdf")</f>
        <v>MCRO_27-CR-21-4099_Order-Evaluation for Competency to Proceed (Rule 20.01)_2022-11-30_20251126184526.pdf</v>
      </c>
      <c r="H1866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1866" s="1" t="s">
        <v>3413</v>
      </c>
      <c r="J1866" s="2" t="s">
        <v>3449</v>
      </c>
      <c r="K1866" s="2" t="s">
        <v>3449</v>
      </c>
      <c r="L1866" s="2" t="s">
        <v>3415</v>
      </c>
      <c r="M1866" s="2" t="n">
        <v>124664</v>
      </c>
    </row>
    <row r="1867" customFormat="false" ht="18.7" hidden="false" customHeight="true" outlineLevel="0" collapsed="false">
      <c r="A1867" s="1" t="n">
        <v>1866</v>
      </c>
      <c r="B1867" s="7" t="str">
        <f aca="false">HYPERLINK("https://mncourtfraud.com/file/27-CR-21-4099.pdf","27-CR-21-4099")</f>
        <v>27-CR-21-4099</v>
      </c>
      <c r="C1867" s="1" t="n">
        <v>1</v>
      </c>
      <c r="D1867" s="2" t="s">
        <v>12</v>
      </c>
      <c r="E1867" s="8" t="n">
        <v>44895</v>
      </c>
      <c r="F1867" s="2" t="s">
        <v>15</v>
      </c>
      <c r="G1867" s="7" t="str">
        <f aca="false">HYPERLINK("https://mncourtfraud.com/file/MCRO_27-CR-21-4099_Order-Evaluation for Competency to Proceed (Rule 20.01)_2022-11-30_20251126184526.pdf","MCRO_27-CR-21-4099_Order-Evaluation for Competency to Proceed (Rule 20.01)_2022-11-30_20251126184526.pdf")</f>
        <v>MCRO_27-CR-21-4099_Order-Evaluation for Competency to Proceed (Rule 20.01)_2022-11-30_20251126184526.pdf</v>
      </c>
      <c r="H1867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1867" s="1" t="s">
        <v>3413</v>
      </c>
      <c r="J1867" s="2" t="s">
        <v>3449</v>
      </c>
      <c r="K1867" s="2" t="s">
        <v>3449</v>
      </c>
      <c r="L1867" s="2" t="s">
        <v>3415</v>
      </c>
      <c r="M1867" s="2" t="n">
        <v>124664</v>
      </c>
    </row>
    <row r="1868" customFormat="false" ht="18.7" hidden="false" customHeight="true" outlineLevel="0" collapsed="false">
      <c r="A1868" s="1" t="n">
        <v>1867</v>
      </c>
      <c r="B1868" s="7" t="str">
        <f aca="false">HYPERLINK("https://mncourtfraud.com/file/27-CR-21-5179.pdf","27-CR-21-5179")</f>
        <v>27-CR-21-5179</v>
      </c>
      <c r="C1868" s="1" t="n">
        <v>5</v>
      </c>
      <c r="D1868" s="2" t="s">
        <v>267</v>
      </c>
      <c r="E1868" s="8" t="n">
        <v>44733</v>
      </c>
      <c r="F1868" s="2" t="s">
        <v>17</v>
      </c>
      <c r="G1868" s="7" t="str">
        <f aca="false">HYPERLINK("https://mncourtfraud.com/file/MCRO_27-CR-21-5179_Returned Mail_2022-06-21_20251126165510.pdf","MCRO_27-CR-21-5179_Returned Mail_2022-06-21_20251126165510.pdf")</f>
        <v>MCRO_27-CR-21-5179_Returned Mail_2022-06-21_20251126165510.pdf</v>
      </c>
      <c r="H1868" s="7" t="str">
        <f aca="false">HYPERLINK("https://mncourtfraud.com/file/a9900bc320d6f8f8e6faf6cb6a19d94fb75f155c51567cbc0c3ade5f0be1cf36.ttf","a9900bc320d6f8f8e6faf6cb6a19d94fb75f155c51567cbc0c3ade5f0be1cf36")</f>
        <v>a9900bc320d6f8f8e6faf6cb6a19d94fb75f155c51567cbc0c3ade5f0be1cf36</v>
      </c>
      <c r="I1868" s="1" t="s">
        <v>3413</v>
      </c>
      <c r="L1868" s="2" t="s">
        <v>3415</v>
      </c>
      <c r="M1868" s="2" t="n">
        <v>333584</v>
      </c>
    </row>
    <row r="1869" customFormat="false" ht="18.7" hidden="false" customHeight="true" outlineLevel="0" collapsed="false">
      <c r="A1869" s="1" t="n">
        <v>1868</v>
      </c>
      <c r="B1869" s="7" t="str">
        <f aca="false">HYPERLINK("https://mncourtfraud.com/file/27-CR-21-5179.pdf","27-CR-21-5179")</f>
        <v>27-CR-21-5179</v>
      </c>
      <c r="C1869" s="1" t="n">
        <v>5</v>
      </c>
      <c r="D1869" s="2" t="s">
        <v>267</v>
      </c>
      <c r="E1869" s="8" t="n">
        <v>44733</v>
      </c>
      <c r="F1869" s="2" t="s">
        <v>17</v>
      </c>
      <c r="G1869" s="7" t="str">
        <f aca="false">HYPERLINK("https://mncourtfraud.com/file/MCRO_27-CR-21-5179_Returned Mail_2022-06-21_20251126165510.pdf","MCRO_27-CR-21-5179_Returned Mail_2022-06-21_20251126165510.pdf")</f>
        <v>MCRO_27-CR-21-5179_Returned Mail_2022-06-21_20251126165510.pdf</v>
      </c>
      <c r="H1869" s="7" t="str">
        <f aca="false">HYPERLINK("https://mncourtfraud.com/file/ff8775b01064a21565185a32606f60efefdcc81fdffe3af20b8a06d10439e897.jpg","ff8775b01064a21565185a32606f60efefdcc81fdffe3af20b8a06d10439e897")</f>
        <v>ff8775b01064a21565185a32606f60efefdcc81fdffe3af20b8a06d10439e897</v>
      </c>
      <c r="I1869" s="1" t="s">
        <v>3417</v>
      </c>
      <c r="L1869" s="2" t="s">
        <v>3419</v>
      </c>
      <c r="M1869" s="2" t="n">
        <v>191047</v>
      </c>
      <c r="S1869" s="2" t="n">
        <v>2550</v>
      </c>
      <c r="T1869" s="2" t="n">
        <v>3300</v>
      </c>
    </row>
    <row r="1870" customFormat="false" ht="18.7" hidden="false" customHeight="true" outlineLevel="0" collapsed="false">
      <c r="A1870" s="1" t="n">
        <v>1869</v>
      </c>
      <c r="B1870" s="7" t="str">
        <f aca="false">HYPERLINK("https://mncourtfraud.com/file/27-CR-21-5179.pdf","27-CR-21-5179")</f>
        <v>27-CR-21-5179</v>
      </c>
      <c r="C1870" s="1" t="n">
        <v>5</v>
      </c>
      <c r="D1870" s="2" t="s">
        <v>267</v>
      </c>
      <c r="E1870" s="8" t="n">
        <v>44837</v>
      </c>
      <c r="F1870" s="2" t="s">
        <v>17</v>
      </c>
      <c r="G1870" s="7" t="str">
        <f aca="false">HYPERLINK("https://mncourtfraud.com/file/MCRO_27-CR-21-5179_Returned Mail_2022-10-03_20251126165520.pdf","MCRO_27-CR-21-5179_Returned Mail_2022-10-03_20251126165520.pdf")</f>
        <v>MCRO_27-CR-21-5179_Returned Mail_2022-10-03_20251126165520.pdf</v>
      </c>
      <c r="H1870" s="7" t="str">
        <f aca="false">HYPERLINK("https://mncourtfraud.com/file/237d5516e0c716146a65e7b2daf746fb6188c66f833317ba27cb286332d42dea.jpg","237d5516e0c716146a65e7b2daf746fb6188c66f833317ba27cb286332d42dea")</f>
        <v>237d5516e0c716146a65e7b2daf746fb6188c66f833317ba27cb286332d42dea</v>
      </c>
      <c r="I1870" s="1" t="s">
        <v>3417</v>
      </c>
      <c r="L1870" s="2" t="s">
        <v>3419</v>
      </c>
      <c r="M1870" s="2" t="n">
        <v>318425</v>
      </c>
      <c r="S1870" s="2" t="n">
        <v>2550</v>
      </c>
      <c r="T1870" s="2" t="n">
        <v>3300</v>
      </c>
    </row>
    <row r="1871" customFormat="false" ht="18.7" hidden="false" customHeight="true" outlineLevel="0" collapsed="false">
      <c r="A1871" s="1" t="n">
        <v>1870</v>
      </c>
      <c r="B1871" s="7" t="str">
        <f aca="false">HYPERLINK("https://mncourtfraud.com/file/27-CR-21-5179.pdf","27-CR-21-5179")</f>
        <v>27-CR-21-5179</v>
      </c>
      <c r="C1871" s="1" t="n">
        <v>5</v>
      </c>
      <c r="D1871" s="2" t="s">
        <v>267</v>
      </c>
      <c r="E1871" s="8" t="n">
        <v>44837</v>
      </c>
      <c r="F1871" s="2" t="s">
        <v>17</v>
      </c>
      <c r="G1871" s="7" t="str">
        <f aca="false">HYPERLINK("https://mncourtfraud.com/file/MCRO_27-CR-21-5179_Returned Mail_2022-10-03_20251126165520.pdf","MCRO_27-CR-21-5179_Returned Mail_2022-10-03_20251126165520.pdf")</f>
        <v>MCRO_27-CR-21-5179_Returned Mail_2022-10-03_20251126165520.pdf</v>
      </c>
      <c r="H1871" s="7" t="str">
        <f aca="false">HYPERLINK("https://mncourtfraud.com/file/a5e5c392eb46244eb2f6cb58ac26cd8ceafb56d6f16b754ee26ba4f3c1b3b729.ttf","a5e5c392eb46244eb2f6cb58ac26cd8ceafb56d6f16b754ee26ba4f3c1b3b729")</f>
        <v>a5e5c392eb46244eb2f6cb58ac26cd8ceafb56d6f16b754ee26ba4f3c1b3b729</v>
      </c>
      <c r="I1871" s="1" t="s">
        <v>3413</v>
      </c>
      <c r="L1871" s="2" t="s">
        <v>3415</v>
      </c>
      <c r="M1871" s="2" t="n">
        <v>333584</v>
      </c>
    </row>
    <row r="1872" customFormat="false" ht="18.7" hidden="false" customHeight="true" outlineLevel="0" collapsed="false">
      <c r="A1872" s="1" t="n">
        <v>1871</v>
      </c>
      <c r="B1872" s="7" t="str">
        <f aca="false">HYPERLINK("https://mncourtfraud.com/file/27-CR-21-5179.pdf","27-CR-21-5179")</f>
        <v>27-CR-21-5179</v>
      </c>
      <c r="C1872" s="1" t="n">
        <v>5</v>
      </c>
      <c r="D1872" s="2" t="s">
        <v>267</v>
      </c>
      <c r="E1872" s="8" t="n">
        <v>44873</v>
      </c>
      <c r="F1872" s="2" t="s">
        <v>15</v>
      </c>
      <c r="G1872" s="7" t="str">
        <f aca="false">HYPERLINK("https://mncourtfraud.com/file/MCRO_27-CR-21-5179_Order-Evaluation for Competency to Proceed (Rule 20.01)_2022-11-08_20251126165604.pdf","MCRO_27-CR-21-5179_Order-Evaluation for Competency to Proceed (Rule 20.01)_2022-11-08_20251126165604.pdf")</f>
        <v>MCRO_27-CR-21-5179_Order-Evaluation for Competency to Proceed (Rule 20.01)_2022-11-08_20251126165604.pdf</v>
      </c>
      <c r="H1872" s="7" t="str">
        <f aca="false">HYPERLINK("https://mncourtfraud.com/file/082f387ba4835f1cae3d2529d7afa13cbb922baebe03519ee43d2c14358c2398.jpg","082f387ba4835f1cae3d2529d7afa13cbb922baebe03519ee43d2c14358c2398")</f>
        <v>082f387ba4835f1cae3d2529d7afa13cbb922baebe03519ee43d2c14358c2398</v>
      </c>
      <c r="I1872" s="1" t="s">
        <v>3417</v>
      </c>
      <c r="L1872" s="2" t="s">
        <v>3418</v>
      </c>
      <c r="M1872" s="2" t="n">
        <v>300734</v>
      </c>
      <c r="S1872" s="2" t="n">
        <v>1700</v>
      </c>
      <c r="T1872" s="2" t="n">
        <v>2200</v>
      </c>
    </row>
    <row r="1873" customFormat="false" ht="18.7" hidden="false" customHeight="true" outlineLevel="0" collapsed="false">
      <c r="A1873" s="1" t="n">
        <v>1872</v>
      </c>
      <c r="B1873" s="7" t="str">
        <f aca="false">HYPERLINK("https://mncourtfraud.com/file/27-CR-21-5179.pdf","27-CR-21-5179")</f>
        <v>27-CR-21-5179</v>
      </c>
      <c r="C1873" s="1" t="n">
        <v>5</v>
      </c>
      <c r="D1873" s="2" t="s">
        <v>267</v>
      </c>
      <c r="E1873" s="8" t="n">
        <v>44873</v>
      </c>
      <c r="F1873" s="2" t="s">
        <v>15</v>
      </c>
      <c r="G1873" s="7" t="str">
        <f aca="false">HYPERLINK("https://mncourtfraud.com/file/MCRO_27-CR-21-5179_Order-Evaluation for Competency to Proceed (Rule 20.01)_2022-11-08_20251126165604.pdf","MCRO_27-CR-21-5179_Order-Evaluation for Competency to Proceed (Rule 20.01)_2022-11-08_20251126165604.pdf")</f>
        <v>MCRO_27-CR-21-5179_Order-Evaluation for Competency to Proceed (Rule 20.01)_2022-11-08_20251126165604.pdf</v>
      </c>
      <c r="H1873" s="7" t="str">
        <f aca="false">HYPERLINK("https://mncourtfraud.com/file/5ec6a5633be2d5f7201fcc405ec826928f8ebd9d0f347fee056c3ff04cd3e3d7.ttf","5ec6a5633be2d5f7201fcc405ec826928f8ebd9d0f347fee056c3ff04cd3e3d7")</f>
        <v>5ec6a5633be2d5f7201fcc405ec826928f8ebd9d0f347fee056c3ff04cd3e3d7</v>
      </c>
      <c r="I1873" s="1" t="s">
        <v>3413</v>
      </c>
      <c r="L1873" s="2" t="s">
        <v>3415</v>
      </c>
      <c r="M1873" s="2" t="n">
        <v>333576</v>
      </c>
    </row>
    <row r="1874" customFormat="false" ht="18.7" hidden="false" customHeight="true" outlineLevel="0" collapsed="false">
      <c r="A1874" s="1" t="n">
        <v>1873</v>
      </c>
      <c r="B1874" s="7" t="str">
        <f aca="false">HYPERLINK("https://mncourtfraud.com/file/27-CR-21-5179.pdf","27-CR-21-5179")</f>
        <v>27-CR-21-5179</v>
      </c>
      <c r="C1874" s="1" t="n">
        <v>5</v>
      </c>
      <c r="D1874" s="2" t="s">
        <v>267</v>
      </c>
      <c r="E1874" s="8" t="n">
        <v>44873</v>
      </c>
      <c r="F1874" s="2" t="s">
        <v>15</v>
      </c>
      <c r="G1874" s="7" t="str">
        <f aca="false">HYPERLINK("https://mncourtfraud.com/file/MCRO_27-CR-21-5179_Order-Evaluation for Competency to Proceed (Rule 20.01)_2022-11-08_20251126165604.pdf","MCRO_27-CR-21-5179_Order-Evaluation for Competency to Proceed (Rule 20.01)_2022-11-08_20251126165604.pdf")</f>
        <v>MCRO_27-CR-21-5179_Order-Evaluation for Competency to Proceed (Rule 20.01)_2022-11-08_20251126165604.pdf</v>
      </c>
      <c r="H1874" s="7" t="str">
        <f aca="false">HYPERLINK("https://mncourtfraud.com/file/6efe5689334238d45a24a51d7cd932b18f0bce47806d862dbcc29a63132d5402.jpg","6efe5689334238d45a24a51d7cd932b18f0bce47806d862dbcc29a63132d5402")</f>
        <v>6efe5689334238d45a24a51d7cd932b18f0bce47806d862dbcc29a63132d5402</v>
      </c>
      <c r="I1874" s="1" t="s">
        <v>3417</v>
      </c>
      <c r="L1874" s="2" t="s">
        <v>3418</v>
      </c>
      <c r="M1874" s="2" t="n">
        <v>59609</v>
      </c>
      <c r="S1874" s="2" t="n">
        <v>1700</v>
      </c>
      <c r="T1874" s="2" t="n">
        <v>2200</v>
      </c>
    </row>
    <row r="1875" customFormat="false" ht="18.7" hidden="false" customHeight="true" outlineLevel="0" collapsed="false">
      <c r="A1875" s="1" t="n">
        <v>1874</v>
      </c>
      <c r="B1875" s="7" t="str">
        <f aca="false">HYPERLINK("https://mncourtfraud.com/file/27-CR-21-5179.pdf","27-CR-21-5179")</f>
        <v>27-CR-21-5179</v>
      </c>
      <c r="C1875" s="1" t="n">
        <v>5</v>
      </c>
      <c r="D1875" s="2" t="s">
        <v>267</v>
      </c>
      <c r="E1875" s="8" t="n">
        <v>44873</v>
      </c>
      <c r="F1875" s="2" t="s">
        <v>15</v>
      </c>
      <c r="G1875" s="7" t="str">
        <f aca="false">HYPERLINK("https://mncourtfraud.com/file/MCRO_27-CR-21-5179_Order-Evaluation for Competency to Proceed (Rule 20.01)_2022-11-08_20251126165604.pdf","MCRO_27-CR-21-5179_Order-Evaluation for Competency to Proceed (Rule 20.01)_2022-11-08_20251126165604.pdf")</f>
        <v>MCRO_27-CR-21-5179_Order-Evaluation for Competency to Proceed (Rule 20.01)_2022-11-08_20251126165604.pdf</v>
      </c>
      <c r="H1875" s="7" t="str">
        <f aca="false">HYPERLINK("https://mncourtfraud.com/file/fc4055f8addb8eece144843412a390d7992a7db6c5473e9a7648f1bd742f06a0.jpg","fc4055f8addb8eece144843412a390d7992a7db6c5473e9a7648f1bd742f06a0")</f>
        <v>fc4055f8addb8eece144843412a390d7992a7db6c5473e9a7648f1bd742f06a0</v>
      </c>
      <c r="I1875" s="1" t="s">
        <v>3417</v>
      </c>
      <c r="L1875" s="2" t="s">
        <v>3418</v>
      </c>
      <c r="M1875" s="2" t="n">
        <v>366016</v>
      </c>
      <c r="S1875" s="2" t="n">
        <v>1700</v>
      </c>
      <c r="T1875" s="2" t="n">
        <v>2200</v>
      </c>
    </row>
    <row r="1876" customFormat="false" ht="18.7" hidden="false" customHeight="true" outlineLevel="0" collapsed="false">
      <c r="A1876" s="1" t="n">
        <v>1875</v>
      </c>
      <c r="B1876" s="7" t="str">
        <f aca="false">HYPERLINK("https://mncourtfraud.com/file/27-CR-21-5179.pdf","27-CR-21-5179")</f>
        <v>27-CR-21-5179</v>
      </c>
      <c r="C1876" s="1" t="n">
        <v>5</v>
      </c>
      <c r="D1876" s="2" t="s">
        <v>267</v>
      </c>
      <c r="E1876" s="8" t="n">
        <v>45023</v>
      </c>
      <c r="F1876" s="2" t="s">
        <v>15</v>
      </c>
      <c r="G1876" s="7" t="str">
        <f aca="false">HYPERLINK("https://mncourtfraud.com/file/MCRO_27-CR-21-5179_Order-Evaluation for Competency to Proceed (Rule 20.01)_2023-04-07_20251126165613.pdf","MCRO_27-CR-21-5179_Order-Evaluation for Competency to Proceed (Rule 20.01)_2023-04-07_20251126165613.pdf")</f>
        <v>MCRO_27-CR-21-5179_Order-Evaluation for Competency to Proceed (Rule 20.01)_2023-04-07_20251126165613.pdf</v>
      </c>
      <c r="H1876" s="7" t="str">
        <f aca="false">HYPERLINK("https://mncourtfraud.com/file/6408ac329eaf94eb0643d1d16ea56a0d67827e6b70cc9c64bdecf4eb54879e37.ttf","6408ac329eaf94eb0643d1d16ea56a0d67827e6b70cc9c64bdecf4eb54879e37")</f>
        <v>6408ac329eaf94eb0643d1d16ea56a0d67827e6b70cc9c64bdecf4eb54879e37</v>
      </c>
      <c r="I1876" s="1" t="s">
        <v>3413</v>
      </c>
      <c r="L1876" s="2" t="s">
        <v>3415</v>
      </c>
      <c r="M1876" s="2" t="n">
        <v>8688</v>
      </c>
    </row>
    <row r="1877" customFormat="false" ht="18.7" hidden="false" customHeight="true" outlineLevel="0" collapsed="false">
      <c r="A1877" s="1" t="n">
        <v>1876</v>
      </c>
      <c r="B1877" s="7" t="str">
        <f aca="false">HYPERLINK("https://mncourtfraud.com/file/27-CR-21-5179.pdf","27-CR-21-5179")</f>
        <v>27-CR-21-5179</v>
      </c>
      <c r="C1877" s="1" t="n">
        <v>5</v>
      </c>
      <c r="D1877" s="2" t="s">
        <v>267</v>
      </c>
      <c r="E1877" s="8" t="n">
        <v>45023</v>
      </c>
      <c r="F1877" s="2" t="s">
        <v>15</v>
      </c>
      <c r="G1877" s="7" t="str">
        <f aca="false">HYPERLINK("https://mncourtfraud.com/file/MCRO_27-CR-21-5179_Order-Evaluation for Competency to Proceed (Rule 20.01)_2023-04-07_20251126165613.pdf","MCRO_27-CR-21-5179_Order-Evaluation for Competency to Proceed (Rule 20.01)_2023-04-07_20251126165613.pdf")</f>
        <v>MCRO_27-CR-21-5179_Order-Evaluation for Competency to Proceed (Rule 20.01)_2023-04-07_20251126165613.pdf</v>
      </c>
      <c r="H1877" s="7" t="str">
        <f aca="false">HYPERLINK("https://mncourtfraud.com/file/7ab6e9728da50cb6a8bdaab7f81ec4dfd952160f127ed5e1a903fdac82cc4f8f.jpg","7ab6e9728da50cb6a8bdaab7f81ec4dfd952160f127ed5e1a903fdac82cc4f8f")</f>
        <v>7ab6e9728da50cb6a8bdaab7f81ec4dfd952160f127ed5e1a903fdac82cc4f8f</v>
      </c>
      <c r="I1877" s="1" t="s">
        <v>3417</v>
      </c>
      <c r="L1877" s="2" t="s">
        <v>3418</v>
      </c>
      <c r="M1877" s="2" t="n">
        <v>515134</v>
      </c>
      <c r="S1877" s="2" t="n">
        <v>2550</v>
      </c>
      <c r="T1877" s="2" t="n">
        <v>3300</v>
      </c>
    </row>
    <row r="1878" customFormat="false" ht="18.7" hidden="false" customHeight="true" outlineLevel="0" collapsed="false">
      <c r="A1878" s="1" t="n">
        <v>1877</v>
      </c>
      <c r="B1878" s="7" t="str">
        <f aca="false">HYPERLINK("https://mncourtfraud.com/file/27-CR-21-5179.pdf","27-CR-21-5179")</f>
        <v>27-CR-21-5179</v>
      </c>
      <c r="C1878" s="1" t="n">
        <v>5</v>
      </c>
      <c r="D1878" s="2" t="s">
        <v>267</v>
      </c>
      <c r="E1878" s="8" t="n">
        <v>45023</v>
      </c>
      <c r="F1878" s="2" t="s">
        <v>15</v>
      </c>
      <c r="G1878" s="7" t="str">
        <f aca="false">HYPERLINK("https://mncourtfraud.com/file/MCRO_27-CR-21-5179_Order-Evaluation for Competency to Proceed (Rule 20.01)_2023-04-07_20251126165613.pdf","MCRO_27-CR-21-5179_Order-Evaluation for Competency to Proceed (Rule 20.01)_2023-04-07_20251126165613.pdf")</f>
        <v>MCRO_27-CR-21-5179_Order-Evaluation for Competency to Proceed (Rule 20.01)_2023-04-07_20251126165613.pdf</v>
      </c>
      <c r="H1878" s="7" t="str">
        <f aca="false">HYPERLINK("https://mncourtfraud.com/file/c32983b2be36217d69a6ee4cd510dbc5738ef5043ad35f3e2aeda6cb72a2a921.jpg","c32983b2be36217d69a6ee4cd510dbc5738ef5043ad35f3e2aeda6cb72a2a921")</f>
        <v>c32983b2be36217d69a6ee4cd510dbc5738ef5043ad35f3e2aeda6cb72a2a921</v>
      </c>
      <c r="I1878" s="1" t="s">
        <v>3417</v>
      </c>
      <c r="L1878" s="2" t="s">
        <v>3418</v>
      </c>
      <c r="M1878" s="2" t="n">
        <v>649760</v>
      </c>
      <c r="S1878" s="2" t="n">
        <v>2550</v>
      </c>
      <c r="T1878" s="2" t="n">
        <v>3300</v>
      </c>
    </row>
    <row r="1879" customFormat="false" ht="18.7" hidden="false" customHeight="true" outlineLevel="0" collapsed="false">
      <c r="A1879" s="1" t="n">
        <v>1878</v>
      </c>
      <c r="B1879" s="7" t="str">
        <f aca="false">HYPERLINK("https://mncourtfraud.com/file/27-CR-21-5179.pdf","27-CR-21-5179")</f>
        <v>27-CR-21-5179</v>
      </c>
      <c r="C1879" s="1" t="n">
        <v>5</v>
      </c>
      <c r="D1879" s="2" t="s">
        <v>267</v>
      </c>
      <c r="E1879" s="8" t="n">
        <v>45194</v>
      </c>
      <c r="F1879" s="2" t="s">
        <v>15</v>
      </c>
      <c r="G1879" s="7" t="str">
        <f aca="false">HYPERLINK("https://mncourtfraud.com/file/MCRO_27-CR-21-5179_Order-Evaluation for Competency to Proceed (Rule 20.01)_2023-09-25_20251126165545.pdf","MCRO_27-CR-21-5179_Order-Evaluation for Competency to Proceed (Rule 20.01)_2023-09-25_20251126165545.pdf")</f>
        <v>MCRO_27-CR-21-5179_Order-Evaluation for Competency to Proceed (Rule 20.01)_2023-09-25_20251126165545.pdf</v>
      </c>
      <c r="H1879" s="7" t="str">
        <f aca="false">HYPERLINK("https://mncourtfraud.com/file/4c385f7ae8b1b78bc4ac3302e35eeaeb47e175305fd776c018ad0582a082d2f1.png","4c385f7ae8b1b78bc4ac3302e35eeaeb47e175305fd776c018ad0582a082d2f1")</f>
        <v>4c385f7ae8b1b78bc4ac3302e35eeaeb47e175305fd776c018ad0582a082d2f1</v>
      </c>
      <c r="I1879" s="1" t="s">
        <v>3406</v>
      </c>
      <c r="L1879" s="2" t="s">
        <v>3412</v>
      </c>
      <c r="M1879" s="2" t="n">
        <v>162309</v>
      </c>
      <c r="S1879" s="2" t="n">
        <v>2560</v>
      </c>
      <c r="T1879" s="2" t="n">
        <v>3300</v>
      </c>
    </row>
    <row r="1880" customFormat="false" ht="18.7" hidden="false" customHeight="true" outlineLevel="0" collapsed="false">
      <c r="A1880" s="1" t="n">
        <v>1879</v>
      </c>
      <c r="B1880" s="7" t="str">
        <f aca="false">HYPERLINK("https://mncourtfraud.com/file/27-CR-21-5179.pdf","27-CR-21-5179")</f>
        <v>27-CR-21-5179</v>
      </c>
      <c r="C1880" s="1" t="n">
        <v>5</v>
      </c>
      <c r="D1880" s="2" t="s">
        <v>267</v>
      </c>
      <c r="E1880" s="8" t="n">
        <v>45194</v>
      </c>
      <c r="F1880" s="2" t="s">
        <v>15</v>
      </c>
      <c r="G1880" s="7" t="str">
        <f aca="false">HYPERLINK("https://mncourtfraud.com/file/MCRO_27-CR-21-5179_Order-Evaluation for Competency to Proceed (Rule 20.01)_2023-09-25_20251126165545.pdf","MCRO_27-CR-21-5179_Order-Evaluation for Competency to Proceed (Rule 20.01)_2023-09-25_20251126165545.pdf")</f>
        <v>MCRO_27-CR-21-5179_Order-Evaluation for Competency to Proceed (Rule 20.01)_2023-09-25_20251126165545.pdf</v>
      </c>
      <c r="H1880" s="7" t="str">
        <f aca="false">HYPERLINK("https://mncourtfraud.com/file/9f61d1c86b92a1cfe4c2425ebe7c20689b4132fc43316fa8ae4829c07f8dccd6.ttf","9f61d1c86b92a1cfe4c2425ebe7c20689b4132fc43316fa8ae4829c07f8dccd6")</f>
        <v>9f61d1c86b92a1cfe4c2425ebe7c20689b4132fc43316fa8ae4829c07f8dccd6</v>
      </c>
      <c r="I1880" s="1" t="s">
        <v>3413</v>
      </c>
      <c r="L1880" s="2" t="s">
        <v>3415</v>
      </c>
      <c r="M1880" s="2" t="n">
        <v>333576</v>
      </c>
    </row>
    <row r="1881" customFormat="false" ht="18.7" hidden="false" customHeight="true" outlineLevel="0" collapsed="false">
      <c r="A1881" s="1" t="n">
        <v>1880</v>
      </c>
      <c r="B1881" s="7" t="str">
        <f aca="false">HYPERLINK("https://mncourtfraud.com/file/27-CR-21-5179.pdf","27-CR-21-5179")</f>
        <v>27-CR-21-5179</v>
      </c>
      <c r="C1881" s="1" t="n">
        <v>5</v>
      </c>
      <c r="D1881" s="2" t="s">
        <v>267</v>
      </c>
      <c r="E1881" s="8" t="n">
        <v>45194</v>
      </c>
      <c r="F1881" s="2" t="s">
        <v>15</v>
      </c>
      <c r="G1881" s="7" t="str">
        <f aca="false">HYPERLINK("https://mncourtfraud.com/file/MCRO_27-CR-21-5179_Order-Evaluation for Competency to Proceed (Rule 20.01)_2023-09-25_20251126165545.pdf","MCRO_27-CR-21-5179_Order-Evaluation for Competency to Proceed (Rule 20.01)_2023-09-25_20251126165545.pdf")</f>
        <v>MCRO_27-CR-21-5179_Order-Evaluation for Competency to Proceed (Rule 20.01)_2023-09-25_20251126165545.pdf</v>
      </c>
      <c r="H1881" s="7" t="str">
        <f aca="false">HYPERLINK("https://mncourtfraud.com/file/e8ec090484db08b3be9daaa10e2fef35a99135ae0a2f234de7613cfacc2f6cac.png","e8ec090484db08b3be9daaa10e2fef35a99135ae0a2f234de7613cfacc2f6cac")</f>
        <v>e8ec090484db08b3be9daaa10e2fef35a99135ae0a2f234de7613cfacc2f6cac</v>
      </c>
      <c r="I1881" s="1" t="s">
        <v>3406</v>
      </c>
      <c r="L1881" s="2" t="s">
        <v>3412</v>
      </c>
      <c r="M1881" s="2" t="n">
        <v>133015</v>
      </c>
      <c r="S1881" s="2" t="n">
        <v>2560</v>
      </c>
      <c r="T1881" s="2" t="n">
        <v>3300</v>
      </c>
    </row>
    <row r="1882" customFormat="false" ht="18.7" hidden="false" customHeight="true" outlineLevel="0" collapsed="false">
      <c r="A1882" s="1" t="n">
        <v>1881</v>
      </c>
      <c r="B1882" s="7" t="str">
        <f aca="false">HYPERLINK("https://mncourtfraud.com/file/27-CR-22-10565.pdf","27-CR-22-10565")</f>
        <v>27-CR-22-10565</v>
      </c>
      <c r="C1882" s="1" t="n">
        <v>5</v>
      </c>
      <c r="D1882" s="2" t="s">
        <v>267</v>
      </c>
      <c r="E1882" s="8" t="n">
        <v>44837</v>
      </c>
      <c r="F1882" s="2" t="s">
        <v>17</v>
      </c>
      <c r="G1882" s="7" t="str">
        <f aca="false">HYPERLINK("https://mncourtfraud.com/file/MCRO_27-CR-22-10565_Returned Mail_2022-10-03_20251126165716.pdf","MCRO_27-CR-22-10565_Returned Mail_2022-10-03_20251126165716.pdf")</f>
        <v>MCRO_27-CR-22-10565_Returned Mail_2022-10-03_20251126165716.pdf</v>
      </c>
      <c r="H1882" s="7" t="str">
        <f aca="false">HYPERLINK("https://mncourtfraud.com/file/237d5516e0c716146a65e7b2daf746fb6188c66f833317ba27cb286332d42dea.jpg","237d5516e0c716146a65e7b2daf746fb6188c66f833317ba27cb286332d42dea")</f>
        <v>237d5516e0c716146a65e7b2daf746fb6188c66f833317ba27cb286332d42dea</v>
      </c>
      <c r="I1882" s="1" t="s">
        <v>3417</v>
      </c>
      <c r="L1882" s="2" t="s">
        <v>3419</v>
      </c>
      <c r="M1882" s="2" t="n">
        <v>318425</v>
      </c>
      <c r="S1882" s="2" t="n">
        <v>2550</v>
      </c>
      <c r="T1882" s="2" t="n">
        <v>3300</v>
      </c>
    </row>
    <row r="1883" customFormat="false" ht="18.7" hidden="false" customHeight="true" outlineLevel="0" collapsed="false">
      <c r="A1883" s="1" t="n">
        <v>1882</v>
      </c>
      <c r="B1883" s="7" t="str">
        <f aca="false">HYPERLINK("https://mncourtfraud.com/file/27-CR-22-10565.pdf","27-CR-22-10565")</f>
        <v>27-CR-22-10565</v>
      </c>
      <c r="C1883" s="1" t="n">
        <v>5</v>
      </c>
      <c r="D1883" s="2" t="s">
        <v>267</v>
      </c>
      <c r="E1883" s="8" t="n">
        <v>44837</v>
      </c>
      <c r="F1883" s="2" t="s">
        <v>17</v>
      </c>
      <c r="G1883" s="7" t="str">
        <f aca="false">HYPERLINK("https://mncourtfraud.com/file/MCRO_27-CR-22-10565_Returned Mail_2022-10-03_20251126165716.pdf","MCRO_27-CR-22-10565_Returned Mail_2022-10-03_20251126165716.pdf")</f>
        <v>MCRO_27-CR-22-10565_Returned Mail_2022-10-03_20251126165716.pdf</v>
      </c>
      <c r="H1883" s="7" t="str">
        <f aca="false">HYPERLINK("https://mncourtfraud.com/file/a5e5c392eb46244eb2f6cb58ac26cd8ceafb56d6f16b754ee26ba4f3c1b3b729.ttf","a5e5c392eb46244eb2f6cb58ac26cd8ceafb56d6f16b754ee26ba4f3c1b3b729")</f>
        <v>a5e5c392eb46244eb2f6cb58ac26cd8ceafb56d6f16b754ee26ba4f3c1b3b729</v>
      </c>
      <c r="I1883" s="1" t="s">
        <v>3413</v>
      </c>
      <c r="L1883" s="2" t="s">
        <v>3415</v>
      </c>
      <c r="M1883" s="2" t="n">
        <v>333584</v>
      </c>
    </row>
    <row r="1884" customFormat="false" ht="18.7" hidden="false" customHeight="true" outlineLevel="0" collapsed="false">
      <c r="A1884" s="1" t="n">
        <v>1883</v>
      </c>
      <c r="B1884" s="7" t="str">
        <f aca="false">HYPERLINK("https://mncourtfraud.com/file/27-CR-22-10565.pdf","27-CR-22-10565")</f>
        <v>27-CR-22-10565</v>
      </c>
      <c r="C1884" s="1" t="n">
        <v>5</v>
      </c>
      <c r="D1884" s="2" t="s">
        <v>267</v>
      </c>
      <c r="E1884" s="8" t="n">
        <v>44873</v>
      </c>
      <c r="F1884" s="2" t="s">
        <v>15</v>
      </c>
      <c r="G1884" s="7" t="str">
        <f aca="false">HYPERLINK("https://mncourtfraud.com/file/MCRO_27-CR-22-10565_Order-Evaluation for Competency to Proceed (Rule 20.01)_2022-11-08_20251126165641.pdf","MCRO_27-CR-22-10565_Order-Evaluation for Competency to Proceed (Rule 20.01)_2022-11-08_20251126165641.pdf")</f>
        <v>MCRO_27-CR-22-10565_Order-Evaluation for Competency to Proceed (Rule 20.01)_2022-11-08_20251126165641.pdf</v>
      </c>
      <c r="H1884" s="7" t="str">
        <f aca="false">HYPERLINK("https://mncourtfraud.com/file/082f387ba4835f1cae3d2529d7afa13cbb922baebe03519ee43d2c14358c2398.jpg","082f387ba4835f1cae3d2529d7afa13cbb922baebe03519ee43d2c14358c2398")</f>
        <v>082f387ba4835f1cae3d2529d7afa13cbb922baebe03519ee43d2c14358c2398</v>
      </c>
      <c r="I1884" s="1" t="s">
        <v>3417</v>
      </c>
      <c r="L1884" s="2" t="s">
        <v>3418</v>
      </c>
      <c r="M1884" s="2" t="n">
        <v>300734</v>
      </c>
      <c r="S1884" s="2" t="n">
        <v>1700</v>
      </c>
      <c r="T1884" s="2" t="n">
        <v>2200</v>
      </c>
    </row>
    <row r="1885" customFormat="false" ht="18.7" hidden="false" customHeight="true" outlineLevel="0" collapsed="false">
      <c r="A1885" s="1" t="n">
        <v>1884</v>
      </c>
      <c r="B1885" s="7" t="str">
        <f aca="false">HYPERLINK("https://mncourtfraud.com/file/27-CR-22-10565.pdf","27-CR-22-10565")</f>
        <v>27-CR-22-10565</v>
      </c>
      <c r="C1885" s="1" t="n">
        <v>5</v>
      </c>
      <c r="D1885" s="2" t="s">
        <v>267</v>
      </c>
      <c r="E1885" s="8" t="n">
        <v>44873</v>
      </c>
      <c r="F1885" s="2" t="s">
        <v>15</v>
      </c>
      <c r="G1885" s="7" t="str">
        <f aca="false">HYPERLINK("https://mncourtfraud.com/file/MCRO_27-CR-22-10565_Order-Evaluation for Competency to Proceed (Rule 20.01)_2022-11-08_20251126165641.pdf","MCRO_27-CR-22-10565_Order-Evaluation for Competency to Proceed (Rule 20.01)_2022-11-08_20251126165641.pdf")</f>
        <v>MCRO_27-CR-22-10565_Order-Evaluation for Competency to Proceed (Rule 20.01)_2022-11-08_20251126165641.pdf</v>
      </c>
      <c r="H1885" s="7" t="str">
        <f aca="false">HYPERLINK("https://mncourtfraud.com/file/5ec6a5633be2d5f7201fcc405ec826928f8ebd9d0f347fee056c3ff04cd3e3d7.ttf","5ec6a5633be2d5f7201fcc405ec826928f8ebd9d0f347fee056c3ff04cd3e3d7")</f>
        <v>5ec6a5633be2d5f7201fcc405ec826928f8ebd9d0f347fee056c3ff04cd3e3d7</v>
      </c>
      <c r="I1885" s="1" t="s">
        <v>3413</v>
      </c>
      <c r="L1885" s="2" t="s">
        <v>3415</v>
      </c>
      <c r="M1885" s="2" t="n">
        <v>333576</v>
      </c>
    </row>
    <row r="1886" customFormat="false" ht="18.7" hidden="false" customHeight="true" outlineLevel="0" collapsed="false">
      <c r="A1886" s="1" t="n">
        <v>1885</v>
      </c>
      <c r="B1886" s="7" t="str">
        <f aca="false">HYPERLINK("https://mncourtfraud.com/file/27-CR-22-10565.pdf","27-CR-22-10565")</f>
        <v>27-CR-22-10565</v>
      </c>
      <c r="C1886" s="1" t="n">
        <v>5</v>
      </c>
      <c r="D1886" s="2" t="s">
        <v>267</v>
      </c>
      <c r="E1886" s="8" t="n">
        <v>44873</v>
      </c>
      <c r="F1886" s="2" t="s">
        <v>15</v>
      </c>
      <c r="G1886" s="7" t="str">
        <f aca="false">HYPERLINK("https://mncourtfraud.com/file/MCRO_27-CR-22-10565_Order-Evaluation for Competency to Proceed (Rule 20.01)_2022-11-08_20251126165641.pdf","MCRO_27-CR-22-10565_Order-Evaluation for Competency to Proceed (Rule 20.01)_2022-11-08_20251126165641.pdf")</f>
        <v>MCRO_27-CR-22-10565_Order-Evaluation for Competency to Proceed (Rule 20.01)_2022-11-08_20251126165641.pdf</v>
      </c>
      <c r="H1886" s="7" t="str">
        <f aca="false">HYPERLINK("https://mncourtfraud.com/file/6efe5689334238d45a24a51d7cd932b18f0bce47806d862dbcc29a63132d5402.jpg","6efe5689334238d45a24a51d7cd932b18f0bce47806d862dbcc29a63132d5402")</f>
        <v>6efe5689334238d45a24a51d7cd932b18f0bce47806d862dbcc29a63132d5402</v>
      </c>
      <c r="I1886" s="1" t="s">
        <v>3417</v>
      </c>
      <c r="L1886" s="2" t="s">
        <v>3418</v>
      </c>
      <c r="M1886" s="2" t="n">
        <v>59609</v>
      </c>
      <c r="S1886" s="2" t="n">
        <v>1700</v>
      </c>
      <c r="T1886" s="2" t="n">
        <v>2200</v>
      </c>
    </row>
    <row r="1887" customFormat="false" ht="18.7" hidden="false" customHeight="true" outlineLevel="0" collapsed="false">
      <c r="A1887" s="1" t="n">
        <v>1886</v>
      </c>
      <c r="B1887" s="7" t="str">
        <f aca="false">HYPERLINK("https://mncourtfraud.com/file/27-CR-22-10565.pdf","27-CR-22-10565")</f>
        <v>27-CR-22-10565</v>
      </c>
      <c r="C1887" s="1" t="n">
        <v>5</v>
      </c>
      <c r="D1887" s="2" t="s">
        <v>267</v>
      </c>
      <c r="E1887" s="8" t="n">
        <v>44873</v>
      </c>
      <c r="F1887" s="2" t="s">
        <v>15</v>
      </c>
      <c r="G1887" s="7" t="str">
        <f aca="false">HYPERLINK("https://mncourtfraud.com/file/MCRO_27-CR-22-10565_Order-Evaluation for Competency to Proceed (Rule 20.01)_2022-11-08_20251126165641.pdf","MCRO_27-CR-22-10565_Order-Evaluation for Competency to Proceed (Rule 20.01)_2022-11-08_20251126165641.pdf")</f>
        <v>MCRO_27-CR-22-10565_Order-Evaluation for Competency to Proceed (Rule 20.01)_2022-11-08_20251126165641.pdf</v>
      </c>
      <c r="H1887" s="7" t="str">
        <f aca="false">HYPERLINK("https://mncourtfraud.com/file/fc4055f8addb8eece144843412a390d7992a7db6c5473e9a7648f1bd742f06a0.jpg","fc4055f8addb8eece144843412a390d7992a7db6c5473e9a7648f1bd742f06a0")</f>
        <v>fc4055f8addb8eece144843412a390d7992a7db6c5473e9a7648f1bd742f06a0</v>
      </c>
      <c r="I1887" s="1" t="s">
        <v>3417</v>
      </c>
      <c r="L1887" s="2" t="s">
        <v>3418</v>
      </c>
      <c r="M1887" s="2" t="n">
        <v>366016</v>
      </c>
      <c r="S1887" s="2" t="n">
        <v>1700</v>
      </c>
      <c r="T1887" s="2" t="n">
        <v>2200</v>
      </c>
    </row>
    <row r="1888" customFormat="false" ht="18.7" hidden="false" customHeight="true" outlineLevel="0" collapsed="false">
      <c r="A1888" s="1" t="n">
        <v>1887</v>
      </c>
      <c r="B1888" s="7" t="str">
        <f aca="false">HYPERLINK("https://mncourtfraud.com/file/27-CR-22-10565.pdf","27-CR-22-10565")</f>
        <v>27-CR-22-10565</v>
      </c>
      <c r="C1888" s="1" t="n">
        <v>5</v>
      </c>
      <c r="D1888" s="2" t="s">
        <v>267</v>
      </c>
      <c r="E1888" s="8" t="n">
        <v>45023</v>
      </c>
      <c r="F1888" s="2" t="s">
        <v>15</v>
      </c>
      <c r="G1888" s="7" t="str">
        <f aca="false">HYPERLINK("https://mncourtfraud.com/file/MCRO_27-CR-22-10565_Order-Evaluation for Competency to Proceed (Rule 20.01)_2023-04-07_20251126165651.pdf","MCRO_27-CR-22-10565_Order-Evaluation for Competency to Proceed (Rule 20.01)_2023-04-07_20251126165651.pdf")</f>
        <v>MCRO_27-CR-22-10565_Order-Evaluation for Competency to Proceed (Rule 20.01)_2023-04-07_20251126165651.pdf</v>
      </c>
      <c r="H1888" s="7" t="str">
        <f aca="false">HYPERLINK("https://mncourtfraud.com/file/110dd9818d3c920232dc56ab8c7b412b382b4dee71a06211faba29acb010043e.ttf","110dd9818d3c920232dc56ab8c7b412b382b4dee71a06211faba29acb010043e")</f>
        <v>110dd9818d3c920232dc56ab8c7b412b382b4dee71a06211faba29acb010043e</v>
      </c>
      <c r="I1888" s="1" t="s">
        <v>3413</v>
      </c>
      <c r="L1888" s="2" t="s">
        <v>3415</v>
      </c>
      <c r="M1888" s="2" t="n">
        <v>333584</v>
      </c>
    </row>
    <row r="1889" customFormat="false" ht="18.7" hidden="false" customHeight="true" outlineLevel="0" collapsed="false">
      <c r="A1889" s="1" t="n">
        <v>1888</v>
      </c>
      <c r="B1889" s="7" t="str">
        <f aca="false">HYPERLINK("https://mncourtfraud.com/file/27-CR-22-10565.pdf","27-CR-22-10565")</f>
        <v>27-CR-22-10565</v>
      </c>
      <c r="C1889" s="1" t="n">
        <v>5</v>
      </c>
      <c r="D1889" s="2" t="s">
        <v>267</v>
      </c>
      <c r="E1889" s="8" t="n">
        <v>45023</v>
      </c>
      <c r="F1889" s="2" t="s">
        <v>15</v>
      </c>
      <c r="G1889" s="7" t="str">
        <f aca="false">HYPERLINK("https://mncourtfraud.com/file/MCRO_27-CR-22-10565_Order-Evaluation for Competency to Proceed (Rule 20.01)_2023-04-07_20251126165651.pdf","MCRO_27-CR-22-10565_Order-Evaluation for Competency to Proceed (Rule 20.01)_2023-04-07_20251126165651.pdf")</f>
        <v>MCRO_27-CR-22-10565_Order-Evaluation for Competency to Proceed (Rule 20.01)_2023-04-07_20251126165651.pdf</v>
      </c>
      <c r="H1889" s="7" t="str">
        <f aca="false">HYPERLINK("https://mncourtfraud.com/file/856d5cf9a06129fedde1a19560b2cefd5b90ff1c15af711c8ba66f11cdbdcf2e.jpg","856d5cf9a06129fedde1a19560b2cefd5b90ff1c15af711c8ba66f11cdbdcf2e")</f>
        <v>856d5cf9a06129fedde1a19560b2cefd5b90ff1c15af711c8ba66f11cdbdcf2e</v>
      </c>
      <c r="I1889" s="1" t="s">
        <v>3417</v>
      </c>
      <c r="L1889" s="2" t="s">
        <v>3418</v>
      </c>
      <c r="M1889" s="2" t="n">
        <v>512462</v>
      </c>
      <c r="S1889" s="2" t="n">
        <v>2550</v>
      </c>
      <c r="T1889" s="2" t="n">
        <v>3300</v>
      </c>
    </row>
    <row r="1890" customFormat="false" ht="18.7" hidden="false" customHeight="true" outlineLevel="0" collapsed="false">
      <c r="A1890" s="1" t="n">
        <v>1889</v>
      </c>
      <c r="B1890" s="7" t="str">
        <f aca="false">HYPERLINK("https://mncourtfraud.com/file/27-CR-22-10565.pdf","27-CR-22-10565")</f>
        <v>27-CR-22-10565</v>
      </c>
      <c r="C1890" s="1" t="n">
        <v>5</v>
      </c>
      <c r="D1890" s="2" t="s">
        <v>267</v>
      </c>
      <c r="E1890" s="8" t="n">
        <v>45023</v>
      </c>
      <c r="F1890" s="2" t="s">
        <v>15</v>
      </c>
      <c r="G1890" s="7" t="str">
        <f aca="false">HYPERLINK("https://mncourtfraud.com/file/MCRO_27-CR-22-10565_Order-Evaluation for Competency to Proceed (Rule 20.01)_2023-04-07_20251126165651.pdf","MCRO_27-CR-22-10565_Order-Evaluation for Competency to Proceed (Rule 20.01)_2023-04-07_20251126165651.pdf")</f>
        <v>MCRO_27-CR-22-10565_Order-Evaluation for Competency to Proceed (Rule 20.01)_2023-04-07_20251126165651.pdf</v>
      </c>
      <c r="H1890" s="7" t="str">
        <f aca="false">HYPERLINK("https://mncourtfraud.com/file/995bcdca7c2ef1f60addca06e3698b83e3301f9882b7505b8dd8b2c77c6364cc.jpg","995bcdca7c2ef1f60addca06e3698b83e3301f9882b7505b8dd8b2c77c6364cc")</f>
        <v>995bcdca7c2ef1f60addca06e3698b83e3301f9882b7505b8dd8b2c77c6364cc</v>
      </c>
      <c r="I1890" s="1" t="s">
        <v>3417</v>
      </c>
      <c r="L1890" s="2" t="s">
        <v>3418</v>
      </c>
      <c r="M1890" s="2" t="n">
        <v>645677</v>
      </c>
      <c r="S1890" s="2" t="n">
        <v>2550</v>
      </c>
      <c r="T1890" s="2" t="n">
        <v>3300</v>
      </c>
    </row>
    <row r="1891" customFormat="false" ht="18.7" hidden="false" customHeight="true" outlineLevel="0" collapsed="false">
      <c r="A1891" s="1" t="n">
        <v>1890</v>
      </c>
      <c r="B1891" s="7" t="str">
        <f aca="false">HYPERLINK("https://mncourtfraud.com/file/27-CR-22-10565.pdf","27-CR-22-10565")</f>
        <v>27-CR-22-10565</v>
      </c>
      <c r="C1891" s="1" t="n">
        <v>5</v>
      </c>
      <c r="D1891" s="2" t="s">
        <v>267</v>
      </c>
      <c r="E1891" s="8" t="n">
        <v>45194</v>
      </c>
      <c r="F1891" s="2" t="s">
        <v>15</v>
      </c>
      <c r="G1891" s="7" t="str">
        <f aca="false">HYPERLINK("https://mncourtfraud.com/file/MCRO_27-CR-22-10565_Order-Evaluation for Competency to Proceed (Rule 20.01)_2023-09-25_20251126165659.pdf","MCRO_27-CR-22-10565_Order-Evaluation for Competency to Proceed (Rule 20.01)_2023-09-25_20251126165659.pdf")</f>
        <v>MCRO_27-CR-22-10565_Order-Evaluation for Competency to Proceed (Rule 20.01)_2023-09-25_20251126165659.pdf</v>
      </c>
      <c r="H1891" s="7" t="str">
        <f aca="false">HYPERLINK("https://mncourtfraud.com/file/0e5f6455f2227c06be697e3b229cfb3f6aceebc7c0145353f2663735470bb05c.png","0e5f6455f2227c06be697e3b229cfb3f6aceebc7c0145353f2663735470bb05c")</f>
        <v>0e5f6455f2227c06be697e3b229cfb3f6aceebc7c0145353f2663735470bb05c</v>
      </c>
      <c r="I1891" s="1" t="s">
        <v>3406</v>
      </c>
      <c r="L1891" s="2" t="s">
        <v>3412</v>
      </c>
      <c r="M1891" s="2" t="n">
        <v>162086</v>
      </c>
      <c r="S1891" s="2" t="n">
        <v>2560</v>
      </c>
      <c r="T1891" s="2" t="n">
        <v>3300</v>
      </c>
    </row>
    <row r="1892" customFormat="false" ht="18.7" hidden="false" customHeight="true" outlineLevel="0" collapsed="false">
      <c r="A1892" s="1" t="n">
        <v>1891</v>
      </c>
      <c r="B1892" s="7" t="str">
        <f aca="false">HYPERLINK("https://mncourtfraud.com/file/27-CR-22-10565.pdf","27-CR-22-10565")</f>
        <v>27-CR-22-10565</v>
      </c>
      <c r="C1892" s="1" t="n">
        <v>5</v>
      </c>
      <c r="D1892" s="2" t="s">
        <v>267</v>
      </c>
      <c r="E1892" s="8" t="n">
        <v>45194</v>
      </c>
      <c r="F1892" s="2" t="s">
        <v>15</v>
      </c>
      <c r="G1892" s="7" t="str">
        <f aca="false">HYPERLINK("https://mncourtfraud.com/file/MCRO_27-CR-22-10565_Order-Evaluation for Competency to Proceed (Rule 20.01)_2023-09-25_20251126165659.pdf","MCRO_27-CR-22-10565_Order-Evaluation for Competency to Proceed (Rule 20.01)_2023-09-25_20251126165659.pdf")</f>
        <v>MCRO_27-CR-22-10565_Order-Evaluation for Competency to Proceed (Rule 20.01)_2023-09-25_20251126165659.pdf</v>
      </c>
      <c r="H1892" s="7" t="str">
        <f aca="false">HYPERLINK("https://mncourtfraud.com/file/3094b8c9fe43ebda2cc0369c9c9285a747aa1e189fbdcfff8244e445d16a476d.png","3094b8c9fe43ebda2cc0369c9c9285a747aa1e189fbdcfff8244e445d16a476d")</f>
        <v>3094b8c9fe43ebda2cc0369c9c9285a747aa1e189fbdcfff8244e445d16a476d</v>
      </c>
      <c r="I1892" s="1" t="s">
        <v>3406</v>
      </c>
      <c r="L1892" s="2" t="s">
        <v>3412</v>
      </c>
      <c r="M1892" s="2" t="n">
        <v>131567</v>
      </c>
      <c r="S1892" s="2" t="n">
        <v>2560</v>
      </c>
      <c r="T1892" s="2" t="n">
        <v>3300</v>
      </c>
    </row>
    <row r="1893" customFormat="false" ht="18.7" hidden="false" customHeight="true" outlineLevel="0" collapsed="false">
      <c r="A1893" s="1" t="n">
        <v>1892</v>
      </c>
      <c r="B1893" s="7" t="str">
        <f aca="false">HYPERLINK("https://mncourtfraud.com/file/27-CR-22-10565.pdf","27-CR-22-10565")</f>
        <v>27-CR-22-10565</v>
      </c>
      <c r="C1893" s="1" t="n">
        <v>5</v>
      </c>
      <c r="D1893" s="2" t="s">
        <v>267</v>
      </c>
      <c r="E1893" s="8" t="n">
        <v>45194</v>
      </c>
      <c r="F1893" s="2" t="s">
        <v>15</v>
      </c>
      <c r="G1893" s="7" t="str">
        <f aca="false">HYPERLINK("https://mncourtfraud.com/file/MCRO_27-CR-22-10565_Order-Evaluation for Competency to Proceed (Rule 20.01)_2023-09-25_20251126165659.pdf","MCRO_27-CR-22-10565_Order-Evaluation for Competency to Proceed (Rule 20.01)_2023-09-25_20251126165659.pdf")</f>
        <v>MCRO_27-CR-22-10565_Order-Evaluation for Competency to Proceed (Rule 20.01)_2023-09-25_20251126165659.pdf</v>
      </c>
      <c r="H1893" s="7" t="str">
        <f aca="false">HYPERLINK("https://mncourtfraud.com/file/bb6628afae5b79352932299f764c6aad5286c2dd1bad951e1b0cf8f037bb0aae.ttf","bb6628afae5b79352932299f764c6aad5286c2dd1bad951e1b0cf8f037bb0aae")</f>
        <v>bb6628afae5b79352932299f764c6aad5286c2dd1bad951e1b0cf8f037bb0aae</v>
      </c>
      <c r="I1893" s="1" t="s">
        <v>3413</v>
      </c>
      <c r="L1893" s="2" t="s">
        <v>3415</v>
      </c>
      <c r="M1893" s="2" t="n">
        <v>333584</v>
      </c>
    </row>
    <row r="1894" customFormat="false" ht="18.7" hidden="false" customHeight="true" outlineLevel="0" collapsed="false">
      <c r="A1894" s="1" t="n">
        <v>1893</v>
      </c>
      <c r="B1894" s="7" t="str">
        <f aca="false">HYPERLINK("https://mncourtfraud.com/file/27-CR-22-11847.pdf","27-CR-22-11847")</f>
        <v>27-CR-22-11847</v>
      </c>
      <c r="C1894" s="1" t="n">
        <v>1</v>
      </c>
      <c r="D1894" s="2" t="s">
        <v>12</v>
      </c>
      <c r="E1894" s="8" t="n">
        <v>44761</v>
      </c>
      <c r="F1894" s="2" t="s">
        <v>15</v>
      </c>
      <c r="G1894" s="7" t="str">
        <f aca="false">HYPERLINK("https://mncourtfraud.com/file/MCRO_27-CR-22-11847_Order-Evaluation for Competency to Proceed (Rule 20.01)_2022-07-19_20251126184637.pdf","MCRO_27-CR-22-11847_Order-Evaluation for Competency to Proceed (Rule 20.01)_2022-07-19_20251126184637.pdf")</f>
        <v>MCRO_27-CR-22-11847_Order-Evaluation for Competency to Proceed (Rule 20.01)_2022-07-19_20251126184637.pdf</v>
      </c>
      <c r="H1894" s="7" t="str">
        <f aca="false">HYPERLINK("https://mncourtfraud.com/file/0d99ce1c86766d567d8765a4d807f3834791715457034c8ac17c745755a0ee2e.png","0d99ce1c86766d567d8765a4d807f3834791715457034c8ac17c745755a0ee2e")</f>
        <v>0d99ce1c86766d567d8765a4d807f3834791715457034c8ac17c745755a0ee2e</v>
      </c>
      <c r="I1894" s="1" t="s">
        <v>3406</v>
      </c>
      <c r="L1894" s="2" t="s">
        <v>3412</v>
      </c>
      <c r="M1894" s="2" t="n">
        <v>181526</v>
      </c>
      <c r="S1894" s="2" t="n">
        <v>3304</v>
      </c>
      <c r="T1894" s="2" t="n">
        <v>2550</v>
      </c>
    </row>
    <row r="1895" customFormat="false" ht="18.7" hidden="false" customHeight="true" outlineLevel="0" collapsed="false">
      <c r="A1895" s="1" t="n">
        <v>1894</v>
      </c>
      <c r="B1895" s="7" t="str">
        <f aca="false">HYPERLINK("https://mncourtfraud.com/file/27-CR-22-11847.pdf","27-CR-22-11847")</f>
        <v>27-CR-22-11847</v>
      </c>
      <c r="C1895" s="1" t="n">
        <v>1</v>
      </c>
      <c r="D1895" s="2" t="s">
        <v>12</v>
      </c>
      <c r="E1895" s="8" t="n">
        <v>44761</v>
      </c>
      <c r="F1895" s="2" t="s">
        <v>15</v>
      </c>
      <c r="G1895" s="7" t="str">
        <f aca="false">HYPERLINK("https://mncourtfraud.com/file/MCRO_27-CR-22-11847_Order-Evaluation for Competency to Proceed (Rule 20.01)_2022-07-19_20251126184637.pdf","MCRO_27-CR-22-11847_Order-Evaluation for Competency to Proceed (Rule 20.01)_2022-07-19_20251126184637.pdf")</f>
        <v>MCRO_27-CR-22-11847_Order-Evaluation for Competency to Proceed (Rule 20.01)_2022-07-19_20251126184637.pdf</v>
      </c>
      <c r="H1895" s="7" t="str">
        <f aca="false">HYPERLINK("https://mncourtfraud.com/file/c98c8baad1022c0211ad064c25bbedf4625c04b2297a7c839ba647c6660d1293.png","c98c8baad1022c0211ad064c25bbedf4625c04b2297a7c839ba647c6660d1293")</f>
        <v>c98c8baad1022c0211ad064c25bbedf4625c04b2297a7c839ba647c6660d1293</v>
      </c>
      <c r="I1895" s="1" t="s">
        <v>3406</v>
      </c>
      <c r="L1895" s="2" t="s">
        <v>3412</v>
      </c>
      <c r="M1895" s="2" t="n">
        <v>198067</v>
      </c>
      <c r="S1895" s="2" t="n">
        <v>3304</v>
      </c>
      <c r="T1895" s="2" t="n">
        <v>2550</v>
      </c>
    </row>
    <row r="1896" customFormat="false" ht="18.7" hidden="false" customHeight="true" outlineLevel="0" collapsed="false">
      <c r="A1896" s="1" t="n">
        <v>1895</v>
      </c>
      <c r="B1896" s="7" t="str">
        <f aca="false">HYPERLINK("https://mncourtfraud.com/file/27-CR-22-11847.pdf","27-CR-22-11847")</f>
        <v>27-CR-22-11847</v>
      </c>
      <c r="C1896" s="1" t="n">
        <v>1</v>
      </c>
      <c r="D1896" s="2" t="s">
        <v>12</v>
      </c>
      <c r="E1896" s="8" t="n">
        <v>44761</v>
      </c>
      <c r="F1896" s="2" t="s">
        <v>15</v>
      </c>
      <c r="G1896" s="7" t="str">
        <f aca="false">HYPERLINK("https://mncourtfraud.com/file/MCRO_27-CR-22-11847_Order-Evaluation for Competency to Proceed (Rule 20.01)_2022-07-19_20251126184637.pdf","MCRO_27-CR-22-11847_Order-Evaluation for Competency to Proceed (Rule 20.01)_2022-07-19_20251126184637.pdf")</f>
        <v>MCRO_27-CR-22-11847_Order-Evaluation for Competency to Proceed (Rule 20.01)_2022-07-19_20251126184637.pdf</v>
      </c>
      <c r="H1896" s="7" t="str">
        <f aca="false">HYPERLINK("https://mncourtfraud.com/file/ce3a09c5b18e46a7d95bc30202f29439160107f42bca0ad59c55ddd16135b47f.ttf","ce3a09c5b18e46a7d95bc30202f29439160107f42bca0ad59c55ddd16135b47f")</f>
        <v>ce3a09c5b18e46a7d95bc30202f29439160107f42bca0ad59c55ddd16135b47f</v>
      </c>
      <c r="I1896" s="1" t="s">
        <v>3413</v>
      </c>
      <c r="L1896" s="2" t="s">
        <v>3415</v>
      </c>
      <c r="M1896" s="2" t="n">
        <v>333576</v>
      </c>
    </row>
    <row r="1897" customFormat="false" ht="18.7" hidden="false" customHeight="true" outlineLevel="0" collapsed="false">
      <c r="A1897" s="1" t="n">
        <v>1896</v>
      </c>
      <c r="B1897" s="7" t="str">
        <f aca="false">HYPERLINK("https://mncourtfraud.com/file/27-CR-22-11847.pdf","27-CR-22-11847")</f>
        <v>27-CR-22-11847</v>
      </c>
      <c r="C1897" s="1" t="n">
        <v>1</v>
      </c>
      <c r="D1897" s="2" t="s">
        <v>12</v>
      </c>
      <c r="E1897" s="8" t="n">
        <v>44895</v>
      </c>
      <c r="F1897" s="2" t="s">
        <v>15</v>
      </c>
      <c r="G1897" s="7" t="str">
        <f aca="false">HYPERLINK("https://mncourtfraud.com/file/MCRO_27-CR-22-11847_Order-Evaluation for Competency to Proceed (Rule 20.01)_2022-11-30_20251126184645.pdf","MCRO_27-CR-22-11847_Order-Evaluation for Competency to Proceed (Rule 20.01)_2022-11-30_20251126184645.pdf")</f>
        <v>MCRO_27-CR-22-11847_Order-Evaluation for Competency to Proceed (Rule 20.01)_2022-11-30_20251126184645.pdf</v>
      </c>
      <c r="H1897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1897" s="1" t="s">
        <v>3413</v>
      </c>
      <c r="J1897" s="2" t="s">
        <v>3423</v>
      </c>
      <c r="K1897" s="2" t="s">
        <v>3423</v>
      </c>
      <c r="L1897" s="2" t="s">
        <v>3415</v>
      </c>
      <c r="M1897" s="2" t="n">
        <v>11088</v>
      </c>
    </row>
    <row r="1898" customFormat="false" ht="18.7" hidden="false" customHeight="true" outlineLevel="0" collapsed="false">
      <c r="A1898" s="1" t="n">
        <v>1897</v>
      </c>
      <c r="B1898" s="7" t="str">
        <f aca="false">HYPERLINK("https://mncourtfraud.com/file/27-CR-22-11847.pdf","27-CR-22-11847")</f>
        <v>27-CR-22-11847</v>
      </c>
      <c r="C1898" s="1" t="n">
        <v>1</v>
      </c>
      <c r="D1898" s="2" t="s">
        <v>12</v>
      </c>
      <c r="E1898" s="8" t="n">
        <v>44895</v>
      </c>
      <c r="F1898" s="2" t="s">
        <v>15</v>
      </c>
      <c r="G1898" s="7" t="str">
        <f aca="false">HYPERLINK("https://mncourtfraud.com/file/MCRO_27-CR-22-11847_Order-Evaluation for Competency to Proceed (Rule 20.01)_2022-11-30_20251126184645.pdf","MCRO_27-CR-22-11847_Order-Evaluation for Competency to Proceed (Rule 20.01)_2022-11-30_20251126184645.pdf")</f>
        <v>MCRO_27-CR-22-11847_Order-Evaluation for Competency to Proceed (Rule 20.01)_2022-11-30_20251126184645.pdf</v>
      </c>
      <c r="H1898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1898" s="1" t="s">
        <v>3413</v>
      </c>
      <c r="J1898" s="2" t="s">
        <v>3446</v>
      </c>
      <c r="K1898" s="2" t="s">
        <v>3446</v>
      </c>
      <c r="L1898" s="2" t="s">
        <v>3415</v>
      </c>
      <c r="M1898" s="2" t="n">
        <v>55072</v>
      </c>
      <c r="N1898" s="2" t="s">
        <v>3447</v>
      </c>
    </row>
    <row r="1899" customFormat="false" ht="18.7" hidden="false" customHeight="true" outlineLevel="0" collapsed="false">
      <c r="A1899" s="1" t="n">
        <v>1898</v>
      </c>
      <c r="B1899" s="7" t="str">
        <f aca="false">HYPERLINK("https://mncourtfraud.com/file/27-CR-22-11847.pdf","27-CR-22-11847")</f>
        <v>27-CR-22-11847</v>
      </c>
      <c r="C1899" s="1" t="n">
        <v>1</v>
      </c>
      <c r="D1899" s="2" t="s">
        <v>12</v>
      </c>
      <c r="E1899" s="8" t="n">
        <v>44895</v>
      </c>
      <c r="F1899" s="2" t="s">
        <v>15</v>
      </c>
      <c r="G1899" s="7" t="str">
        <f aca="false">HYPERLINK("https://mncourtfraud.com/file/MCRO_27-CR-22-11847_Order-Evaluation for Competency to Proceed (Rule 20.01)_2022-11-30_20251126184645.pdf","MCRO_27-CR-22-11847_Order-Evaluation for Competency to Proceed (Rule 20.01)_2022-11-30_20251126184645.pdf")</f>
        <v>MCRO_27-CR-22-11847_Order-Evaluation for Competency to Proceed (Rule 20.01)_2022-11-30_20251126184645.pdf</v>
      </c>
      <c r="H1899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1899" s="1" t="s">
        <v>3413</v>
      </c>
      <c r="J1899" s="2" t="s">
        <v>3424</v>
      </c>
      <c r="K1899" s="2" t="s">
        <v>3424</v>
      </c>
      <c r="L1899" s="2" t="s">
        <v>3415</v>
      </c>
      <c r="M1899" s="2" t="n">
        <v>14252</v>
      </c>
    </row>
    <row r="1900" customFormat="false" ht="18.7" hidden="false" customHeight="true" outlineLevel="0" collapsed="false">
      <c r="A1900" s="1" t="n">
        <v>1899</v>
      </c>
      <c r="B1900" s="7" t="str">
        <f aca="false">HYPERLINK("https://mncourtfraud.com/file/27-CR-22-11847.pdf","27-CR-22-11847")</f>
        <v>27-CR-22-11847</v>
      </c>
      <c r="C1900" s="1" t="n">
        <v>1</v>
      </c>
      <c r="D1900" s="2" t="s">
        <v>12</v>
      </c>
      <c r="E1900" s="8" t="n">
        <v>44895</v>
      </c>
      <c r="F1900" s="2" t="s">
        <v>15</v>
      </c>
      <c r="G1900" s="7" t="str">
        <f aca="false">HYPERLINK("https://mncourtfraud.com/file/MCRO_27-CR-22-11847_Order-Evaluation for Competency to Proceed (Rule 20.01)_2022-11-30_20251126184645.pdf","MCRO_27-CR-22-11847_Order-Evaluation for Competency to Proceed (Rule 20.01)_2022-11-30_20251126184645.pdf")</f>
        <v>MCRO_27-CR-22-11847_Order-Evaluation for Competency to Proceed (Rule 20.01)_2022-11-30_20251126184645.pdf</v>
      </c>
      <c r="H1900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900" s="1" t="s">
        <v>3406</v>
      </c>
      <c r="K1900" s="2" t="s">
        <v>3420</v>
      </c>
      <c r="L1900" s="2" t="s">
        <v>3408</v>
      </c>
      <c r="M1900" s="2" t="n">
        <v>7306</v>
      </c>
      <c r="O1900" s="2" t="s">
        <v>3409</v>
      </c>
      <c r="P1900" s="2" t="s">
        <v>3410</v>
      </c>
      <c r="S1900" s="2" t="n">
        <v>319</v>
      </c>
      <c r="T1900" s="2" t="n">
        <v>105</v>
      </c>
    </row>
    <row r="1901" customFormat="false" ht="18.7" hidden="false" customHeight="true" outlineLevel="0" collapsed="false">
      <c r="A1901" s="1" t="n">
        <v>1900</v>
      </c>
      <c r="B1901" s="7" t="str">
        <f aca="false">HYPERLINK("https://mncourtfraud.com/file/27-CR-22-11847.pdf","27-CR-22-11847")</f>
        <v>27-CR-22-11847</v>
      </c>
      <c r="C1901" s="1" t="n">
        <v>1</v>
      </c>
      <c r="D1901" s="2" t="s">
        <v>12</v>
      </c>
      <c r="E1901" s="8" t="n">
        <v>44895</v>
      </c>
      <c r="F1901" s="2" t="s">
        <v>15</v>
      </c>
      <c r="G1901" s="7" t="str">
        <f aca="false">HYPERLINK("https://mncourtfraud.com/file/MCRO_27-CR-22-11847_Order-Evaluation for Competency to Proceed (Rule 20.01)_2022-11-30_20251126184645.pdf","MCRO_27-CR-22-11847_Order-Evaluation for Competency to Proceed (Rule 20.01)_2022-11-30_20251126184645.pdf")</f>
        <v>MCRO_27-CR-22-11847_Order-Evaluation for Competency to Proceed (Rule 20.01)_2022-11-30_20251126184645.pdf</v>
      </c>
      <c r="H1901" s="7" t="str">
        <f aca="false">HYPERLINK("https://mncourtfraud.com/file/677e52a3b8403ce87e338b0a2e31e6f8e5ddf03fb0ca7043a341135cf0255eaa.ttf","677e52a3b8403ce87e338b0a2e31e6f8e5ddf03fb0ca7043a341135cf0255eaa")</f>
        <v>677e52a3b8403ce87e338b0a2e31e6f8e5ddf03fb0ca7043a341135cf0255eaa</v>
      </c>
      <c r="I1901" s="1" t="s">
        <v>3413</v>
      </c>
      <c r="J1901" s="2" t="s">
        <v>3422</v>
      </c>
      <c r="K1901" s="2" t="s">
        <v>3422</v>
      </c>
      <c r="L1901" s="2" t="s">
        <v>3415</v>
      </c>
      <c r="M1901" s="2" t="n">
        <v>149960</v>
      </c>
    </row>
    <row r="1902" customFormat="false" ht="18.7" hidden="false" customHeight="true" outlineLevel="0" collapsed="false">
      <c r="A1902" s="1" t="n">
        <v>1901</v>
      </c>
      <c r="B1902" s="7" t="str">
        <f aca="false">HYPERLINK("https://mncourtfraud.com/file/27-CR-22-11847.pdf","27-CR-22-11847")</f>
        <v>27-CR-22-11847</v>
      </c>
      <c r="C1902" s="1" t="n">
        <v>1</v>
      </c>
      <c r="D1902" s="2" t="s">
        <v>12</v>
      </c>
      <c r="E1902" s="8" t="n">
        <v>44895</v>
      </c>
      <c r="F1902" s="2" t="s">
        <v>15</v>
      </c>
      <c r="G1902" s="7" t="str">
        <f aca="false">HYPERLINK("https://mncourtfraud.com/file/MCRO_27-CR-22-11847_Order-Evaluation for Competency to Proceed (Rule 20.01)_2022-11-30_20251126184645.pdf","MCRO_27-CR-22-11847_Order-Evaluation for Competency to Proceed (Rule 20.01)_2022-11-30_20251126184645.pdf")</f>
        <v>MCRO_27-CR-22-11847_Order-Evaluation for Competency to Proceed (Rule 20.01)_2022-11-30_20251126184645.pdf</v>
      </c>
      <c r="H1902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1902" s="1" t="s">
        <v>3413</v>
      </c>
      <c r="J1902" s="2" t="s">
        <v>3448</v>
      </c>
      <c r="K1902" s="2" t="s">
        <v>3448</v>
      </c>
      <c r="L1902" s="2" t="s">
        <v>3415</v>
      </c>
      <c r="M1902" s="2" t="n">
        <v>916684</v>
      </c>
    </row>
    <row r="1903" customFormat="false" ht="18.7" hidden="false" customHeight="true" outlineLevel="0" collapsed="false">
      <c r="A1903" s="1" t="n">
        <v>1902</v>
      </c>
      <c r="B1903" s="7" t="str">
        <f aca="false">HYPERLINK("https://mncourtfraud.com/file/27-CR-22-11847.pdf","27-CR-22-11847")</f>
        <v>27-CR-22-11847</v>
      </c>
      <c r="C1903" s="1" t="n">
        <v>1</v>
      </c>
      <c r="D1903" s="2" t="s">
        <v>12</v>
      </c>
      <c r="E1903" s="8" t="n">
        <v>44895</v>
      </c>
      <c r="F1903" s="2" t="s">
        <v>15</v>
      </c>
      <c r="G1903" s="7" t="str">
        <f aca="false">HYPERLINK("https://mncourtfraud.com/file/MCRO_27-CR-22-11847_Order-Evaluation for Competency to Proceed (Rule 20.01)_2022-11-30_20251126184645.pdf","MCRO_27-CR-22-11847_Order-Evaluation for Competency to Proceed (Rule 20.01)_2022-11-30_20251126184645.pdf")</f>
        <v>MCRO_27-CR-22-11847_Order-Evaluation for Competency to Proceed (Rule 20.01)_2022-11-30_20251126184645.pdf</v>
      </c>
      <c r="H1903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903" s="1" t="s">
        <v>3406</v>
      </c>
      <c r="K1903" s="2" t="s">
        <v>3425</v>
      </c>
      <c r="L1903" s="2" t="s">
        <v>3408</v>
      </c>
      <c r="M1903" s="2" t="n">
        <v>21225</v>
      </c>
      <c r="O1903" s="2" t="s">
        <v>3409</v>
      </c>
      <c r="P1903" s="2" t="s">
        <v>3410</v>
      </c>
      <c r="S1903" s="2" t="n">
        <v>319</v>
      </c>
      <c r="T1903" s="2" t="n">
        <v>105</v>
      </c>
    </row>
    <row r="1904" customFormat="false" ht="18.7" hidden="false" customHeight="true" outlineLevel="0" collapsed="false">
      <c r="A1904" s="1" t="n">
        <v>1903</v>
      </c>
      <c r="B1904" s="7" t="str">
        <f aca="false">HYPERLINK("https://mncourtfraud.com/file/27-CR-22-11847.pdf","27-CR-22-11847")</f>
        <v>27-CR-22-11847</v>
      </c>
      <c r="C1904" s="1" t="n">
        <v>1</v>
      </c>
      <c r="D1904" s="2" t="s">
        <v>12</v>
      </c>
      <c r="E1904" s="8" t="n">
        <v>44895</v>
      </c>
      <c r="F1904" s="2" t="s">
        <v>15</v>
      </c>
      <c r="G1904" s="7" t="str">
        <f aca="false">HYPERLINK("https://mncourtfraud.com/file/MCRO_27-CR-22-11847_Order-Evaluation for Competency to Proceed (Rule 20.01)_2022-11-30_20251126184645.pdf","MCRO_27-CR-22-11847_Order-Evaluation for Competency to Proceed (Rule 20.01)_2022-11-30_20251126184645.pdf")</f>
        <v>MCRO_27-CR-22-11847_Order-Evaluation for Competency to Proceed (Rule 20.01)_2022-11-30_20251126184645.pdf</v>
      </c>
      <c r="H1904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1904" s="1" t="s">
        <v>3413</v>
      </c>
      <c r="J1904" s="2" t="s">
        <v>3449</v>
      </c>
      <c r="K1904" s="2" t="s">
        <v>3449</v>
      </c>
      <c r="L1904" s="2" t="s">
        <v>3415</v>
      </c>
      <c r="M1904" s="2" t="n">
        <v>124664</v>
      </c>
    </row>
    <row r="1905" customFormat="false" ht="18.7" hidden="false" customHeight="true" outlineLevel="0" collapsed="false">
      <c r="A1905" s="1" t="n">
        <v>1904</v>
      </c>
      <c r="B1905" s="7" t="str">
        <f aca="false">HYPERLINK("https://mncourtfraud.com/file/27-CR-22-11847.pdf","27-CR-22-11847")</f>
        <v>27-CR-22-11847</v>
      </c>
      <c r="C1905" s="1" t="n">
        <v>1</v>
      </c>
      <c r="D1905" s="2" t="s">
        <v>12</v>
      </c>
      <c r="E1905" s="8" t="n">
        <v>44895</v>
      </c>
      <c r="F1905" s="2" t="s">
        <v>15</v>
      </c>
      <c r="G1905" s="7" t="str">
        <f aca="false">HYPERLINK("https://mncourtfraud.com/file/MCRO_27-CR-22-11847_Order-Evaluation for Competency to Proceed (Rule 20.01)_2022-11-30_20251126184645.pdf","MCRO_27-CR-22-11847_Order-Evaluation for Competency to Proceed (Rule 20.01)_2022-11-30_20251126184645.pdf")</f>
        <v>MCRO_27-CR-22-11847_Order-Evaluation for Competency to Proceed (Rule 20.01)_2022-11-30_20251126184645.pdf</v>
      </c>
      <c r="H1905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1905" s="1" t="s">
        <v>3413</v>
      </c>
      <c r="J1905" s="2" t="s">
        <v>3449</v>
      </c>
      <c r="K1905" s="2" t="s">
        <v>3449</v>
      </c>
      <c r="L1905" s="2" t="s">
        <v>3415</v>
      </c>
      <c r="M1905" s="2" t="n">
        <v>124664</v>
      </c>
    </row>
    <row r="1906" customFormat="false" ht="18.7" hidden="false" customHeight="true" outlineLevel="0" collapsed="false">
      <c r="A1906" s="1" t="n">
        <v>1905</v>
      </c>
      <c r="B1906" s="7" t="str">
        <f aca="false">HYPERLINK("https://mncourtfraud.com/file/27-CR-22-11847.pdf","27-CR-22-11847")</f>
        <v>27-CR-22-11847</v>
      </c>
      <c r="C1906" s="1" t="n">
        <v>1</v>
      </c>
      <c r="D1906" s="2" t="s">
        <v>12</v>
      </c>
      <c r="E1906" s="8" t="n">
        <v>44999</v>
      </c>
      <c r="F1906" s="2" t="s">
        <v>17</v>
      </c>
      <c r="G1906" s="7" t="str">
        <f aca="false">HYPERLINK("https://mncourtfraud.com/file/MCRO_27-CR-22-11847_Returned Mail_2023-03-14_20251126184709.pdf","MCRO_27-CR-22-11847_Returned Mail_2023-03-14_20251126184709.pdf")</f>
        <v>MCRO_27-CR-22-11847_Returned Mail_2023-03-14_20251126184709.pdf</v>
      </c>
      <c r="H1906" s="7" t="str">
        <f aca="false">HYPERLINK("https://mncourtfraud.com/file/bd4eadd4905bb5f9d61778dfdf4fcfde9230b730d96a7ef9556cabc7564a1834.ttf","bd4eadd4905bb5f9d61778dfdf4fcfde9230b730d96a7ef9556cabc7564a1834")</f>
        <v>bd4eadd4905bb5f9d61778dfdf4fcfde9230b730d96a7ef9556cabc7564a1834</v>
      </c>
      <c r="I1906" s="1" t="s">
        <v>3413</v>
      </c>
      <c r="L1906" s="2" t="s">
        <v>3415</v>
      </c>
      <c r="M1906" s="2" t="n">
        <v>333584</v>
      </c>
    </row>
    <row r="1907" customFormat="false" ht="18.7" hidden="false" customHeight="true" outlineLevel="0" collapsed="false">
      <c r="A1907" s="1" t="n">
        <v>1906</v>
      </c>
      <c r="B1907" s="7" t="str">
        <f aca="false">HYPERLINK("https://mncourtfraud.com/file/27-CR-22-11847.pdf","27-CR-22-11847")</f>
        <v>27-CR-22-11847</v>
      </c>
      <c r="C1907" s="1" t="n">
        <v>1</v>
      </c>
      <c r="D1907" s="2" t="s">
        <v>12</v>
      </c>
      <c r="E1907" s="8" t="n">
        <v>44999</v>
      </c>
      <c r="F1907" s="2" t="s">
        <v>17</v>
      </c>
      <c r="G1907" s="7" t="str">
        <f aca="false">HYPERLINK("https://mncourtfraud.com/file/MCRO_27-CR-22-11847_Returned Mail_2023-03-14_20251126184709.pdf","MCRO_27-CR-22-11847_Returned Mail_2023-03-14_20251126184709.pdf")</f>
        <v>MCRO_27-CR-22-11847_Returned Mail_2023-03-14_20251126184709.pdf</v>
      </c>
      <c r="H1907" s="7" t="str">
        <f aca="false">HYPERLINK("https://mncourtfraud.com/file/deea5b4a392720928dcef6c142709a6640e67355876d997ca0314431a537ad4e.jpg","deea5b4a392720928dcef6c142709a6640e67355876d997ca0314431a537ad4e")</f>
        <v>deea5b4a392720928dcef6c142709a6640e67355876d997ca0314431a537ad4e</v>
      </c>
      <c r="I1907" s="1" t="s">
        <v>3417</v>
      </c>
      <c r="L1907" s="2" t="s">
        <v>3419</v>
      </c>
      <c r="M1907" s="2" t="n">
        <v>249194</v>
      </c>
      <c r="S1907" s="2" t="n">
        <v>3300</v>
      </c>
      <c r="T1907" s="2" t="n">
        <v>2550</v>
      </c>
    </row>
    <row r="1908" customFormat="false" ht="18.7" hidden="false" customHeight="true" outlineLevel="0" collapsed="false">
      <c r="A1908" s="1" t="n">
        <v>1907</v>
      </c>
      <c r="B1908" s="7" t="str">
        <f aca="false">HYPERLINK("https://mncourtfraud.com/file/27-CR-22-11847.pdf","27-CR-22-11847")</f>
        <v>27-CR-22-11847</v>
      </c>
      <c r="C1908" s="1" t="n">
        <v>1</v>
      </c>
      <c r="D1908" s="2" t="s">
        <v>12</v>
      </c>
      <c r="E1908" s="8" t="n">
        <v>45048</v>
      </c>
      <c r="F1908" s="2" t="s">
        <v>80</v>
      </c>
      <c r="G1908" s="7" t="str">
        <f aca="false">HYPERLINK("https://mncourtfraud.com/file/MCRO_27-CR-22-11847_Finding of Incompetency and Order_2023-05-02_20251126184550.pdf","MCRO_27-CR-22-11847_Finding of Incompetency and Order_2023-05-02_20251126184550.pdf")</f>
        <v>MCRO_27-CR-22-11847_Finding of Incompetency and Order_2023-05-02_20251126184550.pdf</v>
      </c>
      <c r="H1908" s="7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1908" s="1" t="s">
        <v>3406</v>
      </c>
      <c r="L1908" s="2" t="s">
        <v>3412</v>
      </c>
      <c r="M1908" s="2" t="n">
        <v>3506</v>
      </c>
      <c r="S1908" s="2" t="n">
        <v>1410</v>
      </c>
      <c r="T1908" s="2" t="n">
        <v>150</v>
      </c>
    </row>
    <row r="1909" customFormat="false" ht="18.7" hidden="false" customHeight="true" outlineLevel="0" collapsed="false">
      <c r="A1909" s="1" t="n">
        <v>1908</v>
      </c>
      <c r="B1909" s="7" t="str">
        <f aca="false">HYPERLINK("https://mncourtfraud.com/file/27-CR-22-11847.pdf","27-CR-22-11847")</f>
        <v>27-CR-22-11847</v>
      </c>
      <c r="C1909" s="1" t="n">
        <v>1</v>
      </c>
      <c r="D1909" s="2" t="s">
        <v>12</v>
      </c>
      <c r="E1909" s="8" t="n">
        <v>45048</v>
      </c>
      <c r="F1909" s="2" t="s">
        <v>80</v>
      </c>
      <c r="G1909" s="7" t="str">
        <f aca="false">HYPERLINK("https://mncourtfraud.com/file/MCRO_27-CR-22-11847_Finding of Incompetency and Order_2023-05-02_20251126184550.pdf","MCRO_27-CR-22-11847_Finding of Incompetency and Order_2023-05-02_20251126184550.pdf")</f>
        <v>MCRO_27-CR-22-11847_Finding of Incompetency and Order_2023-05-02_20251126184550.pdf</v>
      </c>
      <c r="H1909" s="7" t="str">
        <f aca="false">HYPERLINK("https://mncourtfraud.com/file/18befca089509ee2fbaddf9c5b79bf5988523b22d2369743ed9a591b9fc3bdb6.ttf","18befca089509ee2fbaddf9c5b79bf5988523b22d2369743ed9a591b9fc3bdb6")</f>
        <v>18befca089509ee2fbaddf9c5b79bf5988523b22d2369743ed9a591b9fc3bdb6</v>
      </c>
      <c r="I1909" s="1" t="s">
        <v>3413</v>
      </c>
      <c r="J1909" s="2" t="s">
        <v>3421</v>
      </c>
      <c r="K1909" s="2" t="s">
        <v>3450</v>
      </c>
      <c r="L1909" s="2" t="s">
        <v>3415</v>
      </c>
      <c r="M1909" s="2" t="n">
        <v>115928</v>
      </c>
    </row>
    <row r="1910" customFormat="false" ht="18.7" hidden="false" customHeight="true" outlineLevel="0" collapsed="false">
      <c r="A1910" s="1" t="n">
        <v>1909</v>
      </c>
      <c r="B1910" s="7" t="str">
        <f aca="false">HYPERLINK("https://mncourtfraud.com/file/27-CR-22-11847.pdf","27-CR-22-11847")</f>
        <v>27-CR-22-11847</v>
      </c>
      <c r="C1910" s="1" t="n">
        <v>1</v>
      </c>
      <c r="D1910" s="2" t="s">
        <v>12</v>
      </c>
      <c r="E1910" s="8" t="n">
        <v>45048</v>
      </c>
      <c r="F1910" s="2" t="s">
        <v>80</v>
      </c>
      <c r="G1910" s="7" t="str">
        <f aca="false">HYPERLINK("https://mncourtfraud.com/file/MCRO_27-CR-22-11847_Finding of Incompetency and Order_2023-05-02_20251126184550.pdf","MCRO_27-CR-22-11847_Finding of Incompetency and Order_2023-05-02_20251126184550.pdf")</f>
        <v>MCRO_27-CR-22-11847_Finding of Incompetency and Order_2023-05-02_20251126184550.pdf</v>
      </c>
      <c r="H1910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1910" s="1" t="s">
        <v>3413</v>
      </c>
      <c r="J1910" s="2" t="s">
        <v>3446</v>
      </c>
      <c r="K1910" s="2" t="s">
        <v>3446</v>
      </c>
      <c r="L1910" s="2" t="s">
        <v>3415</v>
      </c>
      <c r="M1910" s="2" t="n">
        <v>55072</v>
      </c>
      <c r="N1910" s="2" t="s">
        <v>3447</v>
      </c>
    </row>
    <row r="1911" customFormat="false" ht="18.7" hidden="false" customHeight="true" outlineLevel="0" collapsed="false">
      <c r="A1911" s="1" t="n">
        <v>1910</v>
      </c>
      <c r="B1911" s="7" t="str">
        <f aca="false">HYPERLINK("https://mncourtfraud.com/file/27-CR-22-11847.pdf","27-CR-22-11847")</f>
        <v>27-CR-22-11847</v>
      </c>
      <c r="C1911" s="1" t="n">
        <v>1</v>
      </c>
      <c r="D1911" s="2" t="s">
        <v>12</v>
      </c>
      <c r="E1911" s="8" t="n">
        <v>45048</v>
      </c>
      <c r="F1911" s="2" t="s">
        <v>80</v>
      </c>
      <c r="G1911" s="7" t="str">
        <f aca="false">HYPERLINK("https://mncourtfraud.com/file/MCRO_27-CR-22-11847_Finding of Incompetency and Order_2023-05-02_20251126184550.pdf","MCRO_27-CR-22-11847_Finding of Incompetency and Order_2023-05-02_20251126184550.pdf")</f>
        <v>MCRO_27-CR-22-11847_Finding of Incompetency and Order_2023-05-02_20251126184550.pdf</v>
      </c>
      <c r="H1911" s="7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1911" s="1" t="s">
        <v>3406</v>
      </c>
      <c r="K1911" s="2" t="s">
        <v>3451</v>
      </c>
      <c r="L1911" s="2" t="s">
        <v>3408</v>
      </c>
      <c r="M1911" s="2" t="n">
        <v>5295</v>
      </c>
      <c r="O1911" s="2" t="s">
        <v>3452</v>
      </c>
      <c r="P1911" s="2" t="s">
        <v>3410</v>
      </c>
      <c r="S1911" s="2" t="n">
        <v>833</v>
      </c>
      <c r="T1911" s="2" t="n">
        <v>186</v>
      </c>
    </row>
    <row r="1912" customFormat="false" ht="18.7" hidden="false" customHeight="true" outlineLevel="0" collapsed="false">
      <c r="A1912" s="1" t="n">
        <v>1911</v>
      </c>
      <c r="B1912" s="7" t="str">
        <f aca="false">HYPERLINK("https://mncourtfraud.com/file/27-CR-22-11847.pdf","27-CR-22-11847")</f>
        <v>27-CR-22-11847</v>
      </c>
      <c r="C1912" s="1" t="n">
        <v>1</v>
      </c>
      <c r="D1912" s="2" t="s">
        <v>12</v>
      </c>
      <c r="E1912" s="8" t="n">
        <v>45048</v>
      </c>
      <c r="F1912" s="2" t="s">
        <v>80</v>
      </c>
      <c r="G1912" s="7" t="str">
        <f aca="false">HYPERLINK("https://mncourtfraud.com/file/MCRO_27-CR-22-11847_Finding of Incompetency and Order_2023-05-02_20251126184550.pdf","MCRO_27-CR-22-11847_Finding of Incompetency and Order_2023-05-02_20251126184550.pdf")</f>
        <v>MCRO_27-CR-22-11847_Finding of Incompetency and Order_2023-05-02_20251126184550.pdf</v>
      </c>
      <c r="H1912" s="7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1912" s="1" t="s">
        <v>3406</v>
      </c>
      <c r="K1912" s="2" t="s">
        <v>3453</v>
      </c>
      <c r="L1912" s="2" t="s">
        <v>3408</v>
      </c>
      <c r="M1912" s="2" t="n">
        <v>3442</v>
      </c>
      <c r="O1912" s="2" t="s">
        <v>3454</v>
      </c>
      <c r="P1912" s="2" t="s">
        <v>3410</v>
      </c>
      <c r="S1912" s="2" t="n">
        <v>857</v>
      </c>
      <c r="T1912" s="2" t="n">
        <v>184</v>
      </c>
    </row>
    <row r="1913" customFormat="false" ht="18.7" hidden="false" customHeight="true" outlineLevel="0" collapsed="false">
      <c r="A1913" s="1" t="n">
        <v>1912</v>
      </c>
      <c r="B1913" s="7" t="str">
        <f aca="false">HYPERLINK("https://mncourtfraud.com/file/27-CR-22-11847.pdf","27-CR-22-11847")</f>
        <v>27-CR-22-11847</v>
      </c>
      <c r="C1913" s="1" t="n">
        <v>1</v>
      </c>
      <c r="D1913" s="2" t="s">
        <v>12</v>
      </c>
      <c r="E1913" s="8" t="n">
        <v>45048</v>
      </c>
      <c r="F1913" s="2" t="s">
        <v>80</v>
      </c>
      <c r="G1913" s="7" t="str">
        <f aca="false">HYPERLINK("https://mncourtfraud.com/file/MCRO_27-CR-22-11847_Finding of Incompetency and Order_2023-05-02_20251126184550.pdf","MCRO_27-CR-22-11847_Finding of Incompetency and Order_2023-05-02_20251126184550.pdf")</f>
        <v>MCRO_27-CR-22-11847_Finding of Incompetency and Order_2023-05-02_20251126184550.pdf</v>
      </c>
      <c r="H1913" s="7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1913" s="1" t="s">
        <v>3406</v>
      </c>
      <c r="L1913" s="2" t="s">
        <v>3412</v>
      </c>
      <c r="M1913" s="2" t="n">
        <v>3824</v>
      </c>
      <c r="S1913" s="2" t="n">
        <v>1850</v>
      </c>
      <c r="T1913" s="2" t="n">
        <v>160</v>
      </c>
    </row>
    <row r="1914" customFormat="false" ht="18.7" hidden="false" customHeight="true" outlineLevel="0" collapsed="false">
      <c r="A1914" s="1" t="n">
        <v>1913</v>
      </c>
      <c r="B1914" s="7" t="str">
        <f aca="false">HYPERLINK("https://mncourtfraud.com/file/27-CR-22-11847.pdf","27-CR-22-11847")</f>
        <v>27-CR-22-11847</v>
      </c>
      <c r="C1914" s="1" t="n">
        <v>1</v>
      </c>
      <c r="D1914" s="2" t="s">
        <v>12</v>
      </c>
      <c r="E1914" s="8" t="n">
        <v>45048</v>
      </c>
      <c r="F1914" s="2" t="s">
        <v>80</v>
      </c>
      <c r="G1914" s="7" t="str">
        <f aca="false">HYPERLINK("https://mncourtfraud.com/file/MCRO_27-CR-22-11847_Finding of Incompetency and Order_2023-05-02_20251126184550.pdf","MCRO_27-CR-22-11847_Finding of Incompetency and Order_2023-05-02_20251126184550.pdf")</f>
        <v>MCRO_27-CR-22-11847_Finding of Incompetency and Order_2023-05-02_20251126184550.pdf</v>
      </c>
      <c r="H1914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1914" s="1" t="s">
        <v>3413</v>
      </c>
      <c r="J1914" s="2" t="s">
        <v>3448</v>
      </c>
      <c r="K1914" s="2" t="s">
        <v>3448</v>
      </c>
      <c r="L1914" s="2" t="s">
        <v>3415</v>
      </c>
      <c r="M1914" s="2" t="n">
        <v>916684</v>
      </c>
    </row>
    <row r="1915" customFormat="false" ht="18.7" hidden="false" customHeight="true" outlineLevel="0" collapsed="false">
      <c r="A1915" s="1" t="n">
        <v>1914</v>
      </c>
      <c r="B1915" s="7" t="str">
        <f aca="false">HYPERLINK("https://mncourtfraud.com/file/27-CR-22-11847.pdf","27-CR-22-11847")</f>
        <v>27-CR-22-11847</v>
      </c>
      <c r="C1915" s="1" t="n">
        <v>1</v>
      </c>
      <c r="D1915" s="2" t="s">
        <v>12</v>
      </c>
      <c r="E1915" s="8" t="n">
        <v>45093</v>
      </c>
      <c r="F1915" s="2" t="s">
        <v>82</v>
      </c>
      <c r="G1915" s="7" t="str">
        <f aca="false">HYPERLINK("https://mncourtfraud.com/file/MCRO_27-CR-22-11847_Notice of Case Reassignment_2023-06-16_20251126184603.pdf","MCRO_27-CR-22-11847_Notice of Case Reassignment_2023-06-16_20251126184603.pdf")</f>
        <v>MCRO_27-CR-22-11847_Notice of Case Reassignment_2023-06-16_20251126184603.pdf</v>
      </c>
      <c r="H1915" s="7" t="str">
        <f aca="false">HYPERLINK("https://mncourtfraud.com/file/1fd1136a5ae69c0e5068fedf111533c283fb06da71a1aebe96b41cad9a15bb33.ttf","1fd1136a5ae69c0e5068fedf111533c283fb06da71a1aebe96b41cad9a15bb33")</f>
        <v>1fd1136a5ae69c0e5068fedf111533c283fb06da71a1aebe96b41cad9a15bb33</v>
      </c>
      <c r="I1915" s="1" t="s">
        <v>3413</v>
      </c>
      <c r="J1915" s="2" t="s">
        <v>3455</v>
      </c>
      <c r="K1915" s="2" t="s">
        <v>3455</v>
      </c>
      <c r="L1915" s="2" t="s">
        <v>3415</v>
      </c>
      <c r="M1915" s="2" t="n">
        <v>96348</v>
      </c>
      <c r="N1915" s="2" t="s">
        <v>3456</v>
      </c>
    </row>
    <row r="1916" customFormat="false" ht="18.7" hidden="false" customHeight="true" outlineLevel="0" collapsed="false">
      <c r="A1916" s="1" t="n">
        <v>1915</v>
      </c>
      <c r="B1916" s="7" t="str">
        <f aca="false">HYPERLINK("https://mncourtfraud.com/file/27-CR-22-11847.pdf","27-CR-22-11847")</f>
        <v>27-CR-22-11847</v>
      </c>
      <c r="C1916" s="1" t="n">
        <v>1</v>
      </c>
      <c r="D1916" s="2" t="s">
        <v>12</v>
      </c>
      <c r="E1916" s="8" t="n">
        <v>45093</v>
      </c>
      <c r="F1916" s="2" t="s">
        <v>82</v>
      </c>
      <c r="G1916" s="7" t="str">
        <f aca="false">HYPERLINK("https://mncourtfraud.com/file/MCRO_27-CR-22-11847_Notice of Case Reassignment_2023-06-16_20251126184603.pdf","MCRO_27-CR-22-11847_Notice of Case Reassignment_2023-06-16_20251126184603.pdf")</f>
        <v>MCRO_27-CR-22-11847_Notice of Case Reassignment_2023-06-16_20251126184603.pdf</v>
      </c>
      <c r="H1916" s="7" t="str">
        <f aca="false">HYPERLINK("https://mncourtfraud.com/file/4b0b043cb476134a2e47a5f4c233d3d0f7a52a3b063b8831356383f89fcd1118.ttf","4b0b043cb476134a2e47a5f4c233d3d0f7a52a3b063b8831356383f89fcd1118")</f>
        <v>4b0b043cb476134a2e47a5f4c233d3d0f7a52a3b063b8831356383f89fcd1118</v>
      </c>
      <c r="I1916" s="1" t="s">
        <v>3413</v>
      </c>
      <c r="J1916" s="2" t="s">
        <v>3457</v>
      </c>
      <c r="K1916" s="2" t="s">
        <v>3457</v>
      </c>
      <c r="L1916" s="2" t="s">
        <v>3415</v>
      </c>
      <c r="M1916" s="2" t="n">
        <v>79764</v>
      </c>
      <c r="N1916" s="2" t="s">
        <v>3458</v>
      </c>
    </row>
    <row r="1917" customFormat="false" ht="18.7" hidden="false" customHeight="true" outlineLevel="0" collapsed="false">
      <c r="A1917" s="1" t="n">
        <v>1916</v>
      </c>
      <c r="B1917" s="7" t="str">
        <f aca="false">HYPERLINK("https://mncourtfraud.com/file/27-CR-22-11847.pdf","27-CR-22-11847")</f>
        <v>27-CR-22-11847</v>
      </c>
      <c r="C1917" s="1" t="n">
        <v>1</v>
      </c>
      <c r="D1917" s="2" t="s">
        <v>12</v>
      </c>
      <c r="E1917" s="8" t="n">
        <v>45160</v>
      </c>
      <c r="F1917" s="2" t="s">
        <v>15</v>
      </c>
      <c r="G1917" s="7" t="str">
        <f aca="false">HYPERLINK("https://mncourtfraud.com/file/MCRO_27-CR-22-11847_Order-Evaluation for Competency to Proceed (Rule 20.01)_2023-08-22_20251126184653.pdf","MCRO_27-CR-22-11847_Order-Evaluation for Competency to Proceed (Rule 20.01)_2023-08-22_20251126184653.pdf")</f>
        <v>MCRO_27-CR-22-11847_Order-Evaluation for Competency to Proceed (Rule 20.01)_2023-08-22_20251126184653.pdf</v>
      </c>
      <c r="H1917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1917" s="1" t="s">
        <v>3413</v>
      </c>
      <c r="J1917" s="2" t="s">
        <v>3449</v>
      </c>
      <c r="K1917" s="2" t="s">
        <v>3449</v>
      </c>
      <c r="L1917" s="2" t="s">
        <v>3415</v>
      </c>
      <c r="M1917" s="2" t="n">
        <v>125504</v>
      </c>
    </row>
    <row r="1918" customFormat="false" ht="18.7" hidden="false" customHeight="true" outlineLevel="0" collapsed="false">
      <c r="A1918" s="1" t="n">
        <v>1917</v>
      </c>
      <c r="B1918" s="7" t="str">
        <f aca="false">HYPERLINK("https://mncourtfraud.com/file/27-CR-22-11847.pdf","27-CR-22-11847")</f>
        <v>27-CR-22-11847</v>
      </c>
      <c r="C1918" s="1" t="n">
        <v>1</v>
      </c>
      <c r="D1918" s="2" t="s">
        <v>12</v>
      </c>
      <c r="E1918" s="8" t="n">
        <v>45160</v>
      </c>
      <c r="F1918" s="2" t="s">
        <v>15</v>
      </c>
      <c r="G1918" s="7" t="str">
        <f aca="false">HYPERLINK("https://mncourtfraud.com/file/MCRO_27-CR-22-11847_Order-Evaluation for Competency to Proceed (Rule 20.01)_2023-08-22_20251126184653.pdf","MCRO_27-CR-22-11847_Order-Evaluation for Competency to Proceed (Rule 20.01)_2023-08-22_20251126184653.pdf")</f>
        <v>MCRO_27-CR-22-11847_Order-Evaluation for Competency to Proceed (Rule 20.01)_2023-08-22_20251126184653.pdf</v>
      </c>
      <c r="H1918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1918" s="1" t="s">
        <v>3413</v>
      </c>
      <c r="J1918" s="2" t="s">
        <v>3449</v>
      </c>
      <c r="K1918" s="2" t="s">
        <v>3449</v>
      </c>
      <c r="L1918" s="2" t="s">
        <v>3415</v>
      </c>
      <c r="M1918" s="2" t="n">
        <v>125504</v>
      </c>
    </row>
    <row r="1919" customFormat="false" ht="18.7" hidden="false" customHeight="true" outlineLevel="0" collapsed="false">
      <c r="A1919" s="1" t="n">
        <v>1918</v>
      </c>
      <c r="B1919" s="7" t="str">
        <f aca="false">HYPERLINK("https://mncourtfraud.com/file/27-CR-22-11847.pdf","27-CR-22-11847")</f>
        <v>27-CR-22-11847</v>
      </c>
      <c r="C1919" s="1" t="n">
        <v>1</v>
      </c>
      <c r="D1919" s="2" t="s">
        <v>12</v>
      </c>
      <c r="E1919" s="8" t="n">
        <v>45160</v>
      </c>
      <c r="F1919" s="2" t="s">
        <v>15</v>
      </c>
      <c r="G1919" s="7" t="str">
        <f aca="false">HYPERLINK("https://mncourtfraud.com/file/MCRO_27-CR-22-11847_Order-Evaluation for Competency to Proceed (Rule 20.01)_2023-08-22_20251126184653.pdf","MCRO_27-CR-22-11847_Order-Evaluation for Competency to Proceed (Rule 20.01)_2023-08-22_20251126184653.pdf")</f>
        <v>MCRO_27-CR-22-11847_Order-Evaluation for Competency to Proceed (Rule 20.01)_2023-08-22_20251126184653.pdf</v>
      </c>
      <c r="H1919" s="7" t="str">
        <f aca="false">HYPERLINK("https://mncourtfraud.com/file/0174a154b1dd2c8824c0108a525fa6ced84bf8b7d2fc9696a847700a4f83bb3b.ttf","0174a154b1dd2c8824c0108a525fa6ced84bf8b7d2fc9696a847700a4f83bb3b")</f>
        <v>0174a154b1dd2c8824c0108a525fa6ced84bf8b7d2fc9696a847700a4f83bb3b</v>
      </c>
      <c r="I1919" s="1" t="s">
        <v>3413</v>
      </c>
      <c r="J1919" s="2" t="s">
        <v>3422</v>
      </c>
      <c r="K1919" s="2" t="s">
        <v>3422</v>
      </c>
      <c r="L1919" s="2" t="s">
        <v>3415</v>
      </c>
      <c r="M1919" s="2" t="n">
        <v>101216</v>
      </c>
    </row>
    <row r="1920" customFormat="false" ht="18.7" hidden="false" customHeight="true" outlineLevel="0" collapsed="false">
      <c r="A1920" s="1" t="n">
        <v>1919</v>
      </c>
      <c r="B1920" s="7" t="str">
        <f aca="false">HYPERLINK("https://mncourtfraud.com/file/27-CR-22-11847.pdf","27-CR-22-11847")</f>
        <v>27-CR-22-11847</v>
      </c>
      <c r="C1920" s="1" t="n">
        <v>1</v>
      </c>
      <c r="D1920" s="2" t="s">
        <v>12</v>
      </c>
      <c r="E1920" s="8" t="n">
        <v>45160</v>
      </c>
      <c r="F1920" s="2" t="s">
        <v>15</v>
      </c>
      <c r="G1920" s="7" t="str">
        <f aca="false">HYPERLINK("https://mncourtfraud.com/file/MCRO_27-CR-22-11847_Order-Evaluation for Competency to Proceed (Rule 20.01)_2023-08-22_20251126184653.pdf","MCRO_27-CR-22-11847_Order-Evaluation for Competency to Proceed (Rule 20.01)_2023-08-22_20251126184653.pdf")</f>
        <v>MCRO_27-CR-22-11847_Order-Evaluation for Competency to Proceed (Rule 20.01)_2023-08-22_20251126184653.pdf</v>
      </c>
      <c r="H1920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1920" s="1" t="s">
        <v>3413</v>
      </c>
      <c r="J1920" s="2" t="s">
        <v>3423</v>
      </c>
      <c r="K1920" s="2" t="s">
        <v>3423</v>
      </c>
      <c r="L1920" s="2" t="s">
        <v>3415</v>
      </c>
      <c r="M1920" s="2" t="n">
        <v>11088</v>
      </c>
    </row>
    <row r="1921" customFormat="false" ht="18.7" hidden="false" customHeight="true" outlineLevel="0" collapsed="false">
      <c r="A1921" s="1" t="n">
        <v>1920</v>
      </c>
      <c r="B1921" s="7" t="str">
        <f aca="false">HYPERLINK("https://mncourtfraud.com/file/27-CR-22-11847.pdf","27-CR-22-11847")</f>
        <v>27-CR-22-11847</v>
      </c>
      <c r="C1921" s="1" t="n">
        <v>1</v>
      </c>
      <c r="D1921" s="2" t="s">
        <v>12</v>
      </c>
      <c r="E1921" s="8" t="n">
        <v>45160</v>
      </c>
      <c r="F1921" s="2" t="s">
        <v>15</v>
      </c>
      <c r="G1921" s="7" t="str">
        <f aca="false">HYPERLINK("https://mncourtfraud.com/file/MCRO_27-CR-22-11847_Order-Evaluation for Competency to Proceed (Rule 20.01)_2023-08-22_20251126184653.pdf","MCRO_27-CR-22-11847_Order-Evaluation for Competency to Proceed (Rule 20.01)_2023-08-22_20251126184653.pdf")</f>
        <v>MCRO_27-CR-22-11847_Order-Evaluation for Competency to Proceed (Rule 20.01)_2023-08-22_20251126184653.pdf</v>
      </c>
      <c r="H1921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1921" s="1" t="s">
        <v>3413</v>
      </c>
      <c r="J1921" s="2" t="s">
        <v>3446</v>
      </c>
      <c r="K1921" s="2" t="s">
        <v>3446</v>
      </c>
      <c r="L1921" s="2" t="s">
        <v>3415</v>
      </c>
      <c r="M1921" s="2" t="n">
        <v>55072</v>
      </c>
      <c r="N1921" s="2" t="s">
        <v>3447</v>
      </c>
    </row>
    <row r="1922" customFormat="false" ht="18.7" hidden="false" customHeight="true" outlineLevel="0" collapsed="false">
      <c r="A1922" s="1" t="n">
        <v>1921</v>
      </c>
      <c r="B1922" s="7" t="str">
        <f aca="false">HYPERLINK("https://mncourtfraud.com/file/27-CR-22-11847.pdf","27-CR-22-11847")</f>
        <v>27-CR-22-11847</v>
      </c>
      <c r="C1922" s="1" t="n">
        <v>1</v>
      </c>
      <c r="D1922" s="2" t="s">
        <v>12</v>
      </c>
      <c r="E1922" s="8" t="n">
        <v>45160</v>
      </c>
      <c r="F1922" s="2" t="s">
        <v>15</v>
      </c>
      <c r="G1922" s="7" t="str">
        <f aca="false">HYPERLINK("https://mncourtfraud.com/file/MCRO_27-CR-22-11847_Order-Evaluation for Competency to Proceed (Rule 20.01)_2023-08-22_20251126184653.pdf","MCRO_27-CR-22-11847_Order-Evaluation for Competency to Proceed (Rule 20.01)_2023-08-22_20251126184653.pdf")</f>
        <v>MCRO_27-CR-22-11847_Order-Evaluation for Competency to Proceed (Rule 20.01)_2023-08-22_20251126184653.pdf</v>
      </c>
      <c r="H1922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1922" s="1" t="s">
        <v>3413</v>
      </c>
      <c r="J1922" s="2" t="s">
        <v>3424</v>
      </c>
      <c r="K1922" s="2" t="s">
        <v>3424</v>
      </c>
      <c r="L1922" s="2" t="s">
        <v>3415</v>
      </c>
      <c r="M1922" s="2" t="n">
        <v>14252</v>
      </c>
    </row>
    <row r="1923" customFormat="false" ht="18.7" hidden="false" customHeight="true" outlineLevel="0" collapsed="false">
      <c r="A1923" s="1" t="n">
        <v>1922</v>
      </c>
      <c r="B1923" s="7" t="str">
        <f aca="false">HYPERLINK("https://mncourtfraud.com/file/27-CR-22-11847.pdf","27-CR-22-11847")</f>
        <v>27-CR-22-11847</v>
      </c>
      <c r="C1923" s="1" t="n">
        <v>1</v>
      </c>
      <c r="D1923" s="2" t="s">
        <v>12</v>
      </c>
      <c r="E1923" s="8" t="n">
        <v>45160</v>
      </c>
      <c r="F1923" s="2" t="s">
        <v>15</v>
      </c>
      <c r="G1923" s="7" t="str">
        <f aca="false">HYPERLINK("https://mncourtfraud.com/file/MCRO_27-CR-22-11847_Order-Evaluation for Competency to Proceed (Rule 20.01)_2023-08-22_20251126184653.pdf","MCRO_27-CR-22-11847_Order-Evaluation for Competency to Proceed (Rule 20.01)_2023-08-22_20251126184653.pdf")</f>
        <v>MCRO_27-CR-22-11847_Order-Evaluation for Competency to Proceed (Rule 20.01)_2023-08-22_20251126184653.pdf</v>
      </c>
      <c r="H1923" s="7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1923" s="1" t="s">
        <v>3406</v>
      </c>
      <c r="L1923" s="2" t="s">
        <v>3412</v>
      </c>
      <c r="M1923" s="2" t="n">
        <v>5012</v>
      </c>
      <c r="S1923" s="2" t="n">
        <v>2740</v>
      </c>
      <c r="T1923" s="2" t="n">
        <v>180</v>
      </c>
    </row>
    <row r="1924" customFormat="false" ht="18.7" hidden="false" customHeight="true" outlineLevel="0" collapsed="false">
      <c r="A1924" s="1" t="n">
        <v>1923</v>
      </c>
      <c r="B1924" s="7" t="str">
        <f aca="false">HYPERLINK("https://mncourtfraud.com/file/27-CR-22-11847.pdf","27-CR-22-11847")</f>
        <v>27-CR-22-11847</v>
      </c>
      <c r="C1924" s="1" t="n">
        <v>1</v>
      </c>
      <c r="D1924" s="2" t="s">
        <v>12</v>
      </c>
      <c r="E1924" s="8" t="n">
        <v>45160</v>
      </c>
      <c r="F1924" s="2" t="s">
        <v>15</v>
      </c>
      <c r="G1924" s="7" t="str">
        <f aca="false">HYPERLINK("https://mncourtfraud.com/file/MCRO_27-CR-22-11847_Order-Evaluation for Competency to Proceed (Rule 20.01)_2023-08-22_20251126184653.pdf","MCRO_27-CR-22-11847_Order-Evaluation for Competency to Proceed (Rule 20.01)_2023-08-22_20251126184653.pdf")</f>
        <v>MCRO_27-CR-22-11847_Order-Evaluation for Competency to Proceed (Rule 20.01)_2023-08-22_20251126184653.pdf</v>
      </c>
      <c r="H1924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1924" s="1" t="s">
        <v>3413</v>
      </c>
      <c r="J1924" s="2" t="s">
        <v>3448</v>
      </c>
      <c r="K1924" s="2" t="s">
        <v>3448</v>
      </c>
      <c r="L1924" s="2" t="s">
        <v>3415</v>
      </c>
      <c r="M1924" s="2" t="n">
        <v>916684</v>
      </c>
    </row>
    <row r="1925" customFormat="false" ht="18.7" hidden="false" customHeight="true" outlineLevel="0" collapsed="false">
      <c r="A1925" s="1" t="n">
        <v>1924</v>
      </c>
      <c r="B1925" s="7" t="str">
        <f aca="false">HYPERLINK("https://mncourtfraud.com/file/27-CR-22-11847.pdf","27-CR-22-11847")</f>
        <v>27-CR-22-11847</v>
      </c>
      <c r="C1925" s="1" t="n">
        <v>1</v>
      </c>
      <c r="D1925" s="2" t="s">
        <v>12</v>
      </c>
      <c r="E1925" s="8" t="n">
        <v>45160</v>
      </c>
      <c r="F1925" s="2" t="s">
        <v>15</v>
      </c>
      <c r="G1925" s="7" t="str">
        <f aca="false">HYPERLINK("https://mncourtfraud.com/file/MCRO_27-CR-22-11847_Order-Evaluation for Competency to Proceed (Rule 20.01)_2023-08-22_20251126184653.pdf","MCRO_27-CR-22-11847_Order-Evaluation for Competency to Proceed (Rule 20.01)_2023-08-22_20251126184653.pdf")</f>
        <v>MCRO_27-CR-22-11847_Order-Evaluation for Competency to Proceed (Rule 20.01)_2023-08-22_20251126184653.pdf</v>
      </c>
      <c r="H1925" s="7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1925" s="1" t="s">
        <v>3406</v>
      </c>
      <c r="K1925" s="2" t="s">
        <v>3459</v>
      </c>
      <c r="L1925" s="2" t="s">
        <v>3408</v>
      </c>
      <c r="M1925" s="2" t="n">
        <v>5220</v>
      </c>
      <c r="O1925" s="2" t="s">
        <v>3460</v>
      </c>
      <c r="P1925" s="2" t="s">
        <v>3410</v>
      </c>
      <c r="S1925" s="2" t="n">
        <v>881</v>
      </c>
      <c r="T1925" s="2" t="n">
        <v>216</v>
      </c>
    </row>
    <row r="1926" customFormat="false" ht="18.7" hidden="false" customHeight="true" outlineLevel="0" collapsed="false">
      <c r="A1926" s="1" t="n">
        <v>1925</v>
      </c>
      <c r="B1926" s="7" t="str">
        <f aca="false">HYPERLINK("https://mncourtfraud.com/file/27-CR-22-11847.pdf","27-CR-22-11847")</f>
        <v>27-CR-22-11847</v>
      </c>
      <c r="C1926" s="1" t="n">
        <v>1</v>
      </c>
      <c r="D1926" s="2" t="s">
        <v>12</v>
      </c>
      <c r="E1926" s="8" t="n">
        <v>45412</v>
      </c>
      <c r="F1926" s="2" t="s">
        <v>15</v>
      </c>
      <c r="G1926" s="7" t="str">
        <f aca="false">HYPERLINK("https://mncourtfraud.com/file/MCRO_27-CR-22-11847_Order-Evaluation for Competency to Proceed (Rule 20.01)_2024-04-30_20251126184629.pdf","MCRO_27-CR-22-11847_Order-Evaluation for Competency to Proceed (Rule 20.01)_2024-04-30_20251126184629.pdf")</f>
        <v>MCRO_27-CR-22-11847_Order-Evaluation for Competency to Proceed (Rule 20.01)_2024-04-30_20251126184629.pdf</v>
      </c>
      <c r="H1926" s="7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1926" s="1" t="s">
        <v>3406</v>
      </c>
      <c r="L1926" s="2" t="s">
        <v>3412</v>
      </c>
      <c r="M1926" s="2" t="n">
        <v>154549</v>
      </c>
      <c r="S1926" s="2" t="n">
        <v>2560</v>
      </c>
      <c r="T1926" s="2" t="n">
        <v>3300</v>
      </c>
    </row>
    <row r="1927" customFormat="false" ht="18.7" hidden="false" customHeight="true" outlineLevel="0" collapsed="false">
      <c r="A1927" s="1" t="n">
        <v>1926</v>
      </c>
      <c r="B1927" s="7" t="str">
        <f aca="false">HYPERLINK("https://mncourtfraud.com/file/27-CR-22-11847.pdf","27-CR-22-11847")</f>
        <v>27-CR-22-11847</v>
      </c>
      <c r="C1927" s="1" t="n">
        <v>1</v>
      </c>
      <c r="D1927" s="2" t="s">
        <v>12</v>
      </c>
      <c r="E1927" s="8" t="n">
        <v>45412</v>
      </c>
      <c r="F1927" s="2" t="s">
        <v>15</v>
      </c>
      <c r="G1927" s="7" t="str">
        <f aca="false">HYPERLINK("https://mncourtfraud.com/file/MCRO_27-CR-22-11847_Order-Evaluation for Competency to Proceed (Rule 20.01)_2024-04-30_20251126184629.pdf","MCRO_27-CR-22-11847_Order-Evaluation for Competency to Proceed (Rule 20.01)_2024-04-30_20251126184629.pdf")</f>
        <v>MCRO_27-CR-22-11847_Order-Evaluation for Competency to Proceed (Rule 20.01)_2024-04-30_20251126184629.pdf</v>
      </c>
      <c r="H1927" s="7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1927" s="1" t="s">
        <v>3406</v>
      </c>
      <c r="L1927" s="2" t="s">
        <v>3412</v>
      </c>
      <c r="M1927" s="2" t="n">
        <v>180051</v>
      </c>
      <c r="S1927" s="2" t="n">
        <v>2560</v>
      </c>
      <c r="T1927" s="2" t="n">
        <v>3300</v>
      </c>
    </row>
    <row r="1928" customFormat="false" ht="18.7" hidden="false" customHeight="true" outlineLevel="0" collapsed="false">
      <c r="A1928" s="1" t="n">
        <v>1927</v>
      </c>
      <c r="B1928" s="7" t="str">
        <f aca="false">HYPERLINK("https://mncourtfraud.com/file/27-CR-22-11847.pdf","27-CR-22-11847")</f>
        <v>27-CR-22-11847</v>
      </c>
      <c r="C1928" s="1" t="n">
        <v>1</v>
      </c>
      <c r="D1928" s="2" t="s">
        <v>12</v>
      </c>
      <c r="E1928" s="8" t="n">
        <v>45412</v>
      </c>
      <c r="F1928" s="2" t="s">
        <v>24</v>
      </c>
      <c r="G1928" s="7" t="str">
        <f aca="false">HYPERLINK("https://mncourtfraud.com/file/MCRO_27-CR-22-11847_Order for Conditional Release_2024-04-30_20251126184615.pdf","MCRO_27-CR-22-11847_Order for Conditional Release_2024-04-30_20251126184615.pdf")</f>
        <v>MCRO_27-CR-22-11847_Order for Conditional Release_2024-04-30_20251126184615.pdf</v>
      </c>
      <c r="H1928" s="7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1928" s="1" t="s">
        <v>3406</v>
      </c>
      <c r="L1928" s="2" t="s">
        <v>3412</v>
      </c>
      <c r="M1928" s="2" t="n">
        <v>38726</v>
      </c>
      <c r="S1928" s="2" t="n">
        <v>2560</v>
      </c>
      <c r="T1928" s="2" t="n">
        <v>3300</v>
      </c>
    </row>
    <row r="1929" customFormat="false" ht="18.7" hidden="false" customHeight="true" outlineLevel="0" collapsed="false">
      <c r="A1929" s="1" t="n">
        <v>1928</v>
      </c>
      <c r="B1929" s="7" t="str">
        <f aca="false">HYPERLINK("https://mncourtfraud.com/file/27-CR-22-11847.pdf","27-CR-22-11847")</f>
        <v>27-CR-22-11847</v>
      </c>
      <c r="C1929" s="1" t="n">
        <v>1</v>
      </c>
      <c r="D1929" s="2" t="s">
        <v>12</v>
      </c>
      <c r="E1929" s="8" t="n">
        <v>45412</v>
      </c>
      <c r="F1929" s="2" t="s">
        <v>15</v>
      </c>
      <c r="G1929" s="7" t="str">
        <f aca="false">HYPERLINK("https://mncourtfraud.com/file/MCRO_27-CR-22-11847_Order-Evaluation for Competency to Proceed (Rule 20.01)_2024-04-30_20251126184629.pdf","MCRO_27-CR-22-11847_Order-Evaluation for Competency to Proceed (Rule 20.01)_2024-04-30_20251126184629.pdf")</f>
        <v>MCRO_27-CR-22-11847_Order-Evaluation for Competency to Proceed (Rule 20.01)_2024-04-30_20251126184629.pdf</v>
      </c>
      <c r="H1929" s="7" t="str">
        <f aca="false">HYPERLINK("https://mncourtfraud.com/file/4db7d2599119dc45c08adba3b9b2ba67e6a3d697261d3f95ca4c5b01777bcfbe.ttf","4db7d2599119dc45c08adba3b9b2ba67e6a3d697261d3f95ca4c5b01777bcfbe")</f>
        <v>4db7d2599119dc45c08adba3b9b2ba67e6a3d697261d3f95ca4c5b01777bcfbe</v>
      </c>
      <c r="I1929" s="1" t="s">
        <v>3413</v>
      </c>
      <c r="L1929" s="2" t="s">
        <v>3415</v>
      </c>
      <c r="M1929" s="2" t="n">
        <v>333576</v>
      </c>
    </row>
    <row r="1930" customFormat="false" ht="18.7" hidden="false" customHeight="true" outlineLevel="0" collapsed="false">
      <c r="A1930" s="1" t="n">
        <v>1929</v>
      </c>
      <c r="B1930" s="7" t="str">
        <f aca="false">HYPERLINK("https://mncourtfraud.com/file/27-CR-22-11847.pdf","27-CR-22-11847")</f>
        <v>27-CR-22-11847</v>
      </c>
      <c r="C1930" s="1" t="n">
        <v>1</v>
      </c>
      <c r="D1930" s="2" t="s">
        <v>12</v>
      </c>
      <c r="E1930" s="8" t="n">
        <v>45412</v>
      </c>
      <c r="F1930" s="2" t="s">
        <v>15</v>
      </c>
      <c r="G1930" s="7" t="str">
        <f aca="false">HYPERLINK("https://mncourtfraud.com/file/MCRO_27-CR-22-11847_Order-Evaluation for Competency to Proceed (Rule 20.01)_2024-04-30_20251126184629.pdf","MCRO_27-CR-22-11847_Order-Evaluation for Competency to Proceed (Rule 20.01)_2024-04-30_20251126184629.pdf")</f>
        <v>MCRO_27-CR-22-11847_Order-Evaluation for Competency to Proceed (Rule 20.01)_2024-04-30_20251126184629.pdf</v>
      </c>
      <c r="H1930" s="7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1930" s="1" t="s">
        <v>3406</v>
      </c>
      <c r="L1930" s="2" t="s">
        <v>3412</v>
      </c>
      <c r="M1930" s="2" t="n">
        <v>71271</v>
      </c>
      <c r="S1930" s="2" t="n">
        <v>2560</v>
      </c>
      <c r="T1930" s="2" t="n">
        <v>3300</v>
      </c>
    </row>
    <row r="1931" customFormat="false" ht="18.7" hidden="false" customHeight="true" outlineLevel="0" collapsed="false">
      <c r="A1931" s="1" t="n">
        <v>1930</v>
      </c>
      <c r="B1931" s="7" t="str">
        <f aca="false">HYPERLINK("https://mncourtfraud.com/file/27-CR-22-11847.pdf","27-CR-22-11847")</f>
        <v>27-CR-22-11847</v>
      </c>
      <c r="C1931" s="1" t="n">
        <v>1</v>
      </c>
      <c r="D1931" s="2" t="s">
        <v>12</v>
      </c>
      <c r="E1931" s="8" t="n">
        <v>45412</v>
      </c>
      <c r="F1931" s="2" t="s">
        <v>24</v>
      </c>
      <c r="G1931" s="7" t="str">
        <f aca="false">HYPERLINK("https://mncourtfraud.com/file/MCRO_27-CR-22-11847_Order for Conditional Release_2024-04-30_20251126184615.pdf","MCRO_27-CR-22-11847_Order for Conditional Release_2024-04-30_20251126184615.pdf")</f>
        <v>MCRO_27-CR-22-11847_Order for Conditional Release_2024-04-30_20251126184615.pdf</v>
      </c>
      <c r="H1931" s="7" t="str">
        <f aca="false">HYPERLINK("https://mncourtfraud.com/file/d5cf4f06aaee8f372e6af86dab12d75d131a3ba68ba6baeac4b7b514ef3e0b85.ttf","d5cf4f06aaee8f372e6af86dab12d75d131a3ba68ba6baeac4b7b514ef3e0b85")</f>
        <v>d5cf4f06aaee8f372e6af86dab12d75d131a3ba68ba6baeac4b7b514ef3e0b85</v>
      </c>
      <c r="I1931" s="1" t="s">
        <v>3413</v>
      </c>
      <c r="L1931" s="2" t="s">
        <v>3415</v>
      </c>
      <c r="M1931" s="2" t="n">
        <v>333576</v>
      </c>
    </row>
    <row r="1932" customFormat="false" ht="18.7" hidden="false" customHeight="true" outlineLevel="0" collapsed="false">
      <c r="A1932" s="1" t="n">
        <v>1931</v>
      </c>
      <c r="B1932" s="7" t="str">
        <f aca="false">HYPERLINK("https://mncourtfraud.com/file/27-CR-22-11847.pdf","27-CR-22-11847")</f>
        <v>27-CR-22-11847</v>
      </c>
      <c r="C1932" s="1" t="n">
        <v>1</v>
      </c>
      <c r="D1932" s="2" t="s">
        <v>12</v>
      </c>
      <c r="E1932" s="8" t="n">
        <v>45412</v>
      </c>
      <c r="F1932" s="2" t="s">
        <v>24</v>
      </c>
      <c r="G1932" s="7" t="str">
        <f aca="false">HYPERLINK("https://mncourtfraud.com/file/MCRO_27-CR-22-11847_Order for Conditional Release_2024-04-30_20251126184615.pdf","MCRO_27-CR-22-11847_Order for Conditional Release_2024-04-30_20251126184615.pdf")</f>
        <v>MCRO_27-CR-22-11847_Order for Conditional Release_2024-04-30_20251126184615.pdf</v>
      </c>
      <c r="H1932" s="7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1932" s="1" t="s">
        <v>3406</v>
      </c>
      <c r="L1932" s="2" t="s">
        <v>3412</v>
      </c>
      <c r="M1932" s="2" t="n">
        <v>195018</v>
      </c>
      <c r="S1932" s="2" t="n">
        <v>2560</v>
      </c>
      <c r="T1932" s="2" t="n">
        <v>3300</v>
      </c>
    </row>
    <row r="1933" customFormat="false" ht="18.7" hidden="false" customHeight="true" outlineLevel="0" collapsed="false">
      <c r="A1933" s="1" t="n">
        <v>1932</v>
      </c>
      <c r="B1933" s="7" t="str">
        <f aca="false">HYPERLINK("https://mncourtfraud.com/file/27-CR-22-12695.pdf","27-CR-22-12695")</f>
        <v>27-CR-22-12695</v>
      </c>
      <c r="C1933" s="1" t="n">
        <v>1</v>
      </c>
      <c r="D1933" s="2" t="s">
        <v>12</v>
      </c>
      <c r="E1933" s="8" t="n">
        <v>44761</v>
      </c>
      <c r="F1933" s="2" t="s">
        <v>15</v>
      </c>
      <c r="G1933" s="7" t="str">
        <f aca="false">HYPERLINK("https://mncourtfraud.com/file/MCRO_27-CR-22-12695_Order-Evaluation for Competency to Proceed (Rule 20.01)_2022-07-19_20251126184801.pdf","MCRO_27-CR-22-12695_Order-Evaluation for Competency to Proceed (Rule 20.01)_2022-07-19_20251126184801.pdf")</f>
        <v>MCRO_27-CR-22-12695_Order-Evaluation for Competency to Proceed (Rule 20.01)_2022-07-19_20251126184801.pdf</v>
      </c>
      <c r="H1933" s="7" t="str">
        <f aca="false">HYPERLINK("https://mncourtfraud.com/file/0d99ce1c86766d567d8765a4d807f3834791715457034c8ac17c745755a0ee2e.png","0d99ce1c86766d567d8765a4d807f3834791715457034c8ac17c745755a0ee2e")</f>
        <v>0d99ce1c86766d567d8765a4d807f3834791715457034c8ac17c745755a0ee2e</v>
      </c>
      <c r="I1933" s="1" t="s">
        <v>3406</v>
      </c>
      <c r="L1933" s="2" t="s">
        <v>3412</v>
      </c>
      <c r="M1933" s="2" t="n">
        <v>181526</v>
      </c>
      <c r="S1933" s="2" t="n">
        <v>3304</v>
      </c>
      <c r="T1933" s="2" t="n">
        <v>2550</v>
      </c>
    </row>
    <row r="1934" customFormat="false" ht="18.7" hidden="false" customHeight="true" outlineLevel="0" collapsed="false">
      <c r="A1934" s="1" t="n">
        <v>1933</v>
      </c>
      <c r="B1934" s="7" t="str">
        <f aca="false">HYPERLINK("https://mncourtfraud.com/file/27-CR-22-12695.pdf","27-CR-22-12695")</f>
        <v>27-CR-22-12695</v>
      </c>
      <c r="C1934" s="1" t="n">
        <v>1</v>
      </c>
      <c r="D1934" s="2" t="s">
        <v>12</v>
      </c>
      <c r="E1934" s="8" t="n">
        <v>44761</v>
      </c>
      <c r="F1934" s="2" t="s">
        <v>15</v>
      </c>
      <c r="G1934" s="7" t="str">
        <f aca="false">HYPERLINK("https://mncourtfraud.com/file/MCRO_27-CR-22-12695_Order-Evaluation for Competency to Proceed (Rule 20.01)_2022-07-19_20251126184801.pdf","MCRO_27-CR-22-12695_Order-Evaluation for Competency to Proceed (Rule 20.01)_2022-07-19_20251126184801.pdf")</f>
        <v>MCRO_27-CR-22-12695_Order-Evaluation for Competency to Proceed (Rule 20.01)_2022-07-19_20251126184801.pdf</v>
      </c>
      <c r="H1934" s="7" t="str">
        <f aca="false">HYPERLINK("https://mncourtfraud.com/file/c98c8baad1022c0211ad064c25bbedf4625c04b2297a7c839ba647c6660d1293.png","c98c8baad1022c0211ad064c25bbedf4625c04b2297a7c839ba647c6660d1293")</f>
        <v>c98c8baad1022c0211ad064c25bbedf4625c04b2297a7c839ba647c6660d1293</v>
      </c>
      <c r="I1934" s="1" t="s">
        <v>3406</v>
      </c>
      <c r="L1934" s="2" t="s">
        <v>3412</v>
      </c>
      <c r="M1934" s="2" t="n">
        <v>198067</v>
      </c>
      <c r="S1934" s="2" t="n">
        <v>3304</v>
      </c>
      <c r="T1934" s="2" t="n">
        <v>2550</v>
      </c>
    </row>
    <row r="1935" customFormat="false" ht="18.7" hidden="false" customHeight="true" outlineLevel="0" collapsed="false">
      <c r="A1935" s="1" t="n">
        <v>1934</v>
      </c>
      <c r="B1935" s="7" t="str">
        <f aca="false">HYPERLINK("https://mncourtfraud.com/file/27-CR-22-12695.pdf","27-CR-22-12695")</f>
        <v>27-CR-22-12695</v>
      </c>
      <c r="C1935" s="1" t="n">
        <v>1</v>
      </c>
      <c r="D1935" s="2" t="s">
        <v>12</v>
      </c>
      <c r="E1935" s="8" t="n">
        <v>44761</v>
      </c>
      <c r="F1935" s="2" t="s">
        <v>15</v>
      </c>
      <c r="G1935" s="7" t="str">
        <f aca="false">HYPERLINK("https://mncourtfraud.com/file/MCRO_27-CR-22-12695_Order-Evaluation for Competency to Proceed (Rule 20.01)_2022-07-19_20251126184801.pdf","MCRO_27-CR-22-12695_Order-Evaluation for Competency to Proceed (Rule 20.01)_2022-07-19_20251126184801.pdf")</f>
        <v>MCRO_27-CR-22-12695_Order-Evaluation for Competency to Proceed (Rule 20.01)_2022-07-19_20251126184801.pdf</v>
      </c>
      <c r="H1935" s="7" t="str">
        <f aca="false">HYPERLINK("https://mncourtfraud.com/file/ce3a09c5b18e46a7d95bc30202f29439160107f42bca0ad59c55ddd16135b47f.ttf","ce3a09c5b18e46a7d95bc30202f29439160107f42bca0ad59c55ddd16135b47f")</f>
        <v>ce3a09c5b18e46a7d95bc30202f29439160107f42bca0ad59c55ddd16135b47f</v>
      </c>
      <c r="I1935" s="1" t="s">
        <v>3413</v>
      </c>
      <c r="L1935" s="2" t="s">
        <v>3415</v>
      </c>
      <c r="M1935" s="2" t="n">
        <v>333576</v>
      </c>
    </row>
    <row r="1936" customFormat="false" ht="18.7" hidden="false" customHeight="true" outlineLevel="0" collapsed="false">
      <c r="A1936" s="1" t="n">
        <v>1935</v>
      </c>
      <c r="B1936" s="7" t="str">
        <f aca="false">HYPERLINK("https://mncourtfraud.com/file/27-CR-22-12695.pdf","27-CR-22-12695")</f>
        <v>27-CR-22-12695</v>
      </c>
      <c r="C1936" s="1" t="n">
        <v>1</v>
      </c>
      <c r="D1936" s="2" t="s">
        <v>12</v>
      </c>
      <c r="E1936" s="8" t="n">
        <v>44895</v>
      </c>
      <c r="F1936" s="2" t="s">
        <v>15</v>
      </c>
      <c r="G1936" s="7" t="str">
        <f aca="false">HYPERLINK("https://mncourtfraud.com/file/MCRO_27-CR-22-12695_Order-Evaluation for Competency to Proceed (Rule 20.01)_2022-11-30_20251126184750.pdf","MCRO_27-CR-22-12695_Order-Evaluation for Competency to Proceed (Rule 20.01)_2022-11-30_20251126184750.pdf")</f>
        <v>MCRO_27-CR-22-12695_Order-Evaluation for Competency to Proceed (Rule 20.01)_2022-11-30_20251126184750.pdf</v>
      </c>
      <c r="H1936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1936" s="1" t="s">
        <v>3413</v>
      </c>
      <c r="J1936" s="2" t="s">
        <v>3423</v>
      </c>
      <c r="K1936" s="2" t="s">
        <v>3423</v>
      </c>
      <c r="L1936" s="2" t="s">
        <v>3415</v>
      </c>
      <c r="M1936" s="2" t="n">
        <v>11088</v>
      </c>
    </row>
    <row r="1937" customFormat="false" ht="18.7" hidden="false" customHeight="true" outlineLevel="0" collapsed="false">
      <c r="A1937" s="1" t="n">
        <v>1936</v>
      </c>
      <c r="B1937" s="7" t="str">
        <f aca="false">HYPERLINK("https://mncourtfraud.com/file/27-CR-22-12695.pdf","27-CR-22-12695")</f>
        <v>27-CR-22-12695</v>
      </c>
      <c r="C1937" s="1" t="n">
        <v>1</v>
      </c>
      <c r="D1937" s="2" t="s">
        <v>12</v>
      </c>
      <c r="E1937" s="8" t="n">
        <v>44895</v>
      </c>
      <c r="F1937" s="2" t="s">
        <v>15</v>
      </c>
      <c r="G1937" s="7" t="str">
        <f aca="false">HYPERLINK("https://mncourtfraud.com/file/MCRO_27-CR-22-12695_Order-Evaluation for Competency to Proceed (Rule 20.01)_2022-11-30_20251126184750.pdf","MCRO_27-CR-22-12695_Order-Evaluation for Competency to Proceed (Rule 20.01)_2022-11-30_20251126184750.pdf")</f>
        <v>MCRO_27-CR-22-12695_Order-Evaluation for Competency to Proceed (Rule 20.01)_2022-11-30_20251126184750.pdf</v>
      </c>
      <c r="H1937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1937" s="1" t="s">
        <v>3413</v>
      </c>
      <c r="J1937" s="2" t="s">
        <v>3446</v>
      </c>
      <c r="K1937" s="2" t="s">
        <v>3446</v>
      </c>
      <c r="L1937" s="2" t="s">
        <v>3415</v>
      </c>
      <c r="M1937" s="2" t="n">
        <v>55072</v>
      </c>
      <c r="N1937" s="2" t="s">
        <v>3447</v>
      </c>
    </row>
    <row r="1938" customFormat="false" ht="18.7" hidden="false" customHeight="true" outlineLevel="0" collapsed="false">
      <c r="A1938" s="1" t="n">
        <v>1937</v>
      </c>
      <c r="B1938" s="7" t="str">
        <f aca="false">HYPERLINK("https://mncourtfraud.com/file/27-CR-22-12695.pdf","27-CR-22-12695")</f>
        <v>27-CR-22-12695</v>
      </c>
      <c r="C1938" s="1" t="n">
        <v>1</v>
      </c>
      <c r="D1938" s="2" t="s">
        <v>12</v>
      </c>
      <c r="E1938" s="8" t="n">
        <v>44895</v>
      </c>
      <c r="F1938" s="2" t="s">
        <v>15</v>
      </c>
      <c r="G1938" s="7" t="str">
        <f aca="false">HYPERLINK("https://mncourtfraud.com/file/MCRO_27-CR-22-12695_Order-Evaluation for Competency to Proceed (Rule 20.01)_2022-11-30_20251126184750.pdf","MCRO_27-CR-22-12695_Order-Evaluation for Competency to Proceed (Rule 20.01)_2022-11-30_20251126184750.pdf")</f>
        <v>MCRO_27-CR-22-12695_Order-Evaluation for Competency to Proceed (Rule 20.01)_2022-11-30_20251126184750.pdf</v>
      </c>
      <c r="H1938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1938" s="1" t="s">
        <v>3413</v>
      </c>
      <c r="J1938" s="2" t="s">
        <v>3424</v>
      </c>
      <c r="K1938" s="2" t="s">
        <v>3424</v>
      </c>
      <c r="L1938" s="2" t="s">
        <v>3415</v>
      </c>
      <c r="M1938" s="2" t="n">
        <v>14252</v>
      </c>
    </row>
    <row r="1939" customFormat="false" ht="18.7" hidden="false" customHeight="true" outlineLevel="0" collapsed="false">
      <c r="A1939" s="1" t="n">
        <v>1938</v>
      </c>
      <c r="B1939" s="7" t="str">
        <f aca="false">HYPERLINK("https://mncourtfraud.com/file/27-CR-22-12695.pdf","27-CR-22-12695")</f>
        <v>27-CR-22-12695</v>
      </c>
      <c r="C1939" s="1" t="n">
        <v>1</v>
      </c>
      <c r="D1939" s="2" t="s">
        <v>12</v>
      </c>
      <c r="E1939" s="8" t="n">
        <v>44895</v>
      </c>
      <c r="F1939" s="2" t="s">
        <v>15</v>
      </c>
      <c r="G1939" s="7" t="str">
        <f aca="false">HYPERLINK("https://mncourtfraud.com/file/MCRO_27-CR-22-12695_Order-Evaluation for Competency to Proceed (Rule 20.01)_2022-11-30_20251126184750.pdf","MCRO_27-CR-22-12695_Order-Evaluation for Competency to Proceed (Rule 20.01)_2022-11-30_20251126184750.pdf")</f>
        <v>MCRO_27-CR-22-12695_Order-Evaluation for Competency to Proceed (Rule 20.01)_2022-11-30_20251126184750.pdf</v>
      </c>
      <c r="H1939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939" s="1" t="s">
        <v>3406</v>
      </c>
      <c r="K1939" s="2" t="s">
        <v>3420</v>
      </c>
      <c r="L1939" s="2" t="s">
        <v>3408</v>
      </c>
      <c r="M1939" s="2" t="n">
        <v>7306</v>
      </c>
      <c r="O1939" s="2" t="s">
        <v>3409</v>
      </c>
      <c r="P1939" s="2" t="s">
        <v>3410</v>
      </c>
      <c r="S1939" s="2" t="n">
        <v>319</v>
      </c>
      <c r="T1939" s="2" t="n">
        <v>105</v>
      </c>
    </row>
    <row r="1940" customFormat="false" ht="18.7" hidden="false" customHeight="true" outlineLevel="0" collapsed="false">
      <c r="A1940" s="1" t="n">
        <v>1939</v>
      </c>
      <c r="B1940" s="7" t="str">
        <f aca="false">HYPERLINK("https://mncourtfraud.com/file/27-CR-22-12695.pdf","27-CR-22-12695")</f>
        <v>27-CR-22-12695</v>
      </c>
      <c r="C1940" s="1" t="n">
        <v>1</v>
      </c>
      <c r="D1940" s="2" t="s">
        <v>12</v>
      </c>
      <c r="E1940" s="8" t="n">
        <v>44895</v>
      </c>
      <c r="F1940" s="2" t="s">
        <v>15</v>
      </c>
      <c r="G1940" s="7" t="str">
        <f aca="false">HYPERLINK("https://mncourtfraud.com/file/MCRO_27-CR-22-12695_Order-Evaluation for Competency to Proceed (Rule 20.01)_2022-11-30_20251126184750.pdf","MCRO_27-CR-22-12695_Order-Evaluation for Competency to Proceed (Rule 20.01)_2022-11-30_20251126184750.pdf")</f>
        <v>MCRO_27-CR-22-12695_Order-Evaluation for Competency to Proceed (Rule 20.01)_2022-11-30_20251126184750.pdf</v>
      </c>
      <c r="H1940" s="7" t="str">
        <f aca="false">HYPERLINK("https://mncourtfraud.com/file/677e52a3b8403ce87e338b0a2e31e6f8e5ddf03fb0ca7043a341135cf0255eaa.ttf","677e52a3b8403ce87e338b0a2e31e6f8e5ddf03fb0ca7043a341135cf0255eaa")</f>
        <v>677e52a3b8403ce87e338b0a2e31e6f8e5ddf03fb0ca7043a341135cf0255eaa</v>
      </c>
      <c r="I1940" s="1" t="s">
        <v>3413</v>
      </c>
      <c r="J1940" s="2" t="s">
        <v>3422</v>
      </c>
      <c r="K1940" s="2" t="s">
        <v>3422</v>
      </c>
      <c r="L1940" s="2" t="s">
        <v>3415</v>
      </c>
      <c r="M1940" s="2" t="n">
        <v>149960</v>
      </c>
    </row>
    <row r="1941" customFormat="false" ht="18.7" hidden="false" customHeight="true" outlineLevel="0" collapsed="false">
      <c r="A1941" s="1" t="n">
        <v>1940</v>
      </c>
      <c r="B1941" s="7" t="str">
        <f aca="false">HYPERLINK("https://mncourtfraud.com/file/27-CR-22-12695.pdf","27-CR-22-12695")</f>
        <v>27-CR-22-12695</v>
      </c>
      <c r="C1941" s="1" t="n">
        <v>1</v>
      </c>
      <c r="D1941" s="2" t="s">
        <v>12</v>
      </c>
      <c r="E1941" s="8" t="n">
        <v>44895</v>
      </c>
      <c r="F1941" s="2" t="s">
        <v>15</v>
      </c>
      <c r="G1941" s="7" t="str">
        <f aca="false">HYPERLINK("https://mncourtfraud.com/file/MCRO_27-CR-22-12695_Order-Evaluation for Competency to Proceed (Rule 20.01)_2022-11-30_20251126184750.pdf","MCRO_27-CR-22-12695_Order-Evaluation for Competency to Proceed (Rule 20.01)_2022-11-30_20251126184750.pdf")</f>
        <v>MCRO_27-CR-22-12695_Order-Evaluation for Competency to Proceed (Rule 20.01)_2022-11-30_20251126184750.pdf</v>
      </c>
      <c r="H1941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1941" s="1" t="s">
        <v>3413</v>
      </c>
      <c r="J1941" s="2" t="s">
        <v>3448</v>
      </c>
      <c r="K1941" s="2" t="s">
        <v>3448</v>
      </c>
      <c r="L1941" s="2" t="s">
        <v>3415</v>
      </c>
      <c r="M1941" s="2" t="n">
        <v>916684</v>
      </c>
    </row>
    <row r="1942" customFormat="false" ht="18.7" hidden="false" customHeight="true" outlineLevel="0" collapsed="false">
      <c r="A1942" s="1" t="n">
        <v>1941</v>
      </c>
      <c r="B1942" s="7" t="str">
        <f aca="false">HYPERLINK("https://mncourtfraud.com/file/27-CR-22-12695.pdf","27-CR-22-12695")</f>
        <v>27-CR-22-12695</v>
      </c>
      <c r="C1942" s="1" t="n">
        <v>1</v>
      </c>
      <c r="D1942" s="2" t="s">
        <v>12</v>
      </c>
      <c r="E1942" s="8" t="n">
        <v>44895</v>
      </c>
      <c r="F1942" s="2" t="s">
        <v>15</v>
      </c>
      <c r="G1942" s="7" t="str">
        <f aca="false">HYPERLINK("https://mncourtfraud.com/file/MCRO_27-CR-22-12695_Order-Evaluation for Competency to Proceed (Rule 20.01)_2022-11-30_20251126184750.pdf","MCRO_27-CR-22-12695_Order-Evaluation for Competency to Proceed (Rule 20.01)_2022-11-30_20251126184750.pdf")</f>
        <v>MCRO_27-CR-22-12695_Order-Evaluation for Competency to Proceed (Rule 20.01)_2022-11-30_20251126184750.pdf</v>
      </c>
      <c r="H1942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942" s="1" t="s">
        <v>3406</v>
      </c>
      <c r="K1942" s="2" t="s">
        <v>3425</v>
      </c>
      <c r="L1942" s="2" t="s">
        <v>3408</v>
      </c>
      <c r="M1942" s="2" t="n">
        <v>21225</v>
      </c>
      <c r="O1942" s="2" t="s">
        <v>3409</v>
      </c>
      <c r="P1942" s="2" t="s">
        <v>3410</v>
      </c>
      <c r="S1942" s="2" t="n">
        <v>319</v>
      </c>
      <c r="T1942" s="2" t="n">
        <v>105</v>
      </c>
    </row>
    <row r="1943" customFormat="false" ht="18.7" hidden="false" customHeight="true" outlineLevel="0" collapsed="false">
      <c r="A1943" s="1" t="n">
        <v>1942</v>
      </c>
      <c r="B1943" s="7" t="str">
        <f aca="false">HYPERLINK("https://mncourtfraud.com/file/27-CR-22-12695.pdf","27-CR-22-12695")</f>
        <v>27-CR-22-12695</v>
      </c>
      <c r="C1943" s="1" t="n">
        <v>1</v>
      </c>
      <c r="D1943" s="2" t="s">
        <v>12</v>
      </c>
      <c r="E1943" s="8" t="n">
        <v>44895</v>
      </c>
      <c r="F1943" s="2" t="s">
        <v>15</v>
      </c>
      <c r="G1943" s="7" t="str">
        <f aca="false">HYPERLINK("https://mncourtfraud.com/file/MCRO_27-CR-22-12695_Order-Evaluation for Competency to Proceed (Rule 20.01)_2022-11-30_20251126184750.pdf","MCRO_27-CR-22-12695_Order-Evaluation for Competency to Proceed (Rule 20.01)_2022-11-30_20251126184750.pdf")</f>
        <v>MCRO_27-CR-22-12695_Order-Evaluation for Competency to Proceed (Rule 20.01)_2022-11-30_20251126184750.pdf</v>
      </c>
      <c r="H1943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1943" s="1" t="s">
        <v>3413</v>
      </c>
      <c r="J1943" s="2" t="s">
        <v>3449</v>
      </c>
      <c r="K1943" s="2" t="s">
        <v>3449</v>
      </c>
      <c r="L1943" s="2" t="s">
        <v>3415</v>
      </c>
      <c r="M1943" s="2" t="n">
        <v>124664</v>
      </c>
    </row>
    <row r="1944" customFormat="false" ht="18.7" hidden="false" customHeight="true" outlineLevel="0" collapsed="false">
      <c r="A1944" s="1" t="n">
        <v>1943</v>
      </c>
      <c r="B1944" s="7" t="str">
        <f aca="false">HYPERLINK("https://mncourtfraud.com/file/27-CR-22-12695.pdf","27-CR-22-12695")</f>
        <v>27-CR-22-12695</v>
      </c>
      <c r="C1944" s="1" t="n">
        <v>1</v>
      </c>
      <c r="D1944" s="2" t="s">
        <v>12</v>
      </c>
      <c r="E1944" s="8" t="n">
        <v>44895</v>
      </c>
      <c r="F1944" s="2" t="s">
        <v>15</v>
      </c>
      <c r="G1944" s="7" t="str">
        <f aca="false">HYPERLINK("https://mncourtfraud.com/file/MCRO_27-CR-22-12695_Order-Evaluation for Competency to Proceed (Rule 20.01)_2022-11-30_20251126184750.pdf","MCRO_27-CR-22-12695_Order-Evaluation for Competency to Proceed (Rule 20.01)_2022-11-30_20251126184750.pdf")</f>
        <v>MCRO_27-CR-22-12695_Order-Evaluation for Competency to Proceed (Rule 20.01)_2022-11-30_20251126184750.pdf</v>
      </c>
      <c r="H1944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1944" s="1" t="s">
        <v>3413</v>
      </c>
      <c r="J1944" s="2" t="s">
        <v>3449</v>
      </c>
      <c r="K1944" s="2" t="s">
        <v>3449</v>
      </c>
      <c r="L1944" s="2" t="s">
        <v>3415</v>
      </c>
      <c r="M1944" s="2" t="n">
        <v>124664</v>
      </c>
    </row>
    <row r="1945" customFormat="false" ht="18.7" hidden="false" customHeight="true" outlineLevel="0" collapsed="false">
      <c r="A1945" s="1" t="n">
        <v>1944</v>
      </c>
      <c r="B1945" s="7" t="str">
        <f aca="false">HYPERLINK("https://mncourtfraud.com/file/27-CR-22-12695.pdf","27-CR-22-12695")</f>
        <v>27-CR-22-12695</v>
      </c>
      <c r="C1945" s="1" t="n">
        <v>1</v>
      </c>
      <c r="D1945" s="2" t="s">
        <v>12</v>
      </c>
      <c r="E1945" s="8" t="n">
        <v>44999</v>
      </c>
      <c r="F1945" s="2" t="s">
        <v>17</v>
      </c>
      <c r="G1945" s="7" t="str">
        <f aca="false">HYPERLINK("https://mncourtfraud.com/file/MCRO_27-CR-22-12695_Returned Mail_2023-03-14_20251126184813.pdf","MCRO_27-CR-22-12695_Returned Mail_2023-03-14_20251126184813.pdf")</f>
        <v>MCRO_27-CR-22-12695_Returned Mail_2023-03-14_20251126184813.pdf</v>
      </c>
      <c r="H1945" s="7" t="str">
        <f aca="false">HYPERLINK("https://mncourtfraud.com/file/278e616712421d30f17d7b772fb3f09a8a265d4a0b8b2f2c60a5fccc0b3f786d.ttf","278e616712421d30f17d7b772fb3f09a8a265d4a0b8b2f2c60a5fccc0b3f786d")</f>
        <v>278e616712421d30f17d7b772fb3f09a8a265d4a0b8b2f2c60a5fccc0b3f786d</v>
      </c>
      <c r="I1945" s="1" t="s">
        <v>3413</v>
      </c>
      <c r="L1945" s="2" t="s">
        <v>3415</v>
      </c>
      <c r="M1945" s="2" t="n">
        <v>333584</v>
      </c>
    </row>
    <row r="1946" customFormat="false" ht="18.7" hidden="false" customHeight="true" outlineLevel="0" collapsed="false">
      <c r="A1946" s="1" t="n">
        <v>1945</v>
      </c>
      <c r="B1946" s="7" t="str">
        <f aca="false">HYPERLINK("https://mncourtfraud.com/file/27-CR-22-12695.pdf","27-CR-22-12695")</f>
        <v>27-CR-22-12695</v>
      </c>
      <c r="C1946" s="1" t="n">
        <v>1</v>
      </c>
      <c r="D1946" s="2" t="s">
        <v>12</v>
      </c>
      <c r="E1946" s="8" t="n">
        <v>44999</v>
      </c>
      <c r="F1946" s="2" t="s">
        <v>17</v>
      </c>
      <c r="G1946" s="7" t="str">
        <f aca="false">HYPERLINK("https://mncourtfraud.com/file/MCRO_27-CR-22-12695_Returned Mail_2023-03-14_20251126184813.pdf","MCRO_27-CR-22-12695_Returned Mail_2023-03-14_20251126184813.pdf")</f>
        <v>MCRO_27-CR-22-12695_Returned Mail_2023-03-14_20251126184813.pdf</v>
      </c>
      <c r="H1946" s="7" t="str">
        <f aca="false">HYPERLINK("https://mncourtfraud.com/file/e435d55d0ece87068bffcd9799b9355e0945b83b4a8059a931bc32b3b58f2061.jpg","e435d55d0ece87068bffcd9799b9355e0945b83b4a8059a931bc32b3b58f2061")</f>
        <v>e435d55d0ece87068bffcd9799b9355e0945b83b4a8059a931bc32b3b58f2061</v>
      </c>
      <c r="I1946" s="1" t="s">
        <v>3417</v>
      </c>
      <c r="L1946" s="2" t="s">
        <v>3419</v>
      </c>
      <c r="M1946" s="2" t="n">
        <v>250585</v>
      </c>
      <c r="S1946" s="2" t="n">
        <v>3300</v>
      </c>
      <c r="T1946" s="2" t="n">
        <v>2550</v>
      </c>
    </row>
    <row r="1947" customFormat="false" ht="18.7" hidden="false" customHeight="true" outlineLevel="0" collapsed="false">
      <c r="A1947" s="1" t="n">
        <v>1946</v>
      </c>
      <c r="B1947" s="7" t="str">
        <f aca="false">HYPERLINK("https://mncourtfraud.com/file/27-CR-22-12695.pdf","27-CR-22-12695")</f>
        <v>27-CR-22-12695</v>
      </c>
      <c r="C1947" s="1" t="n">
        <v>1</v>
      </c>
      <c r="D1947" s="2" t="s">
        <v>12</v>
      </c>
      <c r="E1947" s="8" t="n">
        <v>45048</v>
      </c>
      <c r="F1947" s="2" t="s">
        <v>80</v>
      </c>
      <c r="G1947" s="7" t="str">
        <f aca="false">HYPERLINK("https://mncourtfraud.com/file/MCRO_27-CR-22-12695_Finding of Incompetency and Order_2023-05-02_20251126184737.pdf","MCRO_27-CR-22-12695_Finding of Incompetency and Order_2023-05-02_20251126184737.pdf")</f>
        <v>MCRO_27-CR-22-12695_Finding of Incompetency and Order_2023-05-02_20251126184737.pdf</v>
      </c>
      <c r="H1947" s="7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1947" s="1" t="s">
        <v>3406</v>
      </c>
      <c r="L1947" s="2" t="s">
        <v>3412</v>
      </c>
      <c r="M1947" s="2" t="n">
        <v>3506</v>
      </c>
      <c r="S1947" s="2" t="n">
        <v>1410</v>
      </c>
      <c r="T1947" s="2" t="n">
        <v>150</v>
      </c>
    </row>
    <row r="1948" customFormat="false" ht="18.7" hidden="false" customHeight="true" outlineLevel="0" collapsed="false">
      <c r="A1948" s="1" t="n">
        <v>1947</v>
      </c>
      <c r="B1948" s="7" t="str">
        <f aca="false">HYPERLINK("https://mncourtfraud.com/file/27-CR-22-12695.pdf","27-CR-22-12695")</f>
        <v>27-CR-22-12695</v>
      </c>
      <c r="C1948" s="1" t="n">
        <v>1</v>
      </c>
      <c r="D1948" s="2" t="s">
        <v>12</v>
      </c>
      <c r="E1948" s="8" t="n">
        <v>45048</v>
      </c>
      <c r="F1948" s="2" t="s">
        <v>80</v>
      </c>
      <c r="G1948" s="7" t="str">
        <f aca="false">HYPERLINK("https://mncourtfraud.com/file/MCRO_27-CR-22-12695_Finding of Incompetency and Order_2023-05-02_20251126184737.pdf","MCRO_27-CR-22-12695_Finding of Incompetency and Order_2023-05-02_20251126184737.pdf")</f>
        <v>MCRO_27-CR-22-12695_Finding of Incompetency and Order_2023-05-02_20251126184737.pdf</v>
      </c>
      <c r="H1948" s="7" t="str">
        <f aca="false">HYPERLINK("https://mncourtfraud.com/file/18befca089509ee2fbaddf9c5b79bf5988523b22d2369743ed9a591b9fc3bdb6.ttf","18befca089509ee2fbaddf9c5b79bf5988523b22d2369743ed9a591b9fc3bdb6")</f>
        <v>18befca089509ee2fbaddf9c5b79bf5988523b22d2369743ed9a591b9fc3bdb6</v>
      </c>
      <c r="I1948" s="1" t="s">
        <v>3413</v>
      </c>
      <c r="J1948" s="2" t="s">
        <v>3421</v>
      </c>
      <c r="K1948" s="2" t="s">
        <v>3450</v>
      </c>
      <c r="L1948" s="2" t="s">
        <v>3415</v>
      </c>
      <c r="M1948" s="2" t="n">
        <v>115928</v>
      </c>
    </row>
    <row r="1949" customFormat="false" ht="18.7" hidden="false" customHeight="true" outlineLevel="0" collapsed="false">
      <c r="A1949" s="1" t="n">
        <v>1948</v>
      </c>
      <c r="B1949" s="7" t="str">
        <f aca="false">HYPERLINK("https://mncourtfraud.com/file/27-CR-22-12695.pdf","27-CR-22-12695")</f>
        <v>27-CR-22-12695</v>
      </c>
      <c r="C1949" s="1" t="n">
        <v>1</v>
      </c>
      <c r="D1949" s="2" t="s">
        <v>12</v>
      </c>
      <c r="E1949" s="8" t="n">
        <v>45048</v>
      </c>
      <c r="F1949" s="2" t="s">
        <v>80</v>
      </c>
      <c r="G1949" s="7" t="str">
        <f aca="false">HYPERLINK("https://mncourtfraud.com/file/MCRO_27-CR-22-12695_Finding of Incompetency and Order_2023-05-02_20251126184737.pdf","MCRO_27-CR-22-12695_Finding of Incompetency and Order_2023-05-02_20251126184737.pdf")</f>
        <v>MCRO_27-CR-22-12695_Finding of Incompetency and Order_2023-05-02_20251126184737.pdf</v>
      </c>
      <c r="H1949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1949" s="1" t="s">
        <v>3413</v>
      </c>
      <c r="J1949" s="2" t="s">
        <v>3446</v>
      </c>
      <c r="K1949" s="2" t="s">
        <v>3446</v>
      </c>
      <c r="L1949" s="2" t="s">
        <v>3415</v>
      </c>
      <c r="M1949" s="2" t="n">
        <v>55072</v>
      </c>
      <c r="N1949" s="2" t="s">
        <v>3447</v>
      </c>
    </row>
    <row r="1950" customFormat="false" ht="18.7" hidden="false" customHeight="true" outlineLevel="0" collapsed="false">
      <c r="A1950" s="1" t="n">
        <v>1949</v>
      </c>
      <c r="B1950" s="7" t="str">
        <f aca="false">HYPERLINK("https://mncourtfraud.com/file/27-CR-22-12695.pdf","27-CR-22-12695")</f>
        <v>27-CR-22-12695</v>
      </c>
      <c r="C1950" s="1" t="n">
        <v>1</v>
      </c>
      <c r="D1950" s="2" t="s">
        <v>12</v>
      </c>
      <c r="E1950" s="8" t="n">
        <v>45048</v>
      </c>
      <c r="F1950" s="2" t="s">
        <v>80</v>
      </c>
      <c r="G1950" s="7" t="str">
        <f aca="false">HYPERLINK("https://mncourtfraud.com/file/MCRO_27-CR-22-12695_Finding of Incompetency and Order_2023-05-02_20251126184737.pdf","MCRO_27-CR-22-12695_Finding of Incompetency and Order_2023-05-02_20251126184737.pdf")</f>
        <v>MCRO_27-CR-22-12695_Finding of Incompetency and Order_2023-05-02_20251126184737.pdf</v>
      </c>
      <c r="H1950" s="7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1950" s="1" t="s">
        <v>3406</v>
      </c>
      <c r="K1950" s="2" t="s">
        <v>3451</v>
      </c>
      <c r="L1950" s="2" t="s">
        <v>3408</v>
      </c>
      <c r="M1950" s="2" t="n">
        <v>5295</v>
      </c>
      <c r="O1950" s="2" t="s">
        <v>3452</v>
      </c>
      <c r="P1950" s="2" t="s">
        <v>3410</v>
      </c>
      <c r="S1950" s="2" t="n">
        <v>833</v>
      </c>
      <c r="T1950" s="2" t="n">
        <v>186</v>
      </c>
    </row>
    <row r="1951" customFormat="false" ht="18.7" hidden="false" customHeight="true" outlineLevel="0" collapsed="false">
      <c r="A1951" s="1" t="n">
        <v>1950</v>
      </c>
      <c r="B1951" s="7" t="str">
        <f aca="false">HYPERLINK("https://mncourtfraud.com/file/27-CR-22-12695.pdf","27-CR-22-12695")</f>
        <v>27-CR-22-12695</v>
      </c>
      <c r="C1951" s="1" t="n">
        <v>1</v>
      </c>
      <c r="D1951" s="2" t="s">
        <v>12</v>
      </c>
      <c r="E1951" s="8" t="n">
        <v>45048</v>
      </c>
      <c r="F1951" s="2" t="s">
        <v>80</v>
      </c>
      <c r="G1951" s="7" t="str">
        <f aca="false">HYPERLINK("https://mncourtfraud.com/file/MCRO_27-CR-22-12695_Finding of Incompetency and Order_2023-05-02_20251126184737.pdf","MCRO_27-CR-22-12695_Finding of Incompetency and Order_2023-05-02_20251126184737.pdf")</f>
        <v>MCRO_27-CR-22-12695_Finding of Incompetency and Order_2023-05-02_20251126184737.pdf</v>
      </c>
      <c r="H1951" s="7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1951" s="1" t="s">
        <v>3406</v>
      </c>
      <c r="K1951" s="2" t="s">
        <v>3453</v>
      </c>
      <c r="L1951" s="2" t="s">
        <v>3408</v>
      </c>
      <c r="M1951" s="2" t="n">
        <v>3442</v>
      </c>
      <c r="O1951" s="2" t="s">
        <v>3454</v>
      </c>
      <c r="P1951" s="2" t="s">
        <v>3410</v>
      </c>
      <c r="S1951" s="2" t="n">
        <v>857</v>
      </c>
      <c r="T1951" s="2" t="n">
        <v>184</v>
      </c>
    </row>
    <row r="1952" customFormat="false" ht="18.7" hidden="false" customHeight="true" outlineLevel="0" collapsed="false">
      <c r="A1952" s="1" t="n">
        <v>1951</v>
      </c>
      <c r="B1952" s="7" t="str">
        <f aca="false">HYPERLINK("https://mncourtfraud.com/file/27-CR-22-12695.pdf","27-CR-22-12695")</f>
        <v>27-CR-22-12695</v>
      </c>
      <c r="C1952" s="1" t="n">
        <v>1</v>
      </c>
      <c r="D1952" s="2" t="s">
        <v>12</v>
      </c>
      <c r="E1952" s="8" t="n">
        <v>45048</v>
      </c>
      <c r="F1952" s="2" t="s">
        <v>80</v>
      </c>
      <c r="G1952" s="7" t="str">
        <f aca="false">HYPERLINK("https://mncourtfraud.com/file/MCRO_27-CR-22-12695_Finding of Incompetency and Order_2023-05-02_20251126184737.pdf","MCRO_27-CR-22-12695_Finding of Incompetency and Order_2023-05-02_20251126184737.pdf")</f>
        <v>MCRO_27-CR-22-12695_Finding of Incompetency and Order_2023-05-02_20251126184737.pdf</v>
      </c>
      <c r="H1952" s="7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1952" s="1" t="s">
        <v>3406</v>
      </c>
      <c r="L1952" s="2" t="s">
        <v>3412</v>
      </c>
      <c r="M1952" s="2" t="n">
        <v>3824</v>
      </c>
      <c r="S1952" s="2" t="n">
        <v>1850</v>
      </c>
      <c r="T1952" s="2" t="n">
        <v>160</v>
      </c>
    </row>
    <row r="1953" customFormat="false" ht="18.7" hidden="false" customHeight="true" outlineLevel="0" collapsed="false">
      <c r="A1953" s="1" t="n">
        <v>1952</v>
      </c>
      <c r="B1953" s="7" t="str">
        <f aca="false">HYPERLINK("https://mncourtfraud.com/file/27-CR-22-12695.pdf","27-CR-22-12695")</f>
        <v>27-CR-22-12695</v>
      </c>
      <c r="C1953" s="1" t="n">
        <v>1</v>
      </c>
      <c r="D1953" s="2" t="s">
        <v>12</v>
      </c>
      <c r="E1953" s="8" t="n">
        <v>45048</v>
      </c>
      <c r="F1953" s="2" t="s">
        <v>80</v>
      </c>
      <c r="G1953" s="7" t="str">
        <f aca="false">HYPERLINK("https://mncourtfraud.com/file/MCRO_27-CR-22-12695_Finding of Incompetency and Order_2023-05-02_20251126184737.pdf","MCRO_27-CR-22-12695_Finding of Incompetency and Order_2023-05-02_20251126184737.pdf")</f>
        <v>MCRO_27-CR-22-12695_Finding of Incompetency and Order_2023-05-02_20251126184737.pdf</v>
      </c>
      <c r="H1953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1953" s="1" t="s">
        <v>3413</v>
      </c>
      <c r="J1953" s="2" t="s">
        <v>3448</v>
      </c>
      <c r="K1953" s="2" t="s">
        <v>3448</v>
      </c>
      <c r="L1953" s="2" t="s">
        <v>3415</v>
      </c>
      <c r="M1953" s="2" t="n">
        <v>916684</v>
      </c>
    </row>
    <row r="1954" customFormat="false" ht="18.7" hidden="false" customHeight="true" outlineLevel="0" collapsed="false">
      <c r="A1954" s="1" t="n">
        <v>1953</v>
      </c>
      <c r="B1954" s="7" t="str">
        <f aca="false">HYPERLINK("https://mncourtfraud.com/file/27-CR-22-13797.pdf","27-CR-22-13797")</f>
        <v>27-CR-22-13797</v>
      </c>
      <c r="C1954" s="1" t="n">
        <v>1</v>
      </c>
      <c r="D1954" s="2" t="s">
        <v>12</v>
      </c>
      <c r="E1954" s="8" t="n">
        <v>44761</v>
      </c>
      <c r="F1954" s="2" t="s">
        <v>15</v>
      </c>
      <c r="G1954" s="7" t="str">
        <f aca="false">HYPERLINK("https://mncourtfraud.com/file/MCRO_27-CR-22-13797_Order-Evaluation for Competency to Proceed (Rule 20.01)_2022-07-19_20251126185033.pdf","MCRO_27-CR-22-13797_Order-Evaluation for Competency to Proceed (Rule 20.01)_2022-07-19_20251126185033.pdf")</f>
        <v>MCRO_27-CR-22-13797_Order-Evaluation for Competency to Proceed (Rule 20.01)_2022-07-19_20251126185033.pdf</v>
      </c>
      <c r="H1954" s="7" t="str">
        <f aca="false">HYPERLINK("https://mncourtfraud.com/file/0d99ce1c86766d567d8765a4d807f3834791715457034c8ac17c745755a0ee2e.png","0d99ce1c86766d567d8765a4d807f3834791715457034c8ac17c745755a0ee2e")</f>
        <v>0d99ce1c86766d567d8765a4d807f3834791715457034c8ac17c745755a0ee2e</v>
      </c>
      <c r="I1954" s="1" t="s">
        <v>3406</v>
      </c>
      <c r="L1954" s="2" t="s">
        <v>3412</v>
      </c>
      <c r="M1954" s="2" t="n">
        <v>181526</v>
      </c>
      <c r="S1954" s="2" t="n">
        <v>3304</v>
      </c>
      <c r="T1954" s="2" t="n">
        <v>2550</v>
      </c>
    </row>
    <row r="1955" customFormat="false" ht="18.7" hidden="false" customHeight="true" outlineLevel="0" collapsed="false">
      <c r="A1955" s="1" t="n">
        <v>1954</v>
      </c>
      <c r="B1955" s="7" t="str">
        <f aca="false">HYPERLINK("https://mncourtfraud.com/file/27-CR-22-13797.pdf","27-CR-22-13797")</f>
        <v>27-CR-22-13797</v>
      </c>
      <c r="C1955" s="1" t="n">
        <v>1</v>
      </c>
      <c r="D1955" s="2" t="s">
        <v>12</v>
      </c>
      <c r="E1955" s="8" t="n">
        <v>44761</v>
      </c>
      <c r="F1955" s="2" t="s">
        <v>15</v>
      </c>
      <c r="G1955" s="7" t="str">
        <f aca="false">HYPERLINK("https://mncourtfraud.com/file/MCRO_27-CR-22-13797_Order-Evaluation for Competency to Proceed (Rule 20.01)_2022-07-19_20251126185033.pdf","MCRO_27-CR-22-13797_Order-Evaluation for Competency to Proceed (Rule 20.01)_2022-07-19_20251126185033.pdf")</f>
        <v>MCRO_27-CR-22-13797_Order-Evaluation for Competency to Proceed (Rule 20.01)_2022-07-19_20251126185033.pdf</v>
      </c>
      <c r="H1955" s="7" t="str">
        <f aca="false">HYPERLINK("https://mncourtfraud.com/file/c98c8baad1022c0211ad064c25bbedf4625c04b2297a7c839ba647c6660d1293.png","c98c8baad1022c0211ad064c25bbedf4625c04b2297a7c839ba647c6660d1293")</f>
        <v>c98c8baad1022c0211ad064c25bbedf4625c04b2297a7c839ba647c6660d1293</v>
      </c>
      <c r="I1955" s="1" t="s">
        <v>3406</v>
      </c>
      <c r="L1955" s="2" t="s">
        <v>3412</v>
      </c>
      <c r="M1955" s="2" t="n">
        <v>198067</v>
      </c>
      <c r="S1955" s="2" t="n">
        <v>3304</v>
      </c>
      <c r="T1955" s="2" t="n">
        <v>2550</v>
      </c>
    </row>
    <row r="1956" customFormat="false" ht="18.7" hidden="false" customHeight="true" outlineLevel="0" collapsed="false">
      <c r="A1956" s="1" t="n">
        <v>1955</v>
      </c>
      <c r="B1956" s="7" t="str">
        <f aca="false">HYPERLINK("https://mncourtfraud.com/file/27-CR-22-13797.pdf","27-CR-22-13797")</f>
        <v>27-CR-22-13797</v>
      </c>
      <c r="C1956" s="1" t="n">
        <v>1</v>
      </c>
      <c r="D1956" s="2" t="s">
        <v>12</v>
      </c>
      <c r="E1956" s="8" t="n">
        <v>44761</v>
      </c>
      <c r="F1956" s="2" t="s">
        <v>15</v>
      </c>
      <c r="G1956" s="7" t="str">
        <f aca="false">HYPERLINK("https://mncourtfraud.com/file/MCRO_27-CR-22-13797_Order-Evaluation for Competency to Proceed (Rule 20.01)_2022-07-19_20251126185033.pdf","MCRO_27-CR-22-13797_Order-Evaluation for Competency to Proceed (Rule 20.01)_2022-07-19_20251126185033.pdf")</f>
        <v>MCRO_27-CR-22-13797_Order-Evaluation for Competency to Proceed (Rule 20.01)_2022-07-19_20251126185033.pdf</v>
      </c>
      <c r="H1956" s="7" t="str">
        <f aca="false">HYPERLINK("https://mncourtfraud.com/file/ce3a09c5b18e46a7d95bc30202f29439160107f42bca0ad59c55ddd16135b47f.ttf","ce3a09c5b18e46a7d95bc30202f29439160107f42bca0ad59c55ddd16135b47f")</f>
        <v>ce3a09c5b18e46a7d95bc30202f29439160107f42bca0ad59c55ddd16135b47f</v>
      </c>
      <c r="I1956" s="1" t="s">
        <v>3413</v>
      </c>
      <c r="L1956" s="2" t="s">
        <v>3415</v>
      </c>
      <c r="M1956" s="2" t="n">
        <v>333576</v>
      </c>
    </row>
    <row r="1957" customFormat="false" ht="18.7" hidden="false" customHeight="true" outlineLevel="0" collapsed="false">
      <c r="A1957" s="1" t="n">
        <v>1956</v>
      </c>
      <c r="B1957" s="7" t="str">
        <f aca="false">HYPERLINK("https://mncourtfraud.com/file/27-CR-22-13797.pdf","27-CR-22-13797")</f>
        <v>27-CR-22-13797</v>
      </c>
      <c r="C1957" s="1" t="n">
        <v>1</v>
      </c>
      <c r="D1957" s="2" t="s">
        <v>12</v>
      </c>
      <c r="E1957" s="8" t="n">
        <v>44895</v>
      </c>
      <c r="F1957" s="2" t="s">
        <v>15</v>
      </c>
      <c r="G1957" s="7" t="str">
        <f aca="false">HYPERLINK("https://mncourtfraud.com/file/MCRO_27-CR-22-13797_Order-Evaluation for Competency to Proceed (Rule 20.01)_2022-11-30_20251126185022.pdf","MCRO_27-CR-22-13797_Order-Evaluation for Competency to Proceed (Rule 20.01)_2022-11-30_20251126185022.pdf")</f>
        <v>MCRO_27-CR-22-13797_Order-Evaluation for Competency to Proceed (Rule 20.01)_2022-11-30_20251126185022.pdf</v>
      </c>
      <c r="H1957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1957" s="1" t="s">
        <v>3413</v>
      </c>
      <c r="J1957" s="2" t="s">
        <v>3423</v>
      </c>
      <c r="K1957" s="2" t="s">
        <v>3423</v>
      </c>
      <c r="L1957" s="2" t="s">
        <v>3415</v>
      </c>
      <c r="M1957" s="2" t="n">
        <v>11088</v>
      </c>
    </row>
    <row r="1958" customFormat="false" ht="18.7" hidden="false" customHeight="true" outlineLevel="0" collapsed="false">
      <c r="A1958" s="1" t="n">
        <v>1957</v>
      </c>
      <c r="B1958" s="7" t="str">
        <f aca="false">HYPERLINK("https://mncourtfraud.com/file/27-CR-22-13797.pdf","27-CR-22-13797")</f>
        <v>27-CR-22-13797</v>
      </c>
      <c r="C1958" s="1" t="n">
        <v>1</v>
      </c>
      <c r="D1958" s="2" t="s">
        <v>12</v>
      </c>
      <c r="E1958" s="8" t="n">
        <v>44895</v>
      </c>
      <c r="F1958" s="2" t="s">
        <v>15</v>
      </c>
      <c r="G1958" s="7" t="str">
        <f aca="false">HYPERLINK("https://mncourtfraud.com/file/MCRO_27-CR-22-13797_Order-Evaluation for Competency to Proceed (Rule 20.01)_2022-11-30_20251126185022.pdf","MCRO_27-CR-22-13797_Order-Evaluation for Competency to Proceed (Rule 20.01)_2022-11-30_20251126185022.pdf")</f>
        <v>MCRO_27-CR-22-13797_Order-Evaluation for Competency to Proceed (Rule 20.01)_2022-11-30_20251126185022.pdf</v>
      </c>
      <c r="H1958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1958" s="1" t="s">
        <v>3413</v>
      </c>
      <c r="J1958" s="2" t="s">
        <v>3446</v>
      </c>
      <c r="K1958" s="2" t="s">
        <v>3446</v>
      </c>
      <c r="L1958" s="2" t="s">
        <v>3415</v>
      </c>
      <c r="M1958" s="2" t="n">
        <v>55072</v>
      </c>
      <c r="N1958" s="2" t="s">
        <v>3447</v>
      </c>
    </row>
    <row r="1959" customFormat="false" ht="18.7" hidden="false" customHeight="true" outlineLevel="0" collapsed="false">
      <c r="A1959" s="1" t="n">
        <v>1958</v>
      </c>
      <c r="B1959" s="7" t="str">
        <f aca="false">HYPERLINK("https://mncourtfraud.com/file/27-CR-22-13797.pdf","27-CR-22-13797")</f>
        <v>27-CR-22-13797</v>
      </c>
      <c r="C1959" s="1" t="n">
        <v>1</v>
      </c>
      <c r="D1959" s="2" t="s">
        <v>12</v>
      </c>
      <c r="E1959" s="8" t="n">
        <v>44895</v>
      </c>
      <c r="F1959" s="2" t="s">
        <v>15</v>
      </c>
      <c r="G1959" s="7" t="str">
        <f aca="false">HYPERLINK("https://mncourtfraud.com/file/MCRO_27-CR-22-13797_Order-Evaluation for Competency to Proceed (Rule 20.01)_2022-11-30_20251126185022.pdf","MCRO_27-CR-22-13797_Order-Evaluation for Competency to Proceed (Rule 20.01)_2022-11-30_20251126185022.pdf")</f>
        <v>MCRO_27-CR-22-13797_Order-Evaluation for Competency to Proceed (Rule 20.01)_2022-11-30_20251126185022.pdf</v>
      </c>
      <c r="H1959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1959" s="1" t="s">
        <v>3413</v>
      </c>
      <c r="J1959" s="2" t="s">
        <v>3424</v>
      </c>
      <c r="K1959" s="2" t="s">
        <v>3424</v>
      </c>
      <c r="L1959" s="2" t="s">
        <v>3415</v>
      </c>
      <c r="M1959" s="2" t="n">
        <v>14252</v>
      </c>
    </row>
    <row r="1960" customFormat="false" ht="18.7" hidden="false" customHeight="true" outlineLevel="0" collapsed="false">
      <c r="A1960" s="1" t="n">
        <v>1959</v>
      </c>
      <c r="B1960" s="7" t="str">
        <f aca="false">HYPERLINK("https://mncourtfraud.com/file/27-CR-22-13797.pdf","27-CR-22-13797")</f>
        <v>27-CR-22-13797</v>
      </c>
      <c r="C1960" s="1" t="n">
        <v>1</v>
      </c>
      <c r="D1960" s="2" t="s">
        <v>12</v>
      </c>
      <c r="E1960" s="8" t="n">
        <v>44895</v>
      </c>
      <c r="F1960" s="2" t="s">
        <v>15</v>
      </c>
      <c r="G1960" s="7" t="str">
        <f aca="false">HYPERLINK("https://mncourtfraud.com/file/MCRO_27-CR-22-13797_Order-Evaluation for Competency to Proceed (Rule 20.01)_2022-11-30_20251126185022.pdf","MCRO_27-CR-22-13797_Order-Evaluation for Competency to Proceed (Rule 20.01)_2022-11-30_20251126185022.pdf")</f>
        <v>MCRO_27-CR-22-13797_Order-Evaluation for Competency to Proceed (Rule 20.01)_2022-11-30_20251126185022.pdf</v>
      </c>
      <c r="H1960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1960" s="1" t="s">
        <v>3406</v>
      </c>
      <c r="K1960" s="2" t="s">
        <v>3420</v>
      </c>
      <c r="L1960" s="2" t="s">
        <v>3408</v>
      </c>
      <c r="M1960" s="2" t="n">
        <v>7306</v>
      </c>
      <c r="O1960" s="2" t="s">
        <v>3409</v>
      </c>
      <c r="P1960" s="2" t="s">
        <v>3410</v>
      </c>
      <c r="S1960" s="2" t="n">
        <v>319</v>
      </c>
      <c r="T1960" s="2" t="n">
        <v>105</v>
      </c>
    </row>
    <row r="1961" customFormat="false" ht="18.7" hidden="false" customHeight="true" outlineLevel="0" collapsed="false">
      <c r="A1961" s="1" t="n">
        <v>1960</v>
      </c>
      <c r="B1961" s="7" t="str">
        <f aca="false">HYPERLINK("https://mncourtfraud.com/file/27-CR-22-13797.pdf","27-CR-22-13797")</f>
        <v>27-CR-22-13797</v>
      </c>
      <c r="C1961" s="1" t="n">
        <v>1</v>
      </c>
      <c r="D1961" s="2" t="s">
        <v>12</v>
      </c>
      <c r="E1961" s="8" t="n">
        <v>44895</v>
      </c>
      <c r="F1961" s="2" t="s">
        <v>15</v>
      </c>
      <c r="G1961" s="7" t="str">
        <f aca="false">HYPERLINK("https://mncourtfraud.com/file/MCRO_27-CR-22-13797_Order-Evaluation for Competency to Proceed (Rule 20.01)_2022-11-30_20251126185022.pdf","MCRO_27-CR-22-13797_Order-Evaluation for Competency to Proceed (Rule 20.01)_2022-11-30_20251126185022.pdf")</f>
        <v>MCRO_27-CR-22-13797_Order-Evaluation for Competency to Proceed (Rule 20.01)_2022-11-30_20251126185022.pdf</v>
      </c>
      <c r="H1961" s="7" t="str">
        <f aca="false">HYPERLINK("https://mncourtfraud.com/file/677e52a3b8403ce87e338b0a2e31e6f8e5ddf03fb0ca7043a341135cf0255eaa.ttf","677e52a3b8403ce87e338b0a2e31e6f8e5ddf03fb0ca7043a341135cf0255eaa")</f>
        <v>677e52a3b8403ce87e338b0a2e31e6f8e5ddf03fb0ca7043a341135cf0255eaa</v>
      </c>
      <c r="I1961" s="1" t="s">
        <v>3413</v>
      </c>
      <c r="J1961" s="2" t="s">
        <v>3422</v>
      </c>
      <c r="K1961" s="2" t="s">
        <v>3422</v>
      </c>
      <c r="L1961" s="2" t="s">
        <v>3415</v>
      </c>
      <c r="M1961" s="2" t="n">
        <v>149960</v>
      </c>
    </row>
    <row r="1962" customFormat="false" ht="18.7" hidden="false" customHeight="true" outlineLevel="0" collapsed="false">
      <c r="A1962" s="1" t="n">
        <v>1961</v>
      </c>
      <c r="B1962" s="7" t="str">
        <f aca="false">HYPERLINK("https://mncourtfraud.com/file/27-CR-22-13797.pdf","27-CR-22-13797")</f>
        <v>27-CR-22-13797</v>
      </c>
      <c r="C1962" s="1" t="n">
        <v>1</v>
      </c>
      <c r="D1962" s="2" t="s">
        <v>12</v>
      </c>
      <c r="E1962" s="8" t="n">
        <v>44895</v>
      </c>
      <c r="F1962" s="2" t="s">
        <v>15</v>
      </c>
      <c r="G1962" s="7" t="str">
        <f aca="false">HYPERLINK("https://mncourtfraud.com/file/MCRO_27-CR-22-13797_Order-Evaluation for Competency to Proceed (Rule 20.01)_2022-11-30_20251126185022.pdf","MCRO_27-CR-22-13797_Order-Evaluation for Competency to Proceed (Rule 20.01)_2022-11-30_20251126185022.pdf")</f>
        <v>MCRO_27-CR-22-13797_Order-Evaluation for Competency to Proceed (Rule 20.01)_2022-11-30_20251126185022.pdf</v>
      </c>
      <c r="H1962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1962" s="1" t="s">
        <v>3413</v>
      </c>
      <c r="J1962" s="2" t="s">
        <v>3448</v>
      </c>
      <c r="K1962" s="2" t="s">
        <v>3448</v>
      </c>
      <c r="L1962" s="2" t="s">
        <v>3415</v>
      </c>
      <c r="M1962" s="2" t="n">
        <v>916684</v>
      </c>
    </row>
    <row r="1963" customFormat="false" ht="18.7" hidden="false" customHeight="true" outlineLevel="0" collapsed="false">
      <c r="A1963" s="1" t="n">
        <v>1962</v>
      </c>
      <c r="B1963" s="7" t="str">
        <f aca="false">HYPERLINK("https://mncourtfraud.com/file/27-CR-22-13797.pdf","27-CR-22-13797")</f>
        <v>27-CR-22-13797</v>
      </c>
      <c r="C1963" s="1" t="n">
        <v>1</v>
      </c>
      <c r="D1963" s="2" t="s">
        <v>12</v>
      </c>
      <c r="E1963" s="8" t="n">
        <v>44895</v>
      </c>
      <c r="F1963" s="2" t="s">
        <v>15</v>
      </c>
      <c r="G1963" s="7" t="str">
        <f aca="false">HYPERLINK("https://mncourtfraud.com/file/MCRO_27-CR-22-13797_Order-Evaluation for Competency to Proceed (Rule 20.01)_2022-11-30_20251126185022.pdf","MCRO_27-CR-22-13797_Order-Evaluation for Competency to Proceed (Rule 20.01)_2022-11-30_20251126185022.pdf")</f>
        <v>MCRO_27-CR-22-13797_Order-Evaluation for Competency to Proceed (Rule 20.01)_2022-11-30_20251126185022.pdf</v>
      </c>
      <c r="H1963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1963" s="1" t="s">
        <v>3406</v>
      </c>
      <c r="K1963" s="2" t="s">
        <v>3425</v>
      </c>
      <c r="L1963" s="2" t="s">
        <v>3408</v>
      </c>
      <c r="M1963" s="2" t="n">
        <v>21225</v>
      </c>
      <c r="O1963" s="2" t="s">
        <v>3409</v>
      </c>
      <c r="P1963" s="2" t="s">
        <v>3410</v>
      </c>
      <c r="S1963" s="2" t="n">
        <v>319</v>
      </c>
      <c r="T1963" s="2" t="n">
        <v>105</v>
      </c>
    </row>
    <row r="1964" customFormat="false" ht="18.7" hidden="false" customHeight="true" outlineLevel="0" collapsed="false">
      <c r="A1964" s="1" t="n">
        <v>1963</v>
      </c>
      <c r="B1964" s="7" t="str">
        <f aca="false">HYPERLINK("https://mncourtfraud.com/file/27-CR-22-13797.pdf","27-CR-22-13797")</f>
        <v>27-CR-22-13797</v>
      </c>
      <c r="C1964" s="1" t="n">
        <v>1</v>
      </c>
      <c r="D1964" s="2" t="s">
        <v>12</v>
      </c>
      <c r="E1964" s="8" t="n">
        <v>44895</v>
      </c>
      <c r="F1964" s="2" t="s">
        <v>15</v>
      </c>
      <c r="G1964" s="7" t="str">
        <f aca="false">HYPERLINK("https://mncourtfraud.com/file/MCRO_27-CR-22-13797_Order-Evaluation for Competency to Proceed (Rule 20.01)_2022-11-30_20251126185022.pdf","MCRO_27-CR-22-13797_Order-Evaluation for Competency to Proceed (Rule 20.01)_2022-11-30_20251126185022.pdf")</f>
        <v>MCRO_27-CR-22-13797_Order-Evaluation for Competency to Proceed (Rule 20.01)_2022-11-30_20251126185022.pdf</v>
      </c>
      <c r="H1964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1964" s="1" t="s">
        <v>3413</v>
      </c>
      <c r="J1964" s="2" t="s">
        <v>3449</v>
      </c>
      <c r="K1964" s="2" t="s">
        <v>3449</v>
      </c>
      <c r="L1964" s="2" t="s">
        <v>3415</v>
      </c>
      <c r="M1964" s="2" t="n">
        <v>124664</v>
      </c>
    </row>
    <row r="1965" customFormat="false" ht="18.7" hidden="false" customHeight="true" outlineLevel="0" collapsed="false">
      <c r="A1965" s="1" t="n">
        <v>1964</v>
      </c>
      <c r="B1965" s="7" t="str">
        <f aca="false">HYPERLINK("https://mncourtfraud.com/file/27-CR-22-13797.pdf","27-CR-22-13797")</f>
        <v>27-CR-22-13797</v>
      </c>
      <c r="C1965" s="1" t="n">
        <v>1</v>
      </c>
      <c r="D1965" s="2" t="s">
        <v>12</v>
      </c>
      <c r="E1965" s="8" t="n">
        <v>44895</v>
      </c>
      <c r="F1965" s="2" t="s">
        <v>15</v>
      </c>
      <c r="G1965" s="7" t="str">
        <f aca="false">HYPERLINK("https://mncourtfraud.com/file/MCRO_27-CR-22-13797_Order-Evaluation for Competency to Proceed (Rule 20.01)_2022-11-30_20251126185022.pdf","MCRO_27-CR-22-13797_Order-Evaluation for Competency to Proceed (Rule 20.01)_2022-11-30_20251126185022.pdf")</f>
        <v>MCRO_27-CR-22-13797_Order-Evaluation for Competency to Proceed (Rule 20.01)_2022-11-30_20251126185022.pdf</v>
      </c>
      <c r="H1965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1965" s="1" t="s">
        <v>3413</v>
      </c>
      <c r="J1965" s="2" t="s">
        <v>3449</v>
      </c>
      <c r="K1965" s="2" t="s">
        <v>3449</v>
      </c>
      <c r="L1965" s="2" t="s">
        <v>3415</v>
      </c>
      <c r="M1965" s="2" t="n">
        <v>124664</v>
      </c>
    </row>
    <row r="1966" customFormat="false" ht="18.7" hidden="false" customHeight="true" outlineLevel="0" collapsed="false">
      <c r="A1966" s="1" t="n">
        <v>1965</v>
      </c>
      <c r="B1966" s="7" t="str">
        <f aca="false">HYPERLINK("https://mncourtfraud.com/file/27-CR-22-13797.pdf","27-CR-22-13797")</f>
        <v>27-CR-22-13797</v>
      </c>
      <c r="C1966" s="1" t="n">
        <v>1</v>
      </c>
      <c r="D1966" s="2" t="s">
        <v>12</v>
      </c>
      <c r="E1966" s="8" t="n">
        <v>45048</v>
      </c>
      <c r="F1966" s="2" t="s">
        <v>80</v>
      </c>
      <c r="G1966" s="7" t="str">
        <f aca="false">HYPERLINK("https://mncourtfraud.com/file/MCRO_27-CR-22-13797_Finding of Incompetency and Order_2023-05-02_20251126184840.pdf","MCRO_27-CR-22-13797_Finding of Incompetency and Order_2023-05-02_20251126184840.pdf")</f>
        <v>MCRO_27-CR-22-13797_Finding of Incompetency and Order_2023-05-02_20251126184840.pdf</v>
      </c>
      <c r="H1966" s="7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1966" s="1" t="s">
        <v>3406</v>
      </c>
      <c r="L1966" s="2" t="s">
        <v>3412</v>
      </c>
      <c r="M1966" s="2" t="n">
        <v>3506</v>
      </c>
      <c r="S1966" s="2" t="n">
        <v>1410</v>
      </c>
      <c r="T1966" s="2" t="n">
        <v>150</v>
      </c>
    </row>
    <row r="1967" customFormat="false" ht="18.7" hidden="false" customHeight="true" outlineLevel="0" collapsed="false">
      <c r="A1967" s="1" t="n">
        <v>1966</v>
      </c>
      <c r="B1967" s="7" t="str">
        <f aca="false">HYPERLINK("https://mncourtfraud.com/file/27-CR-22-13797.pdf","27-CR-22-13797")</f>
        <v>27-CR-22-13797</v>
      </c>
      <c r="C1967" s="1" t="n">
        <v>1</v>
      </c>
      <c r="D1967" s="2" t="s">
        <v>12</v>
      </c>
      <c r="E1967" s="8" t="n">
        <v>45048</v>
      </c>
      <c r="F1967" s="2" t="s">
        <v>80</v>
      </c>
      <c r="G1967" s="7" t="str">
        <f aca="false">HYPERLINK("https://mncourtfraud.com/file/MCRO_27-CR-22-13797_Finding of Incompetency and Order_2023-05-02_20251126184840.pdf","MCRO_27-CR-22-13797_Finding of Incompetency and Order_2023-05-02_20251126184840.pdf")</f>
        <v>MCRO_27-CR-22-13797_Finding of Incompetency and Order_2023-05-02_20251126184840.pdf</v>
      </c>
      <c r="H1967" s="7" t="str">
        <f aca="false">HYPERLINK("https://mncourtfraud.com/file/18befca089509ee2fbaddf9c5b79bf5988523b22d2369743ed9a591b9fc3bdb6.ttf","18befca089509ee2fbaddf9c5b79bf5988523b22d2369743ed9a591b9fc3bdb6")</f>
        <v>18befca089509ee2fbaddf9c5b79bf5988523b22d2369743ed9a591b9fc3bdb6</v>
      </c>
      <c r="I1967" s="1" t="s">
        <v>3413</v>
      </c>
      <c r="J1967" s="2" t="s">
        <v>3421</v>
      </c>
      <c r="K1967" s="2" t="s">
        <v>3450</v>
      </c>
      <c r="L1967" s="2" t="s">
        <v>3415</v>
      </c>
      <c r="M1967" s="2" t="n">
        <v>115928</v>
      </c>
    </row>
    <row r="1968" customFormat="false" ht="18.7" hidden="false" customHeight="true" outlineLevel="0" collapsed="false">
      <c r="A1968" s="1" t="n">
        <v>1967</v>
      </c>
      <c r="B1968" s="7" t="str">
        <f aca="false">HYPERLINK("https://mncourtfraud.com/file/27-CR-22-13797.pdf","27-CR-22-13797")</f>
        <v>27-CR-22-13797</v>
      </c>
      <c r="C1968" s="1" t="n">
        <v>1</v>
      </c>
      <c r="D1968" s="2" t="s">
        <v>12</v>
      </c>
      <c r="E1968" s="8" t="n">
        <v>45048</v>
      </c>
      <c r="F1968" s="2" t="s">
        <v>80</v>
      </c>
      <c r="G1968" s="7" t="str">
        <f aca="false">HYPERLINK("https://mncourtfraud.com/file/MCRO_27-CR-22-13797_Finding of Incompetency and Order_2023-05-02_20251126184840.pdf","MCRO_27-CR-22-13797_Finding of Incompetency and Order_2023-05-02_20251126184840.pdf")</f>
        <v>MCRO_27-CR-22-13797_Finding of Incompetency and Order_2023-05-02_20251126184840.pdf</v>
      </c>
      <c r="H1968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1968" s="1" t="s">
        <v>3413</v>
      </c>
      <c r="J1968" s="2" t="s">
        <v>3446</v>
      </c>
      <c r="K1968" s="2" t="s">
        <v>3446</v>
      </c>
      <c r="L1968" s="2" t="s">
        <v>3415</v>
      </c>
      <c r="M1968" s="2" t="n">
        <v>55072</v>
      </c>
      <c r="N1968" s="2" t="s">
        <v>3447</v>
      </c>
    </row>
    <row r="1969" customFormat="false" ht="18.7" hidden="false" customHeight="true" outlineLevel="0" collapsed="false">
      <c r="A1969" s="1" t="n">
        <v>1968</v>
      </c>
      <c r="B1969" s="7" t="str">
        <f aca="false">HYPERLINK("https://mncourtfraud.com/file/27-CR-22-13797.pdf","27-CR-22-13797")</f>
        <v>27-CR-22-13797</v>
      </c>
      <c r="C1969" s="1" t="n">
        <v>1</v>
      </c>
      <c r="D1969" s="2" t="s">
        <v>12</v>
      </c>
      <c r="E1969" s="8" t="n">
        <v>45048</v>
      </c>
      <c r="F1969" s="2" t="s">
        <v>80</v>
      </c>
      <c r="G1969" s="7" t="str">
        <f aca="false">HYPERLINK("https://mncourtfraud.com/file/MCRO_27-CR-22-13797_Finding of Incompetency and Order_2023-05-02_20251126184840.pdf","MCRO_27-CR-22-13797_Finding of Incompetency and Order_2023-05-02_20251126184840.pdf")</f>
        <v>MCRO_27-CR-22-13797_Finding of Incompetency and Order_2023-05-02_20251126184840.pdf</v>
      </c>
      <c r="H1969" s="7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1969" s="1" t="s">
        <v>3406</v>
      </c>
      <c r="K1969" s="2" t="s">
        <v>3451</v>
      </c>
      <c r="L1969" s="2" t="s">
        <v>3408</v>
      </c>
      <c r="M1969" s="2" t="n">
        <v>5295</v>
      </c>
      <c r="O1969" s="2" t="s">
        <v>3452</v>
      </c>
      <c r="P1969" s="2" t="s">
        <v>3410</v>
      </c>
      <c r="S1969" s="2" t="n">
        <v>833</v>
      </c>
      <c r="T1969" s="2" t="n">
        <v>186</v>
      </c>
    </row>
    <row r="1970" customFormat="false" ht="18.7" hidden="false" customHeight="true" outlineLevel="0" collapsed="false">
      <c r="A1970" s="1" t="n">
        <v>1969</v>
      </c>
      <c r="B1970" s="7" t="str">
        <f aca="false">HYPERLINK("https://mncourtfraud.com/file/27-CR-22-13797.pdf","27-CR-22-13797")</f>
        <v>27-CR-22-13797</v>
      </c>
      <c r="C1970" s="1" t="n">
        <v>1</v>
      </c>
      <c r="D1970" s="2" t="s">
        <v>12</v>
      </c>
      <c r="E1970" s="8" t="n">
        <v>45048</v>
      </c>
      <c r="F1970" s="2" t="s">
        <v>80</v>
      </c>
      <c r="G1970" s="7" t="str">
        <f aca="false">HYPERLINK("https://mncourtfraud.com/file/MCRO_27-CR-22-13797_Finding of Incompetency and Order_2023-05-02_20251126184840.pdf","MCRO_27-CR-22-13797_Finding of Incompetency and Order_2023-05-02_20251126184840.pdf")</f>
        <v>MCRO_27-CR-22-13797_Finding of Incompetency and Order_2023-05-02_20251126184840.pdf</v>
      </c>
      <c r="H1970" s="7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1970" s="1" t="s">
        <v>3406</v>
      </c>
      <c r="K1970" s="2" t="s">
        <v>3453</v>
      </c>
      <c r="L1970" s="2" t="s">
        <v>3408</v>
      </c>
      <c r="M1970" s="2" t="n">
        <v>3442</v>
      </c>
      <c r="O1970" s="2" t="s">
        <v>3454</v>
      </c>
      <c r="P1970" s="2" t="s">
        <v>3410</v>
      </c>
      <c r="S1970" s="2" t="n">
        <v>857</v>
      </c>
      <c r="T1970" s="2" t="n">
        <v>184</v>
      </c>
    </row>
    <row r="1971" customFormat="false" ht="18.7" hidden="false" customHeight="true" outlineLevel="0" collapsed="false">
      <c r="A1971" s="1" t="n">
        <v>1970</v>
      </c>
      <c r="B1971" s="7" t="str">
        <f aca="false">HYPERLINK("https://mncourtfraud.com/file/27-CR-22-13797.pdf","27-CR-22-13797")</f>
        <v>27-CR-22-13797</v>
      </c>
      <c r="C1971" s="1" t="n">
        <v>1</v>
      </c>
      <c r="D1971" s="2" t="s">
        <v>12</v>
      </c>
      <c r="E1971" s="8" t="n">
        <v>45048</v>
      </c>
      <c r="F1971" s="2" t="s">
        <v>80</v>
      </c>
      <c r="G1971" s="7" t="str">
        <f aca="false">HYPERLINK("https://mncourtfraud.com/file/MCRO_27-CR-22-13797_Finding of Incompetency and Order_2023-05-02_20251126184840.pdf","MCRO_27-CR-22-13797_Finding of Incompetency and Order_2023-05-02_20251126184840.pdf")</f>
        <v>MCRO_27-CR-22-13797_Finding of Incompetency and Order_2023-05-02_20251126184840.pdf</v>
      </c>
      <c r="H1971" s="7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1971" s="1" t="s">
        <v>3406</v>
      </c>
      <c r="L1971" s="2" t="s">
        <v>3412</v>
      </c>
      <c r="M1971" s="2" t="n">
        <v>3824</v>
      </c>
      <c r="S1971" s="2" t="n">
        <v>1850</v>
      </c>
      <c r="T1971" s="2" t="n">
        <v>160</v>
      </c>
    </row>
    <row r="1972" customFormat="false" ht="18.7" hidden="false" customHeight="true" outlineLevel="0" collapsed="false">
      <c r="A1972" s="1" t="n">
        <v>1971</v>
      </c>
      <c r="B1972" s="7" t="str">
        <f aca="false">HYPERLINK("https://mncourtfraud.com/file/27-CR-22-13797.pdf","27-CR-22-13797")</f>
        <v>27-CR-22-13797</v>
      </c>
      <c r="C1972" s="1" t="n">
        <v>1</v>
      </c>
      <c r="D1972" s="2" t="s">
        <v>12</v>
      </c>
      <c r="E1972" s="8" t="n">
        <v>45048</v>
      </c>
      <c r="F1972" s="2" t="s">
        <v>80</v>
      </c>
      <c r="G1972" s="7" t="str">
        <f aca="false">HYPERLINK("https://mncourtfraud.com/file/MCRO_27-CR-22-13797_Finding of Incompetency and Order_2023-05-02_20251126184840.pdf","MCRO_27-CR-22-13797_Finding of Incompetency and Order_2023-05-02_20251126184840.pdf")</f>
        <v>MCRO_27-CR-22-13797_Finding of Incompetency and Order_2023-05-02_20251126184840.pdf</v>
      </c>
      <c r="H1972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1972" s="1" t="s">
        <v>3413</v>
      </c>
      <c r="J1972" s="2" t="s">
        <v>3448</v>
      </c>
      <c r="K1972" s="2" t="s">
        <v>3448</v>
      </c>
      <c r="L1972" s="2" t="s">
        <v>3415</v>
      </c>
      <c r="M1972" s="2" t="n">
        <v>916684</v>
      </c>
    </row>
    <row r="1973" customFormat="false" ht="18.7" hidden="false" customHeight="true" outlineLevel="0" collapsed="false">
      <c r="A1973" s="1" t="n">
        <v>1972</v>
      </c>
      <c r="B1973" s="7" t="str">
        <f aca="false">HYPERLINK("https://mncourtfraud.com/file/27-CR-22-14239.pdf","27-CR-22-14239")</f>
        <v>27-CR-22-14239</v>
      </c>
      <c r="C1973" s="1" t="n">
        <v>5</v>
      </c>
      <c r="D1973" s="2" t="s">
        <v>267</v>
      </c>
      <c r="E1973" s="8" t="n">
        <v>44837</v>
      </c>
      <c r="F1973" s="2" t="s">
        <v>17</v>
      </c>
      <c r="G1973" s="7" t="str">
        <f aca="false">HYPERLINK("https://mncourtfraud.com/file/MCRO_27-CR-22-14239_Returned Mail_2022-10-03_20251126165740.pdf","MCRO_27-CR-22-14239_Returned Mail_2022-10-03_20251126165740.pdf")</f>
        <v>MCRO_27-CR-22-14239_Returned Mail_2022-10-03_20251126165740.pdf</v>
      </c>
      <c r="H1973" s="7" t="str">
        <f aca="false">HYPERLINK("https://mncourtfraud.com/file/237d5516e0c716146a65e7b2daf746fb6188c66f833317ba27cb286332d42dea.jpg","237d5516e0c716146a65e7b2daf746fb6188c66f833317ba27cb286332d42dea")</f>
        <v>237d5516e0c716146a65e7b2daf746fb6188c66f833317ba27cb286332d42dea</v>
      </c>
      <c r="I1973" s="1" t="s">
        <v>3417</v>
      </c>
      <c r="L1973" s="2" t="s">
        <v>3419</v>
      </c>
      <c r="M1973" s="2" t="n">
        <v>318425</v>
      </c>
      <c r="S1973" s="2" t="n">
        <v>2550</v>
      </c>
      <c r="T1973" s="2" t="n">
        <v>3300</v>
      </c>
    </row>
    <row r="1974" customFormat="false" ht="18.7" hidden="false" customHeight="true" outlineLevel="0" collapsed="false">
      <c r="A1974" s="1" t="n">
        <v>1973</v>
      </c>
      <c r="B1974" s="7" t="str">
        <f aca="false">HYPERLINK("https://mncourtfraud.com/file/27-CR-22-14239.pdf","27-CR-22-14239")</f>
        <v>27-CR-22-14239</v>
      </c>
      <c r="C1974" s="1" t="n">
        <v>5</v>
      </c>
      <c r="D1974" s="2" t="s">
        <v>267</v>
      </c>
      <c r="E1974" s="8" t="n">
        <v>44837</v>
      </c>
      <c r="F1974" s="2" t="s">
        <v>17</v>
      </c>
      <c r="G1974" s="7" t="str">
        <f aca="false">HYPERLINK("https://mncourtfraud.com/file/MCRO_27-CR-22-14239_Returned Mail_2022-10-03_20251126165740.pdf","MCRO_27-CR-22-14239_Returned Mail_2022-10-03_20251126165740.pdf")</f>
        <v>MCRO_27-CR-22-14239_Returned Mail_2022-10-03_20251126165740.pdf</v>
      </c>
      <c r="H1974" s="7" t="str">
        <f aca="false">HYPERLINK("https://mncourtfraud.com/file/a5e5c392eb46244eb2f6cb58ac26cd8ceafb56d6f16b754ee26ba4f3c1b3b729.ttf","a5e5c392eb46244eb2f6cb58ac26cd8ceafb56d6f16b754ee26ba4f3c1b3b729")</f>
        <v>a5e5c392eb46244eb2f6cb58ac26cd8ceafb56d6f16b754ee26ba4f3c1b3b729</v>
      </c>
      <c r="I1974" s="1" t="s">
        <v>3413</v>
      </c>
      <c r="L1974" s="2" t="s">
        <v>3415</v>
      </c>
      <c r="M1974" s="2" t="n">
        <v>333584</v>
      </c>
    </row>
    <row r="1975" customFormat="false" ht="18.7" hidden="false" customHeight="true" outlineLevel="0" collapsed="false">
      <c r="A1975" s="1" t="n">
        <v>1974</v>
      </c>
      <c r="B1975" s="7" t="str">
        <f aca="false">HYPERLINK("https://mncourtfraud.com/file/27-CR-22-14239.pdf","27-CR-22-14239")</f>
        <v>27-CR-22-14239</v>
      </c>
      <c r="C1975" s="1" t="n">
        <v>5</v>
      </c>
      <c r="D1975" s="2" t="s">
        <v>267</v>
      </c>
      <c r="E1975" s="8" t="n">
        <v>44873</v>
      </c>
      <c r="F1975" s="2" t="s">
        <v>15</v>
      </c>
      <c r="G1975" s="7" t="str">
        <f aca="false">HYPERLINK("https://mncourtfraud.com/file/MCRO_27-CR-22-14239_Order-Evaluation for Competency to Proceed (Rule 20.01)_2022-11-08_20251126165804.pdf","MCRO_27-CR-22-14239_Order-Evaluation for Competency to Proceed (Rule 20.01)_2022-11-08_20251126165804.pdf")</f>
        <v>MCRO_27-CR-22-14239_Order-Evaluation for Competency to Proceed (Rule 20.01)_2022-11-08_20251126165804.pdf</v>
      </c>
      <c r="H1975" s="7" t="str">
        <f aca="false">HYPERLINK("https://mncourtfraud.com/file/082f387ba4835f1cae3d2529d7afa13cbb922baebe03519ee43d2c14358c2398.jpg","082f387ba4835f1cae3d2529d7afa13cbb922baebe03519ee43d2c14358c2398")</f>
        <v>082f387ba4835f1cae3d2529d7afa13cbb922baebe03519ee43d2c14358c2398</v>
      </c>
      <c r="I1975" s="1" t="s">
        <v>3417</v>
      </c>
      <c r="L1975" s="2" t="s">
        <v>3418</v>
      </c>
      <c r="M1975" s="2" t="n">
        <v>300734</v>
      </c>
      <c r="S1975" s="2" t="n">
        <v>1700</v>
      </c>
      <c r="T1975" s="2" t="n">
        <v>2200</v>
      </c>
    </row>
    <row r="1976" customFormat="false" ht="18.7" hidden="false" customHeight="true" outlineLevel="0" collapsed="false">
      <c r="A1976" s="1" t="n">
        <v>1975</v>
      </c>
      <c r="B1976" s="7" t="str">
        <f aca="false">HYPERLINK("https://mncourtfraud.com/file/27-CR-22-14239.pdf","27-CR-22-14239")</f>
        <v>27-CR-22-14239</v>
      </c>
      <c r="C1976" s="1" t="n">
        <v>5</v>
      </c>
      <c r="D1976" s="2" t="s">
        <v>267</v>
      </c>
      <c r="E1976" s="8" t="n">
        <v>44873</v>
      </c>
      <c r="F1976" s="2" t="s">
        <v>15</v>
      </c>
      <c r="G1976" s="7" t="str">
        <f aca="false">HYPERLINK("https://mncourtfraud.com/file/MCRO_27-CR-22-14239_Order-Evaluation for Competency to Proceed (Rule 20.01)_2022-11-08_20251126165804.pdf","MCRO_27-CR-22-14239_Order-Evaluation for Competency to Proceed (Rule 20.01)_2022-11-08_20251126165804.pdf")</f>
        <v>MCRO_27-CR-22-14239_Order-Evaluation for Competency to Proceed (Rule 20.01)_2022-11-08_20251126165804.pdf</v>
      </c>
      <c r="H1976" s="7" t="str">
        <f aca="false">HYPERLINK("https://mncourtfraud.com/file/5ec6a5633be2d5f7201fcc405ec826928f8ebd9d0f347fee056c3ff04cd3e3d7.ttf","5ec6a5633be2d5f7201fcc405ec826928f8ebd9d0f347fee056c3ff04cd3e3d7")</f>
        <v>5ec6a5633be2d5f7201fcc405ec826928f8ebd9d0f347fee056c3ff04cd3e3d7</v>
      </c>
      <c r="I1976" s="1" t="s">
        <v>3413</v>
      </c>
      <c r="L1976" s="2" t="s">
        <v>3415</v>
      </c>
      <c r="M1976" s="2" t="n">
        <v>333576</v>
      </c>
    </row>
    <row r="1977" customFormat="false" ht="18.7" hidden="false" customHeight="true" outlineLevel="0" collapsed="false">
      <c r="A1977" s="1" t="n">
        <v>1976</v>
      </c>
      <c r="B1977" s="7" t="str">
        <f aca="false">HYPERLINK("https://mncourtfraud.com/file/27-CR-22-14239.pdf","27-CR-22-14239")</f>
        <v>27-CR-22-14239</v>
      </c>
      <c r="C1977" s="1" t="n">
        <v>5</v>
      </c>
      <c r="D1977" s="2" t="s">
        <v>267</v>
      </c>
      <c r="E1977" s="8" t="n">
        <v>44873</v>
      </c>
      <c r="F1977" s="2" t="s">
        <v>15</v>
      </c>
      <c r="G1977" s="7" t="str">
        <f aca="false">HYPERLINK("https://mncourtfraud.com/file/MCRO_27-CR-22-14239_Order-Evaluation for Competency to Proceed (Rule 20.01)_2022-11-08_20251126165804.pdf","MCRO_27-CR-22-14239_Order-Evaluation for Competency to Proceed (Rule 20.01)_2022-11-08_20251126165804.pdf")</f>
        <v>MCRO_27-CR-22-14239_Order-Evaluation for Competency to Proceed (Rule 20.01)_2022-11-08_20251126165804.pdf</v>
      </c>
      <c r="H1977" s="7" t="str">
        <f aca="false">HYPERLINK("https://mncourtfraud.com/file/6efe5689334238d45a24a51d7cd932b18f0bce47806d862dbcc29a63132d5402.jpg","6efe5689334238d45a24a51d7cd932b18f0bce47806d862dbcc29a63132d5402")</f>
        <v>6efe5689334238d45a24a51d7cd932b18f0bce47806d862dbcc29a63132d5402</v>
      </c>
      <c r="I1977" s="1" t="s">
        <v>3417</v>
      </c>
      <c r="L1977" s="2" t="s">
        <v>3418</v>
      </c>
      <c r="M1977" s="2" t="n">
        <v>59609</v>
      </c>
      <c r="S1977" s="2" t="n">
        <v>1700</v>
      </c>
      <c r="T1977" s="2" t="n">
        <v>2200</v>
      </c>
    </row>
    <row r="1978" customFormat="false" ht="18.7" hidden="false" customHeight="true" outlineLevel="0" collapsed="false">
      <c r="A1978" s="1" t="n">
        <v>1977</v>
      </c>
      <c r="B1978" s="7" t="str">
        <f aca="false">HYPERLINK("https://mncourtfraud.com/file/27-CR-22-14239.pdf","27-CR-22-14239")</f>
        <v>27-CR-22-14239</v>
      </c>
      <c r="C1978" s="1" t="n">
        <v>5</v>
      </c>
      <c r="D1978" s="2" t="s">
        <v>267</v>
      </c>
      <c r="E1978" s="8" t="n">
        <v>44873</v>
      </c>
      <c r="F1978" s="2" t="s">
        <v>15</v>
      </c>
      <c r="G1978" s="7" t="str">
        <f aca="false">HYPERLINK("https://mncourtfraud.com/file/MCRO_27-CR-22-14239_Order-Evaluation for Competency to Proceed (Rule 20.01)_2022-11-08_20251126165804.pdf","MCRO_27-CR-22-14239_Order-Evaluation for Competency to Proceed (Rule 20.01)_2022-11-08_20251126165804.pdf")</f>
        <v>MCRO_27-CR-22-14239_Order-Evaluation for Competency to Proceed (Rule 20.01)_2022-11-08_20251126165804.pdf</v>
      </c>
      <c r="H1978" s="7" t="str">
        <f aca="false">HYPERLINK("https://mncourtfraud.com/file/fc4055f8addb8eece144843412a390d7992a7db6c5473e9a7648f1bd742f06a0.jpg","fc4055f8addb8eece144843412a390d7992a7db6c5473e9a7648f1bd742f06a0")</f>
        <v>fc4055f8addb8eece144843412a390d7992a7db6c5473e9a7648f1bd742f06a0</v>
      </c>
      <c r="I1978" s="1" t="s">
        <v>3417</v>
      </c>
      <c r="L1978" s="2" t="s">
        <v>3418</v>
      </c>
      <c r="M1978" s="2" t="n">
        <v>366016</v>
      </c>
      <c r="S1978" s="2" t="n">
        <v>1700</v>
      </c>
      <c r="T1978" s="2" t="n">
        <v>2200</v>
      </c>
    </row>
    <row r="1979" customFormat="false" ht="18.7" hidden="false" customHeight="true" outlineLevel="0" collapsed="false">
      <c r="A1979" s="1" t="n">
        <v>1978</v>
      </c>
      <c r="B1979" s="7" t="str">
        <f aca="false">HYPERLINK("https://mncourtfraud.com/file/27-CR-22-14239.pdf","27-CR-22-14239")</f>
        <v>27-CR-22-14239</v>
      </c>
      <c r="C1979" s="1" t="n">
        <v>5</v>
      </c>
      <c r="D1979" s="2" t="s">
        <v>267</v>
      </c>
      <c r="E1979" s="8" t="n">
        <v>45023</v>
      </c>
      <c r="F1979" s="2" t="s">
        <v>15</v>
      </c>
      <c r="G1979" s="7" t="str">
        <f aca="false">HYPERLINK("https://mncourtfraud.com/file/MCRO_27-CR-22-14239_Order-Evaluation for Competency to Proceed (Rule 20.01)_2023-04-07_20251126165814.pdf","MCRO_27-CR-22-14239_Order-Evaluation for Competency to Proceed (Rule 20.01)_2023-04-07_20251126165814.pdf")</f>
        <v>MCRO_27-CR-22-14239_Order-Evaluation for Competency to Proceed (Rule 20.01)_2023-04-07_20251126165814.pdf</v>
      </c>
      <c r="H1979" s="7" t="str">
        <f aca="false">HYPERLINK("https://mncourtfraud.com/file/164c5fac75ff2acb3f750d83cc6f28fd552d179a6b154028757412591c93c718.jpg","164c5fac75ff2acb3f750d83cc6f28fd552d179a6b154028757412591c93c718")</f>
        <v>164c5fac75ff2acb3f750d83cc6f28fd552d179a6b154028757412591c93c718</v>
      </c>
      <c r="I1979" s="1" t="s">
        <v>3417</v>
      </c>
      <c r="L1979" s="2" t="s">
        <v>3418</v>
      </c>
      <c r="M1979" s="2" t="n">
        <v>642476</v>
      </c>
      <c r="S1979" s="2" t="n">
        <v>2550</v>
      </c>
      <c r="T1979" s="2" t="n">
        <v>3300</v>
      </c>
    </row>
    <row r="1980" customFormat="false" ht="18.7" hidden="false" customHeight="true" outlineLevel="0" collapsed="false">
      <c r="A1980" s="1" t="n">
        <v>1979</v>
      </c>
      <c r="B1980" s="7" t="str">
        <f aca="false">HYPERLINK("https://mncourtfraud.com/file/27-CR-22-14239.pdf","27-CR-22-14239")</f>
        <v>27-CR-22-14239</v>
      </c>
      <c r="C1980" s="1" t="n">
        <v>5</v>
      </c>
      <c r="D1980" s="2" t="s">
        <v>267</v>
      </c>
      <c r="E1980" s="8" t="n">
        <v>45023</v>
      </c>
      <c r="F1980" s="2" t="s">
        <v>15</v>
      </c>
      <c r="G1980" s="7" t="str">
        <f aca="false">HYPERLINK("https://mncourtfraud.com/file/MCRO_27-CR-22-14239_Order-Evaluation for Competency to Proceed (Rule 20.01)_2023-04-07_20251126165814.pdf","MCRO_27-CR-22-14239_Order-Evaluation for Competency to Proceed (Rule 20.01)_2023-04-07_20251126165814.pdf")</f>
        <v>MCRO_27-CR-22-14239_Order-Evaluation for Competency to Proceed (Rule 20.01)_2023-04-07_20251126165814.pdf</v>
      </c>
      <c r="H1980" s="7" t="str">
        <f aca="false">HYPERLINK("https://mncourtfraud.com/file/ce2d85bcb601debf2f3609235564747a51dff9e88324b5a9d5b9c28ded5a163f.jpg","ce2d85bcb601debf2f3609235564747a51dff9e88324b5a9d5b9c28ded5a163f")</f>
        <v>ce2d85bcb601debf2f3609235564747a51dff9e88324b5a9d5b9c28ded5a163f</v>
      </c>
      <c r="I1980" s="1" t="s">
        <v>3417</v>
      </c>
      <c r="L1980" s="2" t="s">
        <v>3418</v>
      </c>
      <c r="M1980" s="2" t="n">
        <v>515633</v>
      </c>
      <c r="S1980" s="2" t="n">
        <v>2550</v>
      </c>
      <c r="T1980" s="2" t="n">
        <v>3300</v>
      </c>
    </row>
    <row r="1981" customFormat="false" ht="18.7" hidden="false" customHeight="true" outlineLevel="0" collapsed="false">
      <c r="A1981" s="1" t="n">
        <v>1980</v>
      </c>
      <c r="B1981" s="7" t="str">
        <f aca="false">HYPERLINK("https://mncourtfraud.com/file/27-CR-22-14239.pdf","27-CR-22-14239")</f>
        <v>27-CR-22-14239</v>
      </c>
      <c r="C1981" s="1" t="n">
        <v>5</v>
      </c>
      <c r="D1981" s="2" t="s">
        <v>267</v>
      </c>
      <c r="E1981" s="8" t="n">
        <v>45023</v>
      </c>
      <c r="F1981" s="2" t="s">
        <v>15</v>
      </c>
      <c r="G1981" s="7" t="str">
        <f aca="false">HYPERLINK("https://mncourtfraud.com/file/MCRO_27-CR-22-14239_Order-Evaluation for Competency to Proceed (Rule 20.01)_2023-04-07_20251126165814.pdf","MCRO_27-CR-22-14239_Order-Evaluation for Competency to Proceed (Rule 20.01)_2023-04-07_20251126165814.pdf")</f>
        <v>MCRO_27-CR-22-14239_Order-Evaluation for Competency to Proceed (Rule 20.01)_2023-04-07_20251126165814.pdf</v>
      </c>
      <c r="H1981" s="7" t="str">
        <f aca="false">HYPERLINK("https://mncourtfraud.com/file/ea9af736a80d31de41ae5b0e7b3523dc9a6bd705b59262f58302b40163572f25.ttf","ea9af736a80d31de41ae5b0e7b3523dc9a6bd705b59262f58302b40163572f25")</f>
        <v>ea9af736a80d31de41ae5b0e7b3523dc9a6bd705b59262f58302b40163572f25</v>
      </c>
      <c r="I1981" s="1" t="s">
        <v>3413</v>
      </c>
      <c r="L1981" s="2" t="s">
        <v>3415</v>
      </c>
      <c r="M1981" s="2" t="n">
        <v>8688</v>
      </c>
    </row>
    <row r="1982" customFormat="false" ht="18.7" hidden="false" customHeight="true" outlineLevel="0" collapsed="false">
      <c r="A1982" s="1" t="n">
        <v>1981</v>
      </c>
      <c r="B1982" s="7" t="str">
        <f aca="false">HYPERLINK("https://mncourtfraud.com/file/27-CR-22-14239.pdf","27-CR-22-14239")</f>
        <v>27-CR-22-14239</v>
      </c>
      <c r="C1982" s="1" t="n">
        <v>5</v>
      </c>
      <c r="D1982" s="2" t="s">
        <v>267</v>
      </c>
      <c r="E1982" s="8" t="n">
        <v>45194</v>
      </c>
      <c r="F1982" s="2" t="s">
        <v>15</v>
      </c>
      <c r="G1982" s="7" t="str">
        <f aca="false">HYPERLINK("https://mncourtfraud.com/file/MCRO_27-CR-22-14239_Order-Evaluation for Competency to Proceed (Rule 20.01)_2023-09-25_20251126165753.pdf","MCRO_27-CR-22-14239_Order-Evaluation for Competency to Proceed (Rule 20.01)_2023-09-25_20251126165753.pdf")</f>
        <v>MCRO_27-CR-22-14239_Order-Evaluation for Competency to Proceed (Rule 20.01)_2023-09-25_20251126165753.pdf</v>
      </c>
      <c r="H1982" s="7" t="str">
        <f aca="false">HYPERLINK("https://mncourtfraud.com/file/4c385f7ae8b1b78bc4ac3302e35eeaeb47e175305fd776c018ad0582a082d2f1.png","4c385f7ae8b1b78bc4ac3302e35eeaeb47e175305fd776c018ad0582a082d2f1")</f>
        <v>4c385f7ae8b1b78bc4ac3302e35eeaeb47e175305fd776c018ad0582a082d2f1</v>
      </c>
      <c r="I1982" s="1" t="s">
        <v>3406</v>
      </c>
      <c r="L1982" s="2" t="s">
        <v>3412</v>
      </c>
      <c r="M1982" s="2" t="n">
        <v>162309</v>
      </c>
      <c r="S1982" s="2" t="n">
        <v>2560</v>
      </c>
      <c r="T1982" s="2" t="n">
        <v>3300</v>
      </c>
    </row>
    <row r="1983" customFormat="false" ht="18.7" hidden="false" customHeight="true" outlineLevel="0" collapsed="false">
      <c r="A1983" s="1" t="n">
        <v>1982</v>
      </c>
      <c r="B1983" s="7" t="str">
        <f aca="false">HYPERLINK("https://mncourtfraud.com/file/27-CR-22-14239.pdf","27-CR-22-14239")</f>
        <v>27-CR-22-14239</v>
      </c>
      <c r="C1983" s="1" t="n">
        <v>5</v>
      </c>
      <c r="D1983" s="2" t="s">
        <v>267</v>
      </c>
      <c r="E1983" s="8" t="n">
        <v>45194</v>
      </c>
      <c r="F1983" s="2" t="s">
        <v>15</v>
      </c>
      <c r="G1983" s="7" t="str">
        <f aca="false">HYPERLINK("https://mncourtfraud.com/file/MCRO_27-CR-22-14239_Order-Evaluation for Competency to Proceed (Rule 20.01)_2023-09-25_20251126165753.pdf","MCRO_27-CR-22-14239_Order-Evaluation for Competency to Proceed (Rule 20.01)_2023-09-25_20251126165753.pdf")</f>
        <v>MCRO_27-CR-22-14239_Order-Evaluation for Competency to Proceed (Rule 20.01)_2023-09-25_20251126165753.pdf</v>
      </c>
      <c r="H1983" s="7" t="str">
        <f aca="false">HYPERLINK("https://mncourtfraud.com/file/9f61d1c86b92a1cfe4c2425ebe7c20689b4132fc43316fa8ae4829c07f8dccd6.ttf","9f61d1c86b92a1cfe4c2425ebe7c20689b4132fc43316fa8ae4829c07f8dccd6")</f>
        <v>9f61d1c86b92a1cfe4c2425ebe7c20689b4132fc43316fa8ae4829c07f8dccd6</v>
      </c>
      <c r="I1983" s="1" t="s">
        <v>3413</v>
      </c>
      <c r="L1983" s="2" t="s">
        <v>3415</v>
      </c>
      <c r="M1983" s="2" t="n">
        <v>333576</v>
      </c>
    </row>
    <row r="1984" customFormat="false" ht="18.7" hidden="false" customHeight="true" outlineLevel="0" collapsed="false">
      <c r="A1984" s="1" t="n">
        <v>1983</v>
      </c>
      <c r="B1984" s="7" t="str">
        <f aca="false">HYPERLINK("https://mncourtfraud.com/file/27-CR-22-14239.pdf","27-CR-22-14239")</f>
        <v>27-CR-22-14239</v>
      </c>
      <c r="C1984" s="1" t="n">
        <v>5</v>
      </c>
      <c r="D1984" s="2" t="s">
        <v>267</v>
      </c>
      <c r="E1984" s="8" t="n">
        <v>45194</v>
      </c>
      <c r="F1984" s="2" t="s">
        <v>15</v>
      </c>
      <c r="G1984" s="7" t="str">
        <f aca="false">HYPERLINK("https://mncourtfraud.com/file/MCRO_27-CR-22-14239_Order-Evaluation for Competency to Proceed (Rule 20.01)_2023-09-25_20251126165753.pdf","MCRO_27-CR-22-14239_Order-Evaluation for Competency to Proceed (Rule 20.01)_2023-09-25_20251126165753.pdf")</f>
        <v>MCRO_27-CR-22-14239_Order-Evaluation for Competency to Proceed (Rule 20.01)_2023-09-25_20251126165753.pdf</v>
      </c>
      <c r="H1984" s="7" t="str">
        <f aca="false">HYPERLINK("https://mncourtfraud.com/file/e8ec090484db08b3be9daaa10e2fef35a99135ae0a2f234de7613cfacc2f6cac.png","e8ec090484db08b3be9daaa10e2fef35a99135ae0a2f234de7613cfacc2f6cac")</f>
        <v>e8ec090484db08b3be9daaa10e2fef35a99135ae0a2f234de7613cfacc2f6cac</v>
      </c>
      <c r="I1984" s="1" t="s">
        <v>3406</v>
      </c>
      <c r="L1984" s="2" t="s">
        <v>3412</v>
      </c>
      <c r="M1984" s="2" t="n">
        <v>133015</v>
      </c>
      <c r="S1984" s="2" t="n">
        <v>2560</v>
      </c>
      <c r="T1984" s="2" t="n">
        <v>3300</v>
      </c>
    </row>
    <row r="1985" customFormat="false" ht="18.7" hidden="false" customHeight="true" outlineLevel="0" collapsed="false">
      <c r="A1985" s="1" t="n">
        <v>1984</v>
      </c>
      <c r="B1985" s="7" t="str">
        <f aca="false">HYPERLINK("https://mncourtfraud.com/file/27-CR-22-1664.pdf","27-CR-22-1664")</f>
        <v>27-CR-22-1664</v>
      </c>
      <c r="C1985" s="1" t="n">
        <v>5</v>
      </c>
      <c r="D1985" s="2" t="s">
        <v>267</v>
      </c>
      <c r="E1985" s="8" t="n">
        <v>44733</v>
      </c>
      <c r="F1985" s="2" t="s">
        <v>17</v>
      </c>
      <c r="G1985" s="7" t="str">
        <f aca="false">HYPERLINK("https://mncourtfraud.com/file/MCRO_27-CR-22-1664_Returned Mail_2022-06-21_20251126170031.pdf","MCRO_27-CR-22-1664_Returned Mail_2022-06-21_20251126170031.pdf")</f>
        <v>MCRO_27-CR-22-1664_Returned Mail_2022-06-21_20251126170031.pdf</v>
      </c>
      <c r="H1985" s="7" t="str">
        <f aca="false">HYPERLINK("https://mncourtfraud.com/file/29448cd65c6e15ba78e89564ab1d8e03eecd15f8714e67ada11a2ac1bf57a2dc.jpg","29448cd65c6e15ba78e89564ab1d8e03eecd15f8714e67ada11a2ac1bf57a2dc")</f>
        <v>29448cd65c6e15ba78e89564ab1d8e03eecd15f8714e67ada11a2ac1bf57a2dc</v>
      </c>
      <c r="I1985" s="1" t="s">
        <v>3417</v>
      </c>
      <c r="L1985" s="2" t="s">
        <v>3419</v>
      </c>
      <c r="M1985" s="2" t="n">
        <v>311013</v>
      </c>
      <c r="S1985" s="2" t="n">
        <v>2550</v>
      </c>
      <c r="T1985" s="2" t="n">
        <v>3300</v>
      </c>
    </row>
    <row r="1986" customFormat="false" ht="18.7" hidden="false" customHeight="true" outlineLevel="0" collapsed="false">
      <c r="A1986" s="1" t="n">
        <v>1985</v>
      </c>
      <c r="B1986" s="7" t="str">
        <f aca="false">HYPERLINK("https://mncourtfraud.com/file/27-CR-22-1664.pdf","27-CR-22-1664")</f>
        <v>27-CR-22-1664</v>
      </c>
      <c r="C1986" s="1" t="n">
        <v>5</v>
      </c>
      <c r="D1986" s="2" t="s">
        <v>267</v>
      </c>
      <c r="E1986" s="8" t="n">
        <v>44733</v>
      </c>
      <c r="F1986" s="2" t="s">
        <v>17</v>
      </c>
      <c r="G1986" s="7" t="str">
        <f aca="false">HYPERLINK("https://mncourtfraud.com/file/MCRO_27-CR-22-1664_Returned Mail_2022-06-21_20251126170019.pdf","MCRO_27-CR-22-1664_Returned Mail_2022-06-21_20251126170019.pdf")</f>
        <v>MCRO_27-CR-22-1664_Returned Mail_2022-06-21_20251126170019.pdf</v>
      </c>
      <c r="H1986" s="7" t="str">
        <f aca="false">HYPERLINK("https://mncourtfraud.com/file/92acef487d265292e1b7623e39a90de23d27f28aa5398d6401e62d068dc0292b.ttf","92acef487d265292e1b7623e39a90de23d27f28aa5398d6401e62d068dc0292b")</f>
        <v>92acef487d265292e1b7623e39a90de23d27f28aa5398d6401e62d068dc0292b</v>
      </c>
      <c r="I1986" s="1" t="s">
        <v>3413</v>
      </c>
      <c r="L1986" s="2" t="s">
        <v>3415</v>
      </c>
      <c r="M1986" s="2" t="n">
        <v>333584</v>
      </c>
    </row>
    <row r="1987" customFormat="false" ht="18.7" hidden="false" customHeight="true" outlineLevel="0" collapsed="false">
      <c r="A1987" s="1" t="n">
        <v>1986</v>
      </c>
      <c r="B1987" s="7" t="str">
        <f aca="false">HYPERLINK("https://mncourtfraud.com/file/27-CR-22-1664.pdf","27-CR-22-1664")</f>
        <v>27-CR-22-1664</v>
      </c>
      <c r="C1987" s="1" t="n">
        <v>5</v>
      </c>
      <c r="D1987" s="2" t="s">
        <v>267</v>
      </c>
      <c r="E1987" s="8" t="n">
        <v>44733</v>
      </c>
      <c r="F1987" s="2" t="s">
        <v>17</v>
      </c>
      <c r="G1987" s="7" t="str">
        <f aca="false">HYPERLINK("https://mncourtfraud.com/file/MCRO_27-CR-22-1664_Returned Mail_2022-06-21_20251126170031.pdf","MCRO_27-CR-22-1664_Returned Mail_2022-06-21_20251126170031.pdf")</f>
        <v>MCRO_27-CR-22-1664_Returned Mail_2022-06-21_20251126170031.pdf</v>
      </c>
      <c r="H1987" s="7" t="str">
        <f aca="false">HYPERLINK("https://mncourtfraud.com/file/a709a819a1315c1f3b0b1c5fc49fc8186904773f4df02dd94e225016ac8d101d.ttf","a709a819a1315c1f3b0b1c5fc49fc8186904773f4df02dd94e225016ac8d101d")</f>
        <v>a709a819a1315c1f3b0b1c5fc49fc8186904773f4df02dd94e225016ac8d101d</v>
      </c>
      <c r="I1987" s="1" t="s">
        <v>3413</v>
      </c>
      <c r="L1987" s="2" t="s">
        <v>3415</v>
      </c>
      <c r="M1987" s="2" t="n">
        <v>333584</v>
      </c>
    </row>
    <row r="1988" customFormat="false" ht="18.7" hidden="false" customHeight="true" outlineLevel="0" collapsed="false">
      <c r="A1988" s="1" t="n">
        <v>1987</v>
      </c>
      <c r="B1988" s="7" t="str">
        <f aca="false">HYPERLINK("https://mncourtfraud.com/file/27-CR-22-1664.pdf","27-CR-22-1664")</f>
        <v>27-CR-22-1664</v>
      </c>
      <c r="C1988" s="1" t="n">
        <v>5</v>
      </c>
      <c r="D1988" s="2" t="s">
        <v>267</v>
      </c>
      <c r="E1988" s="8" t="n">
        <v>44733</v>
      </c>
      <c r="F1988" s="2" t="s">
        <v>17</v>
      </c>
      <c r="G1988" s="7" t="str">
        <f aca="false">HYPERLINK("https://mncourtfraud.com/file/MCRO_27-CR-22-1664_Returned Mail_2022-06-21_20251126170027.pdf","MCRO_27-CR-22-1664_Returned Mail_2022-06-21_20251126170027.pdf")</f>
        <v>MCRO_27-CR-22-1664_Returned Mail_2022-06-21_20251126170027.pdf</v>
      </c>
      <c r="H1988" s="7" t="str">
        <f aca="false">HYPERLINK("https://mncourtfraud.com/file/a9900bc320d6f8f8e6faf6cb6a19d94fb75f155c51567cbc0c3ade5f0be1cf36.ttf","a9900bc320d6f8f8e6faf6cb6a19d94fb75f155c51567cbc0c3ade5f0be1cf36")</f>
        <v>a9900bc320d6f8f8e6faf6cb6a19d94fb75f155c51567cbc0c3ade5f0be1cf36</v>
      </c>
      <c r="I1988" s="1" t="s">
        <v>3413</v>
      </c>
      <c r="L1988" s="2" t="s">
        <v>3415</v>
      </c>
      <c r="M1988" s="2" t="n">
        <v>333584</v>
      </c>
    </row>
    <row r="1989" customFormat="false" ht="18.7" hidden="false" customHeight="true" outlineLevel="0" collapsed="false">
      <c r="A1989" s="1" t="n">
        <v>1988</v>
      </c>
      <c r="B1989" s="7" t="str">
        <f aca="false">HYPERLINK("https://mncourtfraud.com/file/27-CR-22-1664.pdf","27-CR-22-1664")</f>
        <v>27-CR-22-1664</v>
      </c>
      <c r="C1989" s="1" t="n">
        <v>5</v>
      </c>
      <c r="D1989" s="2" t="s">
        <v>267</v>
      </c>
      <c r="E1989" s="8" t="n">
        <v>44733</v>
      </c>
      <c r="F1989" s="2" t="s">
        <v>17</v>
      </c>
      <c r="G1989" s="7" t="str">
        <f aca="false">HYPERLINK("https://mncourtfraud.com/file/MCRO_27-CR-22-1664_Returned Mail_2022-06-21_20251126170019.pdf","MCRO_27-CR-22-1664_Returned Mail_2022-06-21_20251126170019.pdf")</f>
        <v>MCRO_27-CR-22-1664_Returned Mail_2022-06-21_20251126170019.pdf</v>
      </c>
      <c r="H1989" s="7" t="str">
        <f aca="false">HYPERLINK("https://mncourtfraud.com/file/fe2d6c692475bc193e5b9722fb33ea96f789a1d5cea47f8d8a16f6e4e5b271cf.jpg","fe2d6c692475bc193e5b9722fb33ea96f789a1d5cea47f8d8a16f6e4e5b271cf")</f>
        <v>fe2d6c692475bc193e5b9722fb33ea96f789a1d5cea47f8d8a16f6e4e5b271cf</v>
      </c>
      <c r="I1989" s="1" t="s">
        <v>3417</v>
      </c>
      <c r="L1989" s="2" t="s">
        <v>3419</v>
      </c>
      <c r="M1989" s="2" t="n">
        <v>302835</v>
      </c>
      <c r="S1989" s="2" t="n">
        <v>2550</v>
      </c>
      <c r="T1989" s="2" t="n">
        <v>3300</v>
      </c>
    </row>
    <row r="1990" customFormat="false" ht="18.7" hidden="false" customHeight="true" outlineLevel="0" collapsed="false">
      <c r="A1990" s="1" t="n">
        <v>1989</v>
      </c>
      <c r="B1990" s="7" t="str">
        <f aca="false">HYPERLINK("https://mncourtfraud.com/file/27-CR-22-1664.pdf","27-CR-22-1664")</f>
        <v>27-CR-22-1664</v>
      </c>
      <c r="C1990" s="1" t="n">
        <v>5</v>
      </c>
      <c r="D1990" s="2" t="s">
        <v>267</v>
      </c>
      <c r="E1990" s="8" t="n">
        <v>44733</v>
      </c>
      <c r="F1990" s="2" t="s">
        <v>17</v>
      </c>
      <c r="G1990" s="7" t="str">
        <f aca="false">HYPERLINK("https://mncourtfraud.com/file/MCRO_27-CR-22-1664_Returned Mail_2022-06-21_20251126170027.pdf","MCRO_27-CR-22-1664_Returned Mail_2022-06-21_20251126170027.pdf")</f>
        <v>MCRO_27-CR-22-1664_Returned Mail_2022-06-21_20251126170027.pdf</v>
      </c>
      <c r="H1990" s="7" t="str">
        <f aca="false">HYPERLINK("https://mncourtfraud.com/file/ff8775b01064a21565185a32606f60efefdcc81fdffe3af20b8a06d10439e897.jpg","ff8775b01064a21565185a32606f60efefdcc81fdffe3af20b8a06d10439e897")</f>
        <v>ff8775b01064a21565185a32606f60efefdcc81fdffe3af20b8a06d10439e897</v>
      </c>
      <c r="I1990" s="1" t="s">
        <v>3417</v>
      </c>
      <c r="L1990" s="2" t="s">
        <v>3419</v>
      </c>
      <c r="M1990" s="2" t="n">
        <v>191047</v>
      </c>
      <c r="S1990" s="2" t="n">
        <v>2550</v>
      </c>
      <c r="T1990" s="2" t="n">
        <v>3300</v>
      </c>
    </row>
    <row r="1991" customFormat="false" ht="18.7" hidden="false" customHeight="true" outlineLevel="0" collapsed="false">
      <c r="A1991" s="1" t="n">
        <v>1990</v>
      </c>
      <c r="B1991" s="7" t="str">
        <f aca="false">HYPERLINK("https://mncourtfraud.com/file/27-CR-22-1664.pdf","27-CR-22-1664")</f>
        <v>27-CR-22-1664</v>
      </c>
      <c r="C1991" s="1" t="n">
        <v>5</v>
      </c>
      <c r="D1991" s="2" t="s">
        <v>267</v>
      </c>
      <c r="E1991" s="8" t="n">
        <v>44837</v>
      </c>
      <c r="F1991" s="2" t="s">
        <v>17</v>
      </c>
      <c r="G1991" s="7" t="str">
        <f aca="false">HYPERLINK("https://mncourtfraud.com/file/MCRO_27-CR-22-1664_Returned Mail_2022-10-03_20251126165936.pdf","MCRO_27-CR-22-1664_Returned Mail_2022-10-03_20251126165936.pdf")</f>
        <v>MCRO_27-CR-22-1664_Returned Mail_2022-10-03_20251126165936.pdf</v>
      </c>
      <c r="H1991" s="7" t="str">
        <f aca="false">HYPERLINK("https://mncourtfraud.com/file/237d5516e0c716146a65e7b2daf746fb6188c66f833317ba27cb286332d42dea.jpg","237d5516e0c716146a65e7b2daf746fb6188c66f833317ba27cb286332d42dea")</f>
        <v>237d5516e0c716146a65e7b2daf746fb6188c66f833317ba27cb286332d42dea</v>
      </c>
      <c r="I1991" s="1" t="s">
        <v>3417</v>
      </c>
      <c r="L1991" s="2" t="s">
        <v>3419</v>
      </c>
      <c r="M1991" s="2" t="n">
        <v>318425</v>
      </c>
      <c r="S1991" s="2" t="n">
        <v>2550</v>
      </c>
      <c r="T1991" s="2" t="n">
        <v>3300</v>
      </c>
    </row>
    <row r="1992" customFormat="false" ht="18.7" hidden="false" customHeight="true" outlineLevel="0" collapsed="false">
      <c r="A1992" s="1" t="n">
        <v>1991</v>
      </c>
      <c r="B1992" s="7" t="str">
        <f aca="false">HYPERLINK("https://mncourtfraud.com/file/27-CR-22-1664.pdf","27-CR-22-1664")</f>
        <v>27-CR-22-1664</v>
      </c>
      <c r="C1992" s="1" t="n">
        <v>5</v>
      </c>
      <c r="D1992" s="2" t="s">
        <v>267</v>
      </c>
      <c r="E1992" s="8" t="n">
        <v>44837</v>
      </c>
      <c r="F1992" s="2" t="s">
        <v>17</v>
      </c>
      <c r="G1992" s="7" t="str">
        <f aca="false">HYPERLINK("https://mncourtfraud.com/file/MCRO_27-CR-22-1664_Returned Mail_2022-10-03_20251126165936.pdf","MCRO_27-CR-22-1664_Returned Mail_2022-10-03_20251126165936.pdf")</f>
        <v>MCRO_27-CR-22-1664_Returned Mail_2022-10-03_20251126165936.pdf</v>
      </c>
      <c r="H1992" s="7" t="str">
        <f aca="false">HYPERLINK("https://mncourtfraud.com/file/a5e5c392eb46244eb2f6cb58ac26cd8ceafb56d6f16b754ee26ba4f3c1b3b729.ttf","a5e5c392eb46244eb2f6cb58ac26cd8ceafb56d6f16b754ee26ba4f3c1b3b729")</f>
        <v>a5e5c392eb46244eb2f6cb58ac26cd8ceafb56d6f16b754ee26ba4f3c1b3b729</v>
      </c>
      <c r="I1992" s="1" t="s">
        <v>3413</v>
      </c>
      <c r="L1992" s="2" t="s">
        <v>3415</v>
      </c>
      <c r="M1992" s="2" t="n">
        <v>333584</v>
      </c>
    </row>
    <row r="1993" customFormat="false" ht="18.7" hidden="false" customHeight="true" outlineLevel="0" collapsed="false">
      <c r="A1993" s="1" t="n">
        <v>1992</v>
      </c>
      <c r="B1993" s="7" t="str">
        <f aca="false">HYPERLINK("https://mncourtfraud.com/file/27-CR-22-1664.pdf","27-CR-22-1664")</f>
        <v>27-CR-22-1664</v>
      </c>
      <c r="C1993" s="1" t="n">
        <v>5</v>
      </c>
      <c r="D1993" s="2" t="s">
        <v>267</v>
      </c>
      <c r="E1993" s="8" t="n">
        <v>44873</v>
      </c>
      <c r="F1993" s="2" t="s">
        <v>15</v>
      </c>
      <c r="G1993" s="7" t="str">
        <f aca="false">HYPERLINK("https://mncourtfraud.com/file/MCRO_27-CR-22-1664_Order-Evaluation for Competency to Proceed (Rule 20.01)_2022-11-08_20251126165858.pdf","MCRO_27-CR-22-1664_Order-Evaluation for Competency to Proceed (Rule 20.01)_2022-11-08_20251126165858.pdf")</f>
        <v>MCRO_27-CR-22-1664_Order-Evaluation for Competency to Proceed (Rule 20.01)_2022-11-08_20251126165858.pdf</v>
      </c>
      <c r="H1993" s="7" t="str">
        <f aca="false">HYPERLINK("https://mncourtfraud.com/file/082f387ba4835f1cae3d2529d7afa13cbb922baebe03519ee43d2c14358c2398.jpg","082f387ba4835f1cae3d2529d7afa13cbb922baebe03519ee43d2c14358c2398")</f>
        <v>082f387ba4835f1cae3d2529d7afa13cbb922baebe03519ee43d2c14358c2398</v>
      </c>
      <c r="I1993" s="1" t="s">
        <v>3417</v>
      </c>
      <c r="L1993" s="2" t="s">
        <v>3418</v>
      </c>
      <c r="M1993" s="2" t="n">
        <v>300734</v>
      </c>
      <c r="S1993" s="2" t="n">
        <v>1700</v>
      </c>
      <c r="T1993" s="2" t="n">
        <v>2200</v>
      </c>
    </row>
    <row r="1994" customFormat="false" ht="18.7" hidden="false" customHeight="true" outlineLevel="0" collapsed="false">
      <c r="A1994" s="1" t="n">
        <v>1993</v>
      </c>
      <c r="B1994" s="7" t="str">
        <f aca="false">HYPERLINK("https://mncourtfraud.com/file/27-CR-22-1664.pdf","27-CR-22-1664")</f>
        <v>27-CR-22-1664</v>
      </c>
      <c r="C1994" s="1" t="n">
        <v>5</v>
      </c>
      <c r="D1994" s="2" t="s">
        <v>267</v>
      </c>
      <c r="E1994" s="8" t="n">
        <v>44873</v>
      </c>
      <c r="F1994" s="2" t="s">
        <v>15</v>
      </c>
      <c r="G1994" s="7" t="str">
        <f aca="false">HYPERLINK("https://mncourtfraud.com/file/MCRO_27-CR-22-1664_Order-Evaluation for Competency to Proceed (Rule 20.01)_2022-11-08_20251126165858.pdf","MCRO_27-CR-22-1664_Order-Evaluation for Competency to Proceed (Rule 20.01)_2022-11-08_20251126165858.pdf")</f>
        <v>MCRO_27-CR-22-1664_Order-Evaluation for Competency to Proceed (Rule 20.01)_2022-11-08_20251126165858.pdf</v>
      </c>
      <c r="H1994" s="7" t="str">
        <f aca="false">HYPERLINK("https://mncourtfraud.com/file/5ec6a5633be2d5f7201fcc405ec826928f8ebd9d0f347fee056c3ff04cd3e3d7.ttf","5ec6a5633be2d5f7201fcc405ec826928f8ebd9d0f347fee056c3ff04cd3e3d7")</f>
        <v>5ec6a5633be2d5f7201fcc405ec826928f8ebd9d0f347fee056c3ff04cd3e3d7</v>
      </c>
      <c r="I1994" s="1" t="s">
        <v>3413</v>
      </c>
      <c r="L1994" s="2" t="s">
        <v>3415</v>
      </c>
      <c r="M1994" s="2" t="n">
        <v>333576</v>
      </c>
    </row>
    <row r="1995" customFormat="false" ht="18.7" hidden="false" customHeight="true" outlineLevel="0" collapsed="false">
      <c r="A1995" s="1" t="n">
        <v>1994</v>
      </c>
      <c r="B1995" s="7" t="str">
        <f aca="false">HYPERLINK("https://mncourtfraud.com/file/27-CR-22-1664.pdf","27-CR-22-1664")</f>
        <v>27-CR-22-1664</v>
      </c>
      <c r="C1995" s="1" t="n">
        <v>5</v>
      </c>
      <c r="D1995" s="2" t="s">
        <v>267</v>
      </c>
      <c r="E1995" s="8" t="n">
        <v>44873</v>
      </c>
      <c r="F1995" s="2" t="s">
        <v>15</v>
      </c>
      <c r="G1995" s="7" t="str">
        <f aca="false">HYPERLINK("https://mncourtfraud.com/file/MCRO_27-CR-22-1664_Order-Evaluation for Competency to Proceed (Rule 20.01)_2022-11-08_20251126165858.pdf","MCRO_27-CR-22-1664_Order-Evaluation for Competency to Proceed (Rule 20.01)_2022-11-08_20251126165858.pdf")</f>
        <v>MCRO_27-CR-22-1664_Order-Evaluation for Competency to Proceed (Rule 20.01)_2022-11-08_20251126165858.pdf</v>
      </c>
      <c r="H1995" s="7" t="str">
        <f aca="false">HYPERLINK("https://mncourtfraud.com/file/6efe5689334238d45a24a51d7cd932b18f0bce47806d862dbcc29a63132d5402.jpg","6efe5689334238d45a24a51d7cd932b18f0bce47806d862dbcc29a63132d5402")</f>
        <v>6efe5689334238d45a24a51d7cd932b18f0bce47806d862dbcc29a63132d5402</v>
      </c>
      <c r="I1995" s="1" t="s">
        <v>3417</v>
      </c>
      <c r="L1995" s="2" t="s">
        <v>3418</v>
      </c>
      <c r="M1995" s="2" t="n">
        <v>59609</v>
      </c>
      <c r="S1995" s="2" t="n">
        <v>1700</v>
      </c>
      <c r="T1995" s="2" t="n">
        <v>2200</v>
      </c>
    </row>
    <row r="1996" customFormat="false" ht="18.7" hidden="false" customHeight="true" outlineLevel="0" collapsed="false">
      <c r="A1996" s="1" t="n">
        <v>1995</v>
      </c>
      <c r="B1996" s="7" t="str">
        <f aca="false">HYPERLINK("https://mncourtfraud.com/file/27-CR-22-1664.pdf","27-CR-22-1664")</f>
        <v>27-CR-22-1664</v>
      </c>
      <c r="C1996" s="1" t="n">
        <v>5</v>
      </c>
      <c r="D1996" s="2" t="s">
        <v>267</v>
      </c>
      <c r="E1996" s="8" t="n">
        <v>44873</v>
      </c>
      <c r="F1996" s="2" t="s">
        <v>15</v>
      </c>
      <c r="G1996" s="7" t="str">
        <f aca="false">HYPERLINK("https://mncourtfraud.com/file/MCRO_27-CR-22-1664_Order-Evaluation for Competency to Proceed (Rule 20.01)_2022-11-08_20251126165858.pdf","MCRO_27-CR-22-1664_Order-Evaluation for Competency to Proceed (Rule 20.01)_2022-11-08_20251126165858.pdf")</f>
        <v>MCRO_27-CR-22-1664_Order-Evaluation for Competency to Proceed (Rule 20.01)_2022-11-08_20251126165858.pdf</v>
      </c>
      <c r="H1996" s="7" t="str">
        <f aca="false">HYPERLINK("https://mncourtfraud.com/file/fc4055f8addb8eece144843412a390d7992a7db6c5473e9a7648f1bd742f06a0.jpg","fc4055f8addb8eece144843412a390d7992a7db6c5473e9a7648f1bd742f06a0")</f>
        <v>fc4055f8addb8eece144843412a390d7992a7db6c5473e9a7648f1bd742f06a0</v>
      </c>
      <c r="I1996" s="1" t="s">
        <v>3417</v>
      </c>
      <c r="L1996" s="2" t="s">
        <v>3418</v>
      </c>
      <c r="M1996" s="2" t="n">
        <v>366016</v>
      </c>
      <c r="S1996" s="2" t="n">
        <v>1700</v>
      </c>
      <c r="T1996" s="2" t="n">
        <v>2200</v>
      </c>
    </row>
    <row r="1997" customFormat="false" ht="18.7" hidden="false" customHeight="true" outlineLevel="0" collapsed="false">
      <c r="A1997" s="1" t="n">
        <v>1996</v>
      </c>
      <c r="B1997" s="7" t="str">
        <f aca="false">HYPERLINK("https://mncourtfraud.com/file/27-CR-22-1664.pdf","27-CR-22-1664")</f>
        <v>27-CR-22-1664</v>
      </c>
      <c r="C1997" s="1" t="n">
        <v>5</v>
      </c>
      <c r="D1997" s="2" t="s">
        <v>267</v>
      </c>
      <c r="E1997" s="8" t="n">
        <v>45023</v>
      </c>
      <c r="F1997" s="2" t="s">
        <v>15</v>
      </c>
      <c r="G1997" s="7" t="str">
        <f aca="false">HYPERLINK("https://mncourtfraud.com/file/MCRO_27-CR-22-1664_Order-Evaluation for Competency to Proceed (Rule 20.01)_2023-04-07_20251126165909.pdf","MCRO_27-CR-22-1664_Order-Evaluation for Competency to Proceed (Rule 20.01)_2023-04-07_20251126165909.pdf")</f>
        <v>MCRO_27-CR-22-1664_Order-Evaluation for Competency to Proceed (Rule 20.01)_2023-04-07_20251126165909.pdf</v>
      </c>
      <c r="H1997" s="7" t="str">
        <f aca="false">HYPERLINK("https://mncourtfraud.com/file/079a057a83913cf927d19bc56f1fc3ad91d64d0748d2a26aeb452446f05481b9.jpg","079a057a83913cf927d19bc56f1fc3ad91d64d0748d2a26aeb452446f05481b9")</f>
        <v>079a057a83913cf927d19bc56f1fc3ad91d64d0748d2a26aeb452446f05481b9</v>
      </c>
      <c r="I1997" s="1" t="s">
        <v>3417</v>
      </c>
      <c r="L1997" s="2" t="s">
        <v>3418</v>
      </c>
      <c r="M1997" s="2" t="n">
        <v>646542</v>
      </c>
      <c r="S1997" s="2" t="n">
        <v>2550</v>
      </c>
      <c r="T1997" s="2" t="n">
        <v>3300</v>
      </c>
    </row>
    <row r="1998" customFormat="false" ht="18.7" hidden="false" customHeight="true" outlineLevel="0" collapsed="false">
      <c r="A1998" s="1" t="n">
        <v>1997</v>
      </c>
      <c r="B1998" s="7" t="str">
        <f aca="false">HYPERLINK("https://mncourtfraud.com/file/27-CR-22-1664.pdf","27-CR-22-1664")</f>
        <v>27-CR-22-1664</v>
      </c>
      <c r="C1998" s="1" t="n">
        <v>5</v>
      </c>
      <c r="D1998" s="2" t="s">
        <v>267</v>
      </c>
      <c r="E1998" s="8" t="n">
        <v>45023</v>
      </c>
      <c r="F1998" s="2" t="s">
        <v>15</v>
      </c>
      <c r="G1998" s="7" t="str">
        <f aca="false">HYPERLINK("https://mncourtfraud.com/file/MCRO_27-CR-22-1664_Order-Evaluation for Competency to Proceed (Rule 20.01)_2023-04-07_20251126165909.pdf","MCRO_27-CR-22-1664_Order-Evaluation for Competency to Proceed (Rule 20.01)_2023-04-07_20251126165909.pdf")</f>
        <v>MCRO_27-CR-22-1664_Order-Evaluation for Competency to Proceed (Rule 20.01)_2023-04-07_20251126165909.pdf</v>
      </c>
      <c r="H1998" s="7" t="str">
        <f aca="false">HYPERLINK("https://mncourtfraud.com/file/3e3837b2fa97e30035981a8733801867dcc295500b5e307d762dcfce9e27b295.jpg","3e3837b2fa97e30035981a8733801867dcc295500b5e307d762dcfce9e27b295")</f>
        <v>3e3837b2fa97e30035981a8733801867dcc295500b5e307d762dcfce9e27b295</v>
      </c>
      <c r="I1998" s="1" t="s">
        <v>3417</v>
      </c>
      <c r="L1998" s="2" t="s">
        <v>3418</v>
      </c>
      <c r="M1998" s="2" t="n">
        <v>517205</v>
      </c>
      <c r="S1998" s="2" t="n">
        <v>2550</v>
      </c>
      <c r="T1998" s="2" t="n">
        <v>3300</v>
      </c>
    </row>
    <row r="1999" customFormat="false" ht="18.7" hidden="false" customHeight="true" outlineLevel="0" collapsed="false">
      <c r="A1999" s="1" t="n">
        <v>1998</v>
      </c>
      <c r="B1999" s="7" t="str">
        <f aca="false">HYPERLINK("https://mncourtfraud.com/file/27-CR-22-1664.pdf","27-CR-22-1664")</f>
        <v>27-CR-22-1664</v>
      </c>
      <c r="C1999" s="1" t="n">
        <v>5</v>
      </c>
      <c r="D1999" s="2" t="s">
        <v>267</v>
      </c>
      <c r="E1999" s="8" t="n">
        <v>45023</v>
      </c>
      <c r="F1999" s="2" t="s">
        <v>15</v>
      </c>
      <c r="G1999" s="7" t="str">
        <f aca="false">HYPERLINK("https://mncourtfraud.com/file/MCRO_27-CR-22-1664_Order-Evaluation for Competency to Proceed (Rule 20.01)_2023-04-07_20251126165909.pdf","MCRO_27-CR-22-1664_Order-Evaluation for Competency to Proceed (Rule 20.01)_2023-04-07_20251126165909.pdf")</f>
        <v>MCRO_27-CR-22-1664_Order-Evaluation for Competency to Proceed (Rule 20.01)_2023-04-07_20251126165909.pdf</v>
      </c>
      <c r="H1999" s="7" t="str">
        <f aca="false">HYPERLINK("https://mncourtfraud.com/file/5c7fa6464432dd02ceca13d400906bbc6adb03c5deaedc74167b6b0cc65fb552.ttf","5c7fa6464432dd02ceca13d400906bbc6adb03c5deaedc74167b6b0cc65fb552")</f>
        <v>5c7fa6464432dd02ceca13d400906bbc6adb03c5deaedc74167b6b0cc65fb552</v>
      </c>
      <c r="I1999" s="1" t="s">
        <v>3413</v>
      </c>
      <c r="L1999" s="2" t="s">
        <v>3415</v>
      </c>
      <c r="M1999" s="2" t="n">
        <v>333576</v>
      </c>
    </row>
    <row r="2000" customFormat="false" ht="18.7" hidden="false" customHeight="true" outlineLevel="0" collapsed="false">
      <c r="A2000" s="1" t="n">
        <v>1999</v>
      </c>
      <c r="B2000" s="7" t="str">
        <f aca="false">HYPERLINK("https://mncourtfraud.com/file/27-CR-22-1664.pdf","27-CR-22-1664")</f>
        <v>27-CR-22-1664</v>
      </c>
      <c r="C2000" s="1" t="n">
        <v>5</v>
      </c>
      <c r="D2000" s="2" t="s">
        <v>267</v>
      </c>
      <c r="E2000" s="8" t="n">
        <v>45194</v>
      </c>
      <c r="F2000" s="2" t="s">
        <v>15</v>
      </c>
      <c r="G2000" s="7" t="str">
        <f aca="false">HYPERLINK("https://mncourtfraud.com/file/MCRO_27-CR-22-1664_Order-Evaluation for Competency to Proceed (Rule 20.01)_2023-09-25_20251126165920.pdf","MCRO_27-CR-22-1664_Order-Evaluation for Competency to Proceed (Rule 20.01)_2023-09-25_20251126165920.pdf")</f>
        <v>MCRO_27-CR-22-1664_Order-Evaluation for Competency to Proceed (Rule 20.01)_2023-09-25_20251126165920.pdf</v>
      </c>
      <c r="H2000" s="7" t="str">
        <f aca="false">HYPERLINK("https://mncourtfraud.com/file/4c385f7ae8b1b78bc4ac3302e35eeaeb47e175305fd776c018ad0582a082d2f1.png","4c385f7ae8b1b78bc4ac3302e35eeaeb47e175305fd776c018ad0582a082d2f1")</f>
        <v>4c385f7ae8b1b78bc4ac3302e35eeaeb47e175305fd776c018ad0582a082d2f1</v>
      </c>
      <c r="I2000" s="1" t="s">
        <v>3406</v>
      </c>
      <c r="L2000" s="2" t="s">
        <v>3412</v>
      </c>
      <c r="M2000" s="2" t="n">
        <v>162309</v>
      </c>
      <c r="S2000" s="2" t="n">
        <v>2560</v>
      </c>
      <c r="T2000" s="2" t="n">
        <v>3300</v>
      </c>
    </row>
    <row r="2001" customFormat="false" ht="18.7" hidden="false" customHeight="true" outlineLevel="0" collapsed="false">
      <c r="A2001" s="1" t="n">
        <v>2000</v>
      </c>
      <c r="B2001" s="7" t="str">
        <f aca="false">HYPERLINK("https://mncourtfraud.com/file/27-CR-22-1664.pdf","27-CR-22-1664")</f>
        <v>27-CR-22-1664</v>
      </c>
      <c r="C2001" s="1" t="n">
        <v>5</v>
      </c>
      <c r="D2001" s="2" t="s">
        <v>267</v>
      </c>
      <c r="E2001" s="8" t="n">
        <v>45194</v>
      </c>
      <c r="F2001" s="2" t="s">
        <v>15</v>
      </c>
      <c r="G2001" s="7" t="str">
        <f aca="false">HYPERLINK("https://mncourtfraud.com/file/MCRO_27-CR-22-1664_Order-Evaluation for Competency to Proceed (Rule 20.01)_2023-09-25_20251126165920.pdf","MCRO_27-CR-22-1664_Order-Evaluation for Competency to Proceed (Rule 20.01)_2023-09-25_20251126165920.pdf")</f>
        <v>MCRO_27-CR-22-1664_Order-Evaluation for Competency to Proceed (Rule 20.01)_2023-09-25_20251126165920.pdf</v>
      </c>
      <c r="H2001" s="7" t="str">
        <f aca="false">HYPERLINK("https://mncourtfraud.com/file/9f61d1c86b92a1cfe4c2425ebe7c20689b4132fc43316fa8ae4829c07f8dccd6.ttf","9f61d1c86b92a1cfe4c2425ebe7c20689b4132fc43316fa8ae4829c07f8dccd6")</f>
        <v>9f61d1c86b92a1cfe4c2425ebe7c20689b4132fc43316fa8ae4829c07f8dccd6</v>
      </c>
      <c r="I2001" s="1" t="s">
        <v>3413</v>
      </c>
      <c r="L2001" s="2" t="s">
        <v>3415</v>
      </c>
      <c r="M2001" s="2" t="n">
        <v>333576</v>
      </c>
    </row>
    <row r="2002" customFormat="false" ht="18.7" hidden="false" customHeight="true" outlineLevel="0" collapsed="false">
      <c r="A2002" s="1" t="n">
        <v>2001</v>
      </c>
      <c r="B2002" s="7" t="str">
        <f aca="false">HYPERLINK("https://mncourtfraud.com/file/27-CR-22-1664.pdf","27-CR-22-1664")</f>
        <v>27-CR-22-1664</v>
      </c>
      <c r="C2002" s="1" t="n">
        <v>5</v>
      </c>
      <c r="D2002" s="2" t="s">
        <v>267</v>
      </c>
      <c r="E2002" s="8" t="n">
        <v>45194</v>
      </c>
      <c r="F2002" s="2" t="s">
        <v>15</v>
      </c>
      <c r="G2002" s="7" t="str">
        <f aca="false">HYPERLINK("https://mncourtfraud.com/file/MCRO_27-CR-22-1664_Order-Evaluation for Competency to Proceed (Rule 20.01)_2023-09-25_20251126165920.pdf","MCRO_27-CR-22-1664_Order-Evaluation for Competency to Proceed (Rule 20.01)_2023-09-25_20251126165920.pdf")</f>
        <v>MCRO_27-CR-22-1664_Order-Evaluation for Competency to Proceed (Rule 20.01)_2023-09-25_20251126165920.pdf</v>
      </c>
      <c r="H2002" s="7" t="str">
        <f aca="false">HYPERLINK("https://mncourtfraud.com/file/e8ec090484db08b3be9daaa10e2fef35a99135ae0a2f234de7613cfacc2f6cac.png","e8ec090484db08b3be9daaa10e2fef35a99135ae0a2f234de7613cfacc2f6cac")</f>
        <v>e8ec090484db08b3be9daaa10e2fef35a99135ae0a2f234de7613cfacc2f6cac</v>
      </c>
      <c r="I2002" s="1" t="s">
        <v>3406</v>
      </c>
      <c r="L2002" s="2" t="s">
        <v>3412</v>
      </c>
      <c r="M2002" s="2" t="n">
        <v>133015</v>
      </c>
      <c r="S2002" s="2" t="n">
        <v>2560</v>
      </c>
      <c r="T2002" s="2" t="n">
        <v>3300</v>
      </c>
    </row>
    <row r="2003" customFormat="false" ht="18.7" hidden="false" customHeight="true" outlineLevel="0" collapsed="false">
      <c r="A2003" s="1" t="n">
        <v>2002</v>
      </c>
      <c r="B2003" s="7" t="str">
        <f aca="false">HYPERLINK("https://mncourtfraud.com/file/27-CR-22-18472.pdf","27-CR-22-18472")</f>
        <v>27-CR-22-18472</v>
      </c>
      <c r="C2003" s="1" t="n">
        <v>5</v>
      </c>
      <c r="D2003" s="2" t="s">
        <v>267</v>
      </c>
      <c r="E2003" s="8" t="n">
        <v>44873</v>
      </c>
      <c r="F2003" s="2" t="s">
        <v>15</v>
      </c>
      <c r="G2003" s="7" t="str">
        <f aca="false">HYPERLINK("https://mncourtfraud.com/file/MCRO_27-CR-22-18472_Order-Evaluation for Competency to Proceed (Rule 20.01)_2022-11-08_20251126170119.pdf","MCRO_27-CR-22-18472_Order-Evaluation for Competency to Proceed (Rule 20.01)_2022-11-08_20251126170119.pdf")</f>
        <v>MCRO_27-CR-22-18472_Order-Evaluation for Competency to Proceed (Rule 20.01)_2022-11-08_20251126170119.pdf</v>
      </c>
      <c r="H2003" s="7" t="str">
        <f aca="false">HYPERLINK("https://mncourtfraud.com/file/082f387ba4835f1cae3d2529d7afa13cbb922baebe03519ee43d2c14358c2398.jpg","082f387ba4835f1cae3d2529d7afa13cbb922baebe03519ee43d2c14358c2398")</f>
        <v>082f387ba4835f1cae3d2529d7afa13cbb922baebe03519ee43d2c14358c2398</v>
      </c>
      <c r="I2003" s="1" t="s">
        <v>3417</v>
      </c>
      <c r="L2003" s="2" t="s">
        <v>3418</v>
      </c>
      <c r="M2003" s="2" t="n">
        <v>300734</v>
      </c>
      <c r="S2003" s="2" t="n">
        <v>1700</v>
      </c>
      <c r="T2003" s="2" t="n">
        <v>2200</v>
      </c>
    </row>
    <row r="2004" customFormat="false" ht="18.7" hidden="false" customHeight="true" outlineLevel="0" collapsed="false">
      <c r="A2004" s="1" t="n">
        <v>2003</v>
      </c>
      <c r="B2004" s="7" t="str">
        <f aca="false">HYPERLINK("https://mncourtfraud.com/file/27-CR-22-18472.pdf","27-CR-22-18472")</f>
        <v>27-CR-22-18472</v>
      </c>
      <c r="C2004" s="1" t="n">
        <v>5</v>
      </c>
      <c r="D2004" s="2" t="s">
        <v>267</v>
      </c>
      <c r="E2004" s="8" t="n">
        <v>44873</v>
      </c>
      <c r="F2004" s="2" t="s">
        <v>15</v>
      </c>
      <c r="G2004" s="7" t="str">
        <f aca="false">HYPERLINK("https://mncourtfraud.com/file/MCRO_27-CR-22-18472_Order-Evaluation for Competency to Proceed (Rule 20.01)_2022-11-08_20251126170119.pdf","MCRO_27-CR-22-18472_Order-Evaluation for Competency to Proceed (Rule 20.01)_2022-11-08_20251126170119.pdf")</f>
        <v>MCRO_27-CR-22-18472_Order-Evaluation for Competency to Proceed (Rule 20.01)_2022-11-08_20251126170119.pdf</v>
      </c>
      <c r="H2004" s="7" t="str">
        <f aca="false">HYPERLINK("https://mncourtfraud.com/file/5ec6a5633be2d5f7201fcc405ec826928f8ebd9d0f347fee056c3ff04cd3e3d7.ttf","5ec6a5633be2d5f7201fcc405ec826928f8ebd9d0f347fee056c3ff04cd3e3d7")</f>
        <v>5ec6a5633be2d5f7201fcc405ec826928f8ebd9d0f347fee056c3ff04cd3e3d7</v>
      </c>
      <c r="I2004" s="1" t="s">
        <v>3413</v>
      </c>
      <c r="L2004" s="2" t="s">
        <v>3415</v>
      </c>
      <c r="M2004" s="2" t="n">
        <v>333576</v>
      </c>
    </row>
    <row r="2005" customFormat="false" ht="18.7" hidden="false" customHeight="true" outlineLevel="0" collapsed="false">
      <c r="A2005" s="1" t="n">
        <v>2004</v>
      </c>
      <c r="B2005" s="7" t="str">
        <f aca="false">HYPERLINK("https://mncourtfraud.com/file/27-CR-22-18472.pdf","27-CR-22-18472")</f>
        <v>27-CR-22-18472</v>
      </c>
      <c r="C2005" s="1" t="n">
        <v>5</v>
      </c>
      <c r="D2005" s="2" t="s">
        <v>267</v>
      </c>
      <c r="E2005" s="8" t="n">
        <v>44873</v>
      </c>
      <c r="F2005" s="2" t="s">
        <v>15</v>
      </c>
      <c r="G2005" s="7" t="str">
        <f aca="false">HYPERLINK("https://mncourtfraud.com/file/MCRO_27-CR-22-18472_Order-Evaluation for Competency to Proceed (Rule 20.01)_2022-11-08_20251126170119.pdf","MCRO_27-CR-22-18472_Order-Evaluation for Competency to Proceed (Rule 20.01)_2022-11-08_20251126170119.pdf")</f>
        <v>MCRO_27-CR-22-18472_Order-Evaluation for Competency to Proceed (Rule 20.01)_2022-11-08_20251126170119.pdf</v>
      </c>
      <c r="H2005" s="7" t="str">
        <f aca="false">HYPERLINK("https://mncourtfraud.com/file/6efe5689334238d45a24a51d7cd932b18f0bce47806d862dbcc29a63132d5402.jpg","6efe5689334238d45a24a51d7cd932b18f0bce47806d862dbcc29a63132d5402")</f>
        <v>6efe5689334238d45a24a51d7cd932b18f0bce47806d862dbcc29a63132d5402</v>
      </c>
      <c r="I2005" s="1" t="s">
        <v>3417</v>
      </c>
      <c r="L2005" s="2" t="s">
        <v>3418</v>
      </c>
      <c r="M2005" s="2" t="n">
        <v>59609</v>
      </c>
      <c r="S2005" s="2" t="n">
        <v>1700</v>
      </c>
      <c r="T2005" s="2" t="n">
        <v>2200</v>
      </c>
    </row>
    <row r="2006" customFormat="false" ht="18.7" hidden="false" customHeight="true" outlineLevel="0" collapsed="false">
      <c r="A2006" s="1" t="n">
        <v>2005</v>
      </c>
      <c r="B2006" s="7" t="str">
        <f aca="false">HYPERLINK("https://mncourtfraud.com/file/27-CR-22-18472.pdf","27-CR-22-18472")</f>
        <v>27-CR-22-18472</v>
      </c>
      <c r="C2006" s="1" t="n">
        <v>5</v>
      </c>
      <c r="D2006" s="2" t="s">
        <v>267</v>
      </c>
      <c r="E2006" s="8" t="n">
        <v>44873</v>
      </c>
      <c r="F2006" s="2" t="s">
        <v>15</v>
      </c>
      <c r="G2006" s="7" t="str">
        <f aca="false">HYPERLINK("https://mncourtfraud.com/file/MCRO_27-CR-22-18472_Order-Evaluation for Competency to Proceed (Rule 20.01)_2022-11-08_20251126170119.pdf","MCRO_27-CR-22-18472_Order-Evaluation for Competency to Proceed (Rule 20.01)_2022-11-08_20251126170119.pdf")</f>
        <v>MCRO_27-CR-22-18472_Order-Evaluation for Competency to Proceed (Rule 20.01)_2022-11-08_20251126170119.pdf</v>
      </c>
      <c r="H2006" s="7" t="str">
        <f aca="false">HYPERLINK("https://mncourtfraud.com/file/fc4055f8addb8eece144843412a390d7992a7db6c5473e9a7648f1bd742f06a0.jpg","fc4055f8addb8eece144843412a390d7992a7db6c5473e9a7648f1bd742f06a0")</f>
        <v>fc4055f8addb8eece144843412a390d7992a7db6c5473e9a7648f1bd742f06a0</v>
      </c>
      <c r="I2006" s="1" t="s">
        <v>3417</v>
      </c>
      <c r="L2006" s="2" t="s">
        <v>3418</v>
      </c>
      <c r="M2006" s="2" t="n">
        <v>366016</v>
      </c>
      <c r="S2006" s="2" t="n">
        <v>1700</v>
      </c>
      <c r="T2006" s="2" t="n">
        <v>2200</v>
      </c>
    </row>
    <row r="2007" customFormat="false" ht="18.7" hidden="false" customHeight="true" outlineLevel="0" collapsed="false">
      <c r="A2007" s="1" t="n">
        <v>2006</v>
      </c>
      <c r="B2007" s="7" t="str">
        <f aca="false">HYPERLINK("https://mncourtfraud.com/file/27-CR-22-18472.pdf","27-CR-22-18472")</f>
        <v>27-CR-22-18472</v>
      </c>
      <c r="C2007" s="1" t="n">
        <v>5</v>
      </c>
      <c r="D2007" s="2" t="s">
        <v>267</v>
      </c>
      <c r="E2007" s="8" t="n">
        <v>45023</v>
      </c>
      <c r="F2007" s="2" t="s">
        <v>15</v>
      </c>
      <c r="G2007" s="7" t="str">
        <f aca="false">HYPERLINK("https://mncourtfraud.com/file/MCRO_27-CR-22-18472_Order-Evaluation for Competency to Proceed (Rule 20.01)_2023-04-07_20251126170128.pdf","MCRO_27-CR-22-18472_Order-Evaluation for Competency to Proceed (Rule 20.01)_2023-04-07_20251126170128.pdf")</f>
        <v>MCRO_27-CR-22-18472_Order-Evaluation for Competency to Proceed (Rule 20.01)_2023-04-07_20251126170128.pdf</v>
      </c>
      <c r="H2007" s="7" t="str">
        <f aca="false">HYPERLINK("https://mncourtfraud.com/file/c5b55606fca619e8abe6c393678d30476dcfc86bbd260a4266663c77b270d525.ttf","c5b55606fca619e8abe6c393678d30476dcfc86bbd260a4266663c77b270d525")</f>
        <v>c5b55606fca619e8abe6c393678d30476dcfc86bbd260a4266663c77b270d525</v>
      </c>
      <c r="I2007" s="1" t="s">
        <v>3413</v>
      </c>
      <c r="L2007" s="2" t="s">
        <v>3415</v>
      </c>
      <c r="M2007" s="2" t="n">
        <v>8688</v>
      </c>
    </row>
    <row r="2008" customFormat="false" ht="18.7" hidden="false" customHeight="true" outlineLevel="0" collapsed="false">
      <c r="A2008" s="1" t="n">
        <v>2007</v>
      </c>
      <c r="B2008" s="7" t="str">
        <f aca="false">HYPERLINK("https://mncourtfraud.com/file/27-CR-22-18472.pdf","27-CR-22-18472")</f>
        <v>27-CR-22-18472</v>
      </c>
      <c r="C2008" s="1" t="n">
        <v>5</v>
      </c>
      <c r="D2008" s="2" t="s">
        <v>267</v>
      </c>
      <c r="E2008" s="8" t="n">
        <v>45023</v>
      </c>
      <c r="F2008" s="2" t="s">
        <v>15</v>
      </c>
      <c r="G2008" s="7" t="str">
        <f aca="false">HYPERLINK("https://mncourtfraud.com/file/MCRO_27-CR-22-18472_Order-Evaluation for Competency to Proceed (Rule 20.01)_2023-04-07_20251126170128.pdf","MCRO_27-CR-22-18472_Order-Evaluation for Competency to Proceed (Rule 20.01)_2023-04-07_20251126170128.pdf")</f>
        <v>MCRO_27-CR-22-18472_Order-Evaluation for Competency to Proceed (Rule 20.01)_2023-04-07_20251126170128.pdf</v>
      </c>
      <c r="H2008" s="7" t="str">
        <f aca="false">HYPERLINK("https://mncourtfraud.com/file/ca70aec95cd5d16eabfa46d1d4c347f5da7a26696ecb3218b904eed7a14ad339.jpg","ca70aec95cd5d16eabfa46d1d4c347f5da7a26696ecb3218b904eed7a14ad339")</f>
        <v>ca70aec95cd5d16eabfa46d1d4c347f5da7a26696ecb3218b904eed7a14ad339</v>
      </c>
      <c r="I2008" s="1" t="s">
        <v>3417</v>
      </c>
      <c r="L2008" s="2" t="s">
        <v>3418</v>
      </c>
      <c r="M2008" s="2" t="n">
        <v>634010</v>
      </c>
      <c r="S2008" s="2" t="n">
        <v>2550</v>
      </c>
      <c r="T2008" s="2" t="n">
        <v>3300</v>
      </c>
    </row>
    <row r="2009" customFormat="false" ht="18.7" hidden="false" customHeight="true" outlineLevel="0" collapsed="false">
      <c r="A2009" s="1" t="n">
        <v>2008</v>
      </c>
      <c r="B2009" s="7" t="str">
        <f aca="false">HYPERLINK("https://mncourtfraud.com/file/27-CR-22-18472.pdf","27-CR-22-18472")</f>
        <v>27-CR-22-18472</v>
      </c>
      <c r="C2009" s="1" t="n">
        <v>5</v>
      </c>
      <c r="D2009" s="2" t="s">
        <v>267</v>
      </c>
      <c r="E2009" s="8" t="n">
        <v>45023</v>
      </c>
      <c r="F2009" s="2" t="s">
        <v>15</v>
      </c>
      <c r="G2009" s="7" t="str">
        <f aca="false">HYPERLINK("https://mncourtfraud.com/file/MCRO_27-CR-22-18472_Order-Evaluation for Competency to Proceed (Rule 20.01)_2023-04-07_20251126170128.pdf","MCRO_27-CR-22-18472_Order-Evaluation for Competency to Proceed (Rule 20.01)_2023-04-07_20251126170128.pdf")</f>
        <v>MCRO_27-CR-22-18472_Order-Evaluation for Competency to Proceed (Rule 20.01)_2023-04-07_20251126170128.pdf</v>
      </c>
      <c r="H2009" s="7" t="str">
        <f aca="false">HYPERLINK("https://mncourtfraud.com/file/ecc3779a4f383beed0e42250f85036453572aa5a00e6511d2a84c19a8d5b300c.jpg","ecc3779a4f383beed0e42250f85036453572aa5a00e6511d2a84c19a8d5b300c")</f>
        <v>ecc3779a4f383beed0e42250f85036453572aa5a00e6511d2a84c19a8d5b300c</v>
      </c>
      <c r="I2009" s="1" t="s">
        <v>3417</v>
      </c>
      <c r="L2009" s="2" t="s">
        <v>3418</v>
      </c>
      <c r="M2009" s="2" t="n">
        <v>516173</v>
      </c>
      <c r="S2009" s="2" t="n">
        <v>2550</v>
      </c>
      <c r="T2009" s="2" t="n">
        <v>3300</v>
      </c>
    </row>
    <row r="2010" customFormat="false" ht="18.7" hidden="false" customHeight="true" outlineLevel="0" collapsed="false">
      <c r="A2010" s="1" t="n">
        <v>2009</v>
      </c>
      <c r="B2010" s="7" t="str">
        <f aca="false">HYPERLINK("https://mncourtfraud.com/file/27-CR-22-18472.pdf","27-CR-22-18472")</f>
        <v>27-CR-22-18472</v>
      </c>
      <c r="C2010" s="1" t="n">
        <v>5</v>
      </c>
      <c r="D2010" s="2" t="s">
        <v>267</v>
      </c>
      <c r="E2010" s="8" t="n">
        <v>45194</v>
      </c>
      <c r="F2010" s="2" t="s">
        <v>15</v>
      </c>
      <c r="G2010" s="7" t="str">
        <f aca="false">HYPERLINK("https://mncourtfraud.com/file/MCRO_27-CR-22-18472_Order-Evaluation for Competency to Proceed (Rule 20.01)_2023-09-25_20251126170110.pdf","MCRO_27-CR-22-18472_Order-Evaluation for Competency to Proceed (Rule 20.01)_2023-09-25_20251126170110.pdf")</f>
        <v>MCRO_27-CR-22-18472_Order-Evaluation for Competency to Proceed (Rule 20.01)_2023-09-25_20251126170110.pdf</v>
      </c>
      <c r="H2010" s="7" t="str">
        <f aca="false">HYPERLINK("https://mncourtfraud.com/file/4c385f7ae8b1b78bc4ac3302e35eeaeb47e175305fd776c018ad0582a082d2f1.png","4c385f7ae8b1b78bc4ac3302e35eeaeb47e175305fd776c018ad0582a082d2f1")</f>
        <v>4c385f7ae8b1b78bc4ac3302e35eeaeb47e175305fd776c018ad0582a082d2f1</v>
      </c>
      <c r="I2010" s="1" t="s">
        <v>3406</v>
      </c>
      <c r="L2010" s="2" t="s">
        <v>3412</v>
      </c>
      <c r="M2010" s="2" t="n">
        <v>162309</v>
      </c>
      <c r="S2010" s="2" t="n">
        <v>2560</v>
      </c>
      <c r="T2010" s="2" t="n">
        <v>3300</v>
      </c>
    </row>
    <row r="2011" customFormat="false" ht="18.7" hidden="false" customHeight="true" outlineLevel="0" collapsed="false">
      <c r="A2011" s="1" t="n">
        <v>2010</v>
      </c>
      <c r="B2011" s="7" t="str">
        <f aca="false">HYPERLINK("https://mncourtfraud.com/file/27-CR-22-18472.pdf","27-CR-22-18472")</f>
        <v>27-CR-22-18472</v>
      </c>
      <c r="C2011" s="1" t="n">
        <v>5</v>
      </c>
      <c r="D2011" s="2" t="s">
        <v>267</v>
      </c>
      <c r="E2011" s="8" t="n">
        <v>45194</v>
      </c>
      <c r="F2011" s="2" t="s">
        <v>15</v>
      </c>
      <c r="G2011" s="7" t="str">
        <f aca="false">HYPERLINK("https://mncourtfraud.com/file/MCRO_27-CR-22-18472_Order-Evaluation for Competency to Proceed (Rule 20.01)_2023-09-25_20251126170110.pdf","MCRO_27-CR-22-18472_Order-Evaluation for Competency to Proceed (Rule 20.01)_2023-09-25_20251126170110.pdf")</f>
        <v>MCRO_27-CR-22-18472_Order-Evaluation for Competency to Proceed (Rule 20.01)_2023-09-25_20251126170110.pdf</v>
      </c>
      <c r="H2011" s="7" t="str">
        <f aca="false">HYPERLINK("https://mncourtfraud.com/file/9f61d1c86b92a1cfe4c2425ebe7c20689b4132fc43316fa8ae4829c07f8dccd6.ttf","9f61d1c86b92a1cfe4c2425ebe7c20689b4132fc43316fa8ae4829c07f8dccd6")</f>
        <v>9f61d1c86b92a1cfe4c2425ebe7c20689b4132fc43316fa8ae4829c07f8dccd6</v>
      </c>
      <c r="I2011" s="1" t="s">
        <v>3413</v>
      </c>
      <c r="L2011" s="2" t="s">
        <v>3415</v>
      </c>
      <c r="M2011" s="2" t="n">
        <v>333576</v>
      </c>
    </row>
    <row r="2012" customFormat="false" ht="18.7" hidden="false" customHeight="true" outlineLevel="0" collapsed="false">
      <c r="A2012" s="1" t="n">
        <v>2011</v>
      </c>
      <c r="B2012" s="7" t="str">
        <f aca="false">HYPERLINK("https://mncourtfraud.com/file/27-CR-22-18472.pdf","27-CR-22-18472")</f>
        <v>27-CR-22-18472</v>
      </c>
      <c r="C2012" s="1" t="n">
        <v>5</v>
      </c>
      <c r="D2012" s="2" t="s">
        <v>267</v>
      </c>
      <c r="E2012" s="8" t="n">
        <v>45194</v>
      </c>
      <c r="F2012" s="2" t="s">
        <v>15</v>
      </c>
      <c r="G2012" s="7" t="str">
        <f aca="false">HYPERLINK("https://mncourtfraud.com/file/MCRO_27-CR-22-18472_Order-Evaluation for Competency to Proceed (Rule 20.01)_2023-09-25_20251126170110.pdf","MCRO_27-CR-22-18472_Order-Evaluation for Competency to Proceed (Rule 20.01)_2023-09-25_20251126170110.pdf")</f>
        <v>MCRO_27-CR-22-18472_Order-Evaluation for Competency to Proceed (Rule 20.01)_2023-09-25_20251126170110.pdf</v>
      </c>
      <c r="H2012" s="7" t="str">
        <f aca="false">HYPERLINK("https://mncourtfraud.com/file/e8ec090484db08b3be9daaa10e2fef35a99135ae0a2f234de7613cfacc2f6cac.png","e8ec090484db08b3be9daaa10e2fef35a99135ae0a2f234de7613cfacc2f6cac")</f>
        <v>e8ec090484db08b3be9daaa10e2fef35a99135ae0a2f234de7613cfacc2f6cac</v>
      </c>
      <c r="I2012" s="1" t="s">
        <v>3406</v>
      </c>
      <c r="L2012" s="2" t="s">
        <v>3412</v>
      </c>
      <c r="M2012" s="2" t="n">
        <v>133015</v>
      </c>
      <c r="S2012" s="2" t="n">
        <v>2560</v>
      </c>
      <c r="T2012" s="2" t="n">
        <v>3300</v>
      </c>
    </row>
    <row r="2013" customFormat="false" ht="18.7" hidden="false" customHeight="true" outlineLevel="0" collapsed="false">
      <c r="A2013" s="1" t="n">
        <v>2012</v>
      </c>
      <c r="B2013" s="7" t="str">
        <f aca="false">HYPERLINK("https://mncourtfraud.com/file/27-CR-22-2444.pdf","27-CR-22-2444")</f>
        <v>27-CR-22-2444</v>
      </c>
      <c r="C2013" s="1" t="n">
        <v>5</v>
      </c>
      <c r="D2013" s="2" t="s">
        <v>267</v>
      </c>
      <c r="E2013" s="8" t="n">
        <v>44733</v>
      </c>
      <c r="F2013" s="2" t="s">
        <v>17</v>
      </c>
      <c r="G2013" s="7" t="str">
        <f aca="false">HYPERLINK("https://mncourtfraud.com/file/MCRO_27-CR-22-2444_Returned Mail_2022-06-21_20251126170235.pdf","MCRO_27-CR-22-2444_Returned Mail_2022-06-21_20251126170235.pdf")</f>
        <v>MCRO_27-CR-22-2444_Returned Mail_2022-06-21_20251126170235.pdf</v>
      </c>
      <c r="H2013" s="7" t="str">
        <f aca="false">HYPERLINK("https://mncourtfraud.com/file/a9900bc320d6f8f8e6faf6cb6a19d94fb75f155c51567cbc0c3ade5f0be1cf36.ttf","a9900bc320d6f8f8e6faf6cb6a19d94fb75f155c51567cbc0c3ade5f0be1cf36")</f>
        <v>a9900bc320d6f8f8e6faf6cb6a19d94fb75f155c51567cbc0c3ade5f0be1cf36</v>
      </c>
      <c r="I2013" s="1" t="s">
        <v>3413</v>
      </c>
      <c r="L2013" s="2" t="s">
        <v>3415</v>
      </c>
      <c r="M2013" s="2" t="n">
        <v>333584</v>
      </c>
    </row>
    <row r="2014" customFormat="false" ht="18.7" hidden="false" customHeight="true" outlineLevel="0" collapsed="false">
      <c r="A2014" s="1" t="n">
        <v>2013</v>
      </c>
      <c r="B2014" s="7" t="str">
        <f aca="false">HYPERLINK("https://mncourtfraud.com/file/27-CR-22-2444.pdf","27-CR-22-2444")</f>
        <v>27-CR-22-2444</v>
      </c>
      <c r="C2014" s="1" t="n">
        <v>5</v>
      </c>
      <c r="D2014" s="2" t="s">
        <v>267</v>
      </c>
      <c r="E2014" s="8" t="n">
        <v>44733</v>
      </c>
      <c r="F2014" s="2" t="s">
        <v>17</v>
      </c>
      <c r="G2014" s="7" t="str">
        <f aca="false">HYPERLINK("https://mncourtfraud.com/file/MCRO_27-CR-22-2444_Returned Mail_2022-06-21_20251126170235.pdf","MCRO_27-CR-22-2444_Returned Mail_2022-06-21_20251126170235.pdf")</f>
        <v>MCRO_27-CR-22-2444_Returned Mail_2022-06-21_20251126170235.pdf</v>
      </c>
      <c r="H2014" s="7" t="str">
        <f aca="false">HYPERLINK("https://mncourtfraud.com/file/ff8775b01064a21565185a32606f60efefdcc81fdffe3af20b8a06d10439e897.jpg","ff8775b01064a21565185a32606f60efefdcc81fdffe3af20b8a06d10439e897")</f>
        <v>ff8775b01064a21565185a32606f60efefdcc81fdffe3af20b8a06d10439e897</v>
      </c>
      <c r="I2014" s="1" t="s">
        <v>3417</v>
      </c>
      <c r="L2014" s="2" t="s">
        <v>3419</v>
      </c>
      <c r="M2014" s="2" t="n">
        <v>191047</v>
      </c>
      <c r="S2014" s="2" t="n">
        <v>2550</v>
      </c>
      <c r="T2014" s="2" t="n">
        <v>3300</v>
      </c>
    </row>
    <row r="2015" customFormat="false" ht="18.7" hidden="false" customHeight="true" outlineLevel="0" collapsed="false">
      <c r="A2015" s="1" t="n">
        <v>2014</v>
      </c>
      <c r="B2015" s="7" t="str">
        <f aca="false">HYPERLINK("https://mncourtfraud.com/file/27-CR-22-2444.pdf","27-CR-22-2444")</f>
        <v>27-CR-22-2444</v>
      </c>
      <c r="C2015" s="1" t="n">
        <v>5</v>
      </c>
      <c r="D2015" s="2" t="s">
        <v>267</v>
      </c>
      <c r="E2015" s="8" t="n">
        <v>44837</v>
      </c>
      <c r="F2015" s="2" t="s">
        <v>17</v>
      </c>
      <c r="G2015" s="7" t="str">
        <f aca="false">HYPERLINK("https://mncourtfraud.com/file/MCRO_27-CR-22-2444_Returned Mail_2022-10-03_20251126170225.pdf","MCRO_27-CR-22-2444_Returned Mail_2022-10-03_20251126170225.pdf")</f>
        <v>MCRO_27-CR-22-2444_Returned Mail_2022-10-03_20251126170225.pdf</v>
      </c>
      <c r="H2015" s="7" t="str">
        <f aca="false">HYPERLINK("https://mncourtfraud.com/file/237d5516e0c716146a65e7b2daf746fb6188c66f833317ba27cb286332d42dea.jpg","237d5516e0c716146a65e7b2daf746fb6188c66f833317ba27cb286332d42dea")</f>
        <v>237d5516e0c716146a65e7b2daf746fb6188c66f833317ba27cb286332d42dea</v>
      </c>
      <c r="I2015" s="1" t="s">
        <v>3417</v>
      </c>
      <c r="L2015" s="2" t="s">
        <v>3419</v>
      </c>
      <c r="M2015" s="2" t="n">
        <v>318425</v>
      </c>
      <c r="S2015" s="2" t="n">
        <v>2550</v>
      </c>
      <c r="T2015" s="2" t="n">
        <v>3300</v>
      </c>
    </row>
    <row r="2016" customFormat="false" ht="18.7" hidden="false" customHeight="true" outlineLevel="0" collapsed="false">
      <c r="A2016" s="1" t="n">
        <v>2015</v>
      </c>
      <c r="B2016" s="7" t="str">
        <f aca="false">HYPERLINK("https://mncourtfraud.com/file/27-CR-22-2444.pdf","27-CR-22-2444")</f>
        <v>27-CR-22-2444</v>
      </c>
      <c r="C2016" s="1" t="n">
        <v>5</v>
      </c>
      <c r="D2016" s="2" t="s">
        <v>267</v>
      </c>
      <c r="E2016" s="8" t="n">
        <v>44837</v>
      </c>
      <c r="F2016" s="2" t="s">
        <v>17</v>
      </c>
      <c r="G2016" s="7" t="str">
        <f aca="false">HYPERLINK("https://mncourtfraud.com/file/MCRO_27-CR-22-2444_Returned Mail_2022-10-03_20251126170225.pdf","MCRO_27-CR-22-2444_Returned Mail_2022-10-03_20251126170225.pdf")</f>
        <v>MCRO_27-CR-22-2444_Returned Mail_2022-10-03_20251126170225.pdf</v>
      </c>
      <c r="H2016" s="7" t="str">
        <f aca="false">HYPERLINK("https://mncourtfraud.com/file/a5e5c392eb46244eb2f6cb58ac26cd8ceafb56d6f16b754ee26ba4f3c1b3b729.ttf","a5e5c392eb46244eb2f6cb58ac26cd8ceafb56d6f16b754ee26ba4f3c1b3b729")</f>
        <v>a5e5c392eb46244eb2f6cb58ac26cd8ceafb56d6f16b754ee26ba4f3c1b3b729</v>
      </c>
      <c r="I2016" s="1" t="s">
        <v>3413</v>
      </c>
      <c r="L2016" s="2" t="s">
        <v>3415</v>
      </c>
      <c r="M2016" s="2" t="n">
        <v>333584</v>
      </c>
    </row>
    <row r="2017" customFormat="false" ht="18.7" hidden="false" customHeight="true" outlineLevel="0" collapsed="false">
      <c r="A2017" s="1" t="n">
        <v>2016</v>
      </c>
      <c r="B2017" s="7" t="str">
        <f aca="false">HYPERLINK("https://mncourtfraud.com/file/27-CR-22-2444.pdf","27-CR-22-2444")</f>
        <v>27-CR-22-2444</v>
      </c>
      <c r="C2017" s="1" t="n">
        <v>5</v>
      </c>
      <c r="D2017" s="2" t="s">
        <v>267</v>
      </c>
      <c r="E2017" s="8" t="n">
        <v>44873</v>
      </c>
      <c r="F2017" s="2" t="s">
        <v>15</v>
      </c>
      <c r="G2017" s="7" t="str">
        <f aca="false">HYPERLINK("https://mncourtfraud.com/file/MCRO_27-CR-22-2444_Order-Evaluation for Competency to Proceed (Rule 20.01)_2022-11-08_20251126170154.pdf","MCRO_27-CR-22-2444_Order-Evaluation for Competency to Proceed (Rule 20.01)_2022-11-08_20251126170154.pdf")</f>
        <v>MCRO_27-CR-22-2444_Order-Evaluation for Competency to Proceed (Rule 20.01)_2022-11-08_20251126170154.pdf</v>
      </c>
      <c r="H2017" s="7" t="str">
        <f aca="false">HYPERLINK("https://mncourtfraud.com/file/2cb27992ed30e09971ecce0c2a65a0aaddcca67093e4c3acd36922859b57d8ce.jpg","2cb27992ed30e09971ecce0c2a65a0aaddcca67093e4c3acd36922859b57d8ce")</f>
        <v>2cb27992ed30e09971ecce0c2a65a0aaddcca67093e4c3acd36922859b57d8ce</v>
      </c>
      <c r="I2017" s="1" t="s">
        <v>3417</v>
      </c>
      <c r="L2017" s="2" t="s">
        <v>3418</v>
      </c>
      <c r="M2017" s="2" t="n">
        <v>408246</v>
      </c>
      <c r="S2017" s="2" t="n">
        <v>1700</v>
      </c>
      <c r="T2017" s="2" t="n">
        <v>2200</v>
      </c>
    </row>
    <row r="2018" customFormat="false" ht="18.7" hidden="false" customHeight="true" outlineLevel="0" collapsed="false">
      <c r="A2018" s="1" t="n">
        <v>2017</v>
      </c>
      <c r="B2018" s="7" t="str">
        <f aca="false">HYPERLINK("https://mncourtfraud.com/file/27-CR-22-2444.pdf","27-CR-22-2444")</f>
        <v>27-CR-22-2444</v>
      </c>
      <c r="C2018" s="1" t="n">
        <v>5</v>
      </c>
      <c r="D2018" s="2" t="s">
        <v>267</v>
      </c>
      <c r="E2018" s="8" t="n">
        <v>44873</v>
      </c>
      <c r="F2018" s="2" t="s">
        <v>15</v>
      </c>
      <c r="G2018" s="7" t="str">
        <f aca="false">HYPERLINK("https://mncourtfraud.com/file/MCRO_27-CR-22-2444_Order-Evaluation for Competency to Proceed (Rule 20.01)_2022-11-08_20251126170154.pdf","MCRO_27-CR-22-2444_Order-Evaluation for Competency to Proceed (Rule 20.01)_2022-11-08_20251126170154.pdf")</f>
        <v>MCRO_27-CR-22-2444_Order-Evaluation for Competency to Proceed (Rule 20.01)_2022-11-08_20251126170154.pdf</v>
      </c>
      <c r="H2018" s="7" t="str">
        <f aca="false">HYPERLINK("https://mncourtfraud.com/file/41d1fdb6f5f2f4a3d3745d43bf9408a9ef49f8fd74f78ef960fbb434bfd4b771.jpg","41d1fdb6f5f2f4a3d3745d43bf9408a9ef49f8fd74f78ef960fbb434bfd4b771")</f>
        <v>41d1fdb6f5f2f4a3d3745d43bf9408a9ef49f8fd74f78ef960fbb434bfd4b771</v>
      </c>
      <c r="I2018" s="1" t="s">
        <v>3417</v>
      </c>
      <c r="L2018" s="2" t="s">
        <v>3418</v>
      </c>
      <c r="M2018" s="2" t="n">
        <v>100873</v>
      </c>
      <c r="S2018" s="2" t="n">
        <v>1700</v>
      </c>
      <c r="T2018" s="2" t="n">
        <v>2200</v>
      </c>
    </row>
    <row r="2019" customFormat="false" ht="18.7" hidden="false" customHeight="true" outlineLevel="0" collapsed="false">
      <c r="A2019" s="1" t="n">
        <v>2018</v>
      </c>
      <c r="B2019" s="7" t="str">
        <f aca="false">HYPERLINK("https://mncourtfraud.com/file/27-CR-22-2444.pdf","27-CR-22-2444")</f>
        <v>27-CR-22-2444</v>
      </c>
      <c r="C2019" s="1" t="n">
        <v>5</v>
      </c>
      <c r="D2019" s="2" t="s">
        <v>267</v>
      </c>
      <c r="E2019" s="8" t="n">
        <v>44873</v>
      </c>
      <c r="F2019" s="2" t="s">
        <v>15</v>
      </c>
      <c r="G2019" s="7" t="str">
        <f aca="false">HYPERLINK("https://mncourtfraud.com/file/MCRO_27-CR-22-2444_Order-Evaluation for Competency to Proceed (Rule 20.01)_2022-11-08_20251126170154.pdf","MCRO_27-CR-22-2444_Order-Evaluation for Competency to Proceed (Rule 20.01)_2022-11-08_20251126170154.pdf")</f>
        <v>MCRO_27-CR-22-2444_Order-Evaluation for Competency to Proceed (Rule 20.01)_2022-11-08_20251126170154.pdf</v>
      </c>
      <c r="H2019" s="7" t="str">
        <f aca="false">HYPERLINK("https://mncourtfraud.com/file/8236f58cf6865f3f717250453e45742cc412429461bb5b0caeb12f593118af17.ttf","8236f58cf6865f3f717250453e45742cc412429461bb5b0caeb12f593118af17")</f>
        <v>8236f58cf6865f3f717250453e45742cc412429461bb5b0caeb12f593118af17</v>
      </c>
      <c r="I2019" s="1" t="s">
        <v>3413</v>
      </c>
      <c r="L2019" s="2" t="s">
        <v>3415</v>
      </c>
      <c r="M2019" s="2" t="n">
        <v>333576</v>
      </c>
    </row>
    <row r="2020" customFormat="false" ht="18.7" hidden="false" customHeight="true" outlineLevel="0" collapsed="false">
      <c r="A2020" s="1" t="n">
        <v>2019</v>
      </c>
      <c r="B2020" s="7" t="str">
        <f aca="false">HYPERLINK("https://mncourtfraud.com/file/27-CR-22-2444.pdf","27-CR-22-2444")</f>
        <v>27-CR-22-2444</v>
      </c>
      <c r="C2020" s="1" t="n">
        <v>5</v>
      </c>
      <c r="D2020" s="2" t="s">
        <v>267</v>
      </c>
      <c r="E2020" s="8" t="n">
        <v>44873</v>
      </c>
      <c r="F2020" s="2" t="s">
        <v>15</v>
      </c>
      <c r="G2020" s="7" t="str">
        <f aca="false">HYPERLINK("https://mncourtfraud.com/file/MCRO_27-CR-22-2444_Order-Evaluation for Competency to Proceed (Rule 20.01)_2022-11-08_20251126170154.pdf","MCRO_27-CR-22-2444_Order-Evaluation for Competency to Proceed (Rule 20.01)_2022-11-08_20251126170154.pdf")</f>
        <v>MCRO_27-CR-22-2444_Order-Evaluation for Competency to Proceed (Rule 20.01)_2022-11-08_20251126170154.pdf</v>
      </c>
      <c r="H2020" s="7" t="str">
        <f aca="false">HYPERLINK("https://mncourtfraud.com/file/9f27e684035ba3d74efaf17bf44110b1ea47590bac04ba598149f44e6a7a6578.jpg","9f27e684035ba3d74efaf17bf44110b1ea47590bac04ba598149f44e6a7a6578")</f>
        <v>9f27e684035ba3d74efaf17bf44110b1ea47590bac04ba598149f44e6a7a6578</v>
      </c>
      <c r="I2020" s="1" t="s">
        <v>3417</v>
      </c>
      <c r="L2020" s="2" t="s">
        <v>3418</v>
      </c>
      <c r="M2020" s="2" t="n">
        <v>490860</v>
      </c>
      <c r="S2020" s="2" t="n">
        <v>1700</v>
      </c>
      <c r="T2020" s="2" t="n">
        <v>2200</v>
      </c>
    </row>
    <row r="2021" customFormat="false" ht="18.7" hidden="false" customHeight="true" outlineLevel="0" collapsed="false">
      <c r="A2021" s="1" t="n">
        <v>2020</v>
      </c>
      <c r="B2021" s="7" t="str">
        <f aca="false">HYPERLINK("https://mncourtfraud.com/file/27-CR-22-2444.pdf","27-CR-22-2444")</f>
        <v>27-CR-22-2444</v>
      </c>
      <c r="C2021" s="1" t="n">
        <v>5</v>
      </c>
      <c r="D2021" s="2" t="s">
        <v>267</v>
      </c>
      <c r="E2021" s="8" t="n">
        <v>45023</v>
      </c>
      <c r="F2021" s="2" t="s">
        <v>15</v>
      </c>
      <c r="G2021" s="7" t="str">
        <f aca="false">HYPERLINK("https://mncourtfraud.com/file/MCRO_27-CR-22-2444_Order-Evaluation for Competency to Proceed (Rule 20.01)_2023-04-07_20251126170204.pdf","MCRO_27-CR-22-2444_Order-Evaluation for Competency to Proceed (Rule 20.01)_2023-04-07_20251126170204.pdf")</f>
        <v>MCRO_27-CR-22-2444_Order-Evaluation for Competency to Proceed (Rule 20.01)_2023-04-07_20251126170204.pdf</v>
      </c>
      <c r="H2021" s="7" t="str">
        <f aca="false">HYPERLINK("https://mncourtfraud.com/file/06b00753b75fb948b5de9034f59a4c7e44747166248849f3819fef5429beab41.ttf","06b00753b75fb948b5de9034f59a4c7e44747166248849f3819fef5429beab41")</f>
        <v>06b00753b75fb948b5de9034f59a4c7e44747166248849f3819fef5429beab41</v>
      </c>
      <c r="I2021" s="1" t="s">
        <v>3413</v>
      </c>
      <c r="L2021" s="2" t="s">
        <v>3415</v>
      </c>
      <c r="M2021" s="2" t="n">
        <v>8688</v>
      </c>
    </row>
    <row r="2022" customFormat="false" ht="18.7" hidden="false" customHeight="true" outlineLevel="0" collapsed="false">
      <c r="A2022" s="1" t="n">
        <v>2021</v>
      </c>
      <c r="B2022" s="7" t="str">
        <f aca="false">HYPERLINK("https://mncourtfraud.com/file/27-CR-22-2444.pdf","27-CR-22-2444")</f>
        <v>27-CR-22-2444</v>
      </c>
      <c r="C2022" s="1" t="n">
        <v>5</v>
      </c>
      <c r="D2022" s="2" t="s">
        <v>267</v>
      </c>
      <c r="E2022" s="8" t="n">
        <v>45023</v>
      </c>
      <c r="F2022" s="2" t="s">
        <v>15</v>
      </c>
      <c r="G2022" s="7" t="str">
        <f aca="false">HYPERLINK("https://mncourtfraud.com/file/MCRO_27-CR-22-2444_Order-Evaluation for Competency to Proceed (Rule 20.01)_2023-04-07_20251126170204.pdf","MCRO_27-CR-22-2444_Order-Evaluation for Competency to Proceed (Rule 20.01)_2023-04-07_20251126170204.pdf")</f>
        <v>MCRO_27-CR-22-2444_Order-Evaluation for Competency to Proceed (Rule 20.01)_2023-04-07_20251126170204.pdf</v>
      </c>
      <c r="H2022" s="7" t="str">
        <f aca="false">HYPERLINK("https://mncourtfraud.com/file/c64f5841ee105dd531516bc6fee22dfffb9b23f8150406e97e757ba2a9512e5d.jpg","c64f5841ee105dd531516bc6fee22dfffb9b23f8150406e97e757ba2a9512e5d")</f>
        <v>c64f5841ee105dd531516bc6fee22dfffb9b23f8150406e97e757ba2a9512e5d</v>
      </c>
      <c r="I2022" s="1" t="s">
        <v>3417</v>
      </c>
      <c r="L2022" s="2" t="s">
        <v>3418</v>
      </c>
      <c r="M2022" s="2" t="n">
        <v>513599</v>
      </c>
      <c r="S2022" s="2" t="n">
        <v>2550</v>
      </c>
      <c r="T2022" s="2" t="n">
        <v>3300</v>
      </c>
    </row>
    <row r="2023" customFormat="false" ht="18.7" hidden="false" customHeight="true" outlineLevel="0" collapsed="false">
      <c r="A2023" s="1" t="n">
        <v>2022</v>
      </c>
      <c r="B2023" s="7" t="str">
        <f aca="false">HYPERLINK("https://mncourtfraud.com/file/27-CR-22-2444.pdf","27-CR-22-2444")</f>
        <v>27-CR-22-2444</v>
      </c>
      <c r="C2023" s="1" t="n">
        <v>5</v>
      </c>
      <c r="D2023" s="2" t="s">
        <v>267</v>
      </c>
      <c r="E2023" s="8" t="n">
        <v>45023</v>
      </c>
      <c r="F2023" s="2" t="s">
        <v>15</v>
      </c>
      <c r="G2023" s="7" t="str">
        <f aca="false">HYPERLINK("https://mncourtfraud.com/file/MCRO_27-CR-22-2444_Order-Evaluation for Competency to Proceed (Rule 20.01)_2023-04-07_20251126170204.pdf","MCRO_27-CR-22-2444_Order-Evaluation for Competency to Proceed (Rule 20.01)_2023-04-07_20251126170204.pdf")</f>
        <v>MCRO_27-CR-22-2444_Order-Evaluation for Competency to Proceed (Rule 20.01)_2023-04-07_20251126170204.pdf</v>
      </c>
      <c r="H2023" s="7" t="str">
        <f aca="false">HYPERLINK("https://mncourtfraud.com/file/f7d479055c350e815238bb6a398c4cf4ad2cd8eb23b89898540299107828b1ac.jpg","f7d479055c350e815238bb6a398c4cf4ad2cd8eb23b89898540299107828b1ac")</f>
        <v>f7d479055c350e815238bb6a398c4cf4ad2cd8eb23b89898540299107828b1ac</v>
      </c>
      <c r="I2023" s="1" t="s">
        <v>3417</v>
      </c>
      <c r="L2023" s="2" t="s">
        <v>3418</v>
      </c>
      <c r="M2023" s="2" t="n">
        <v>640338</v>
      </c>
      <c r="S2023" s="2" t="n">
        <v>2550</v>
      </c>
      <c r="T2023" s="2" t="n">
        <v>3300</v>
      </c>
    </row>
    <row r="2024" customFormat="false" ht="18.7" hidden="false" customHeight="true" outlineLevel="0" collapsed="false">
      <c r="A2024" s="1" t="n">
        <v>2023</v>
      </c>
      <c r="B2024" s="7" t="str">
        <f aca="false">HYPERLINK("https://mncourtfraud.com/file/27-CR-22-2444.pdf","27-CR-22-2444")</f>
        <v>27-CR-22-2444</v>
      </c>
      <c r="C2024" s="1" t="n">
        <v>5</v>
      </c>
      <c r="D2024" s="2" t="s">
        <v>267</v>
      </c>
      <c r="E2024" s="8" t="n">
        <v>45194</v>
      </c>
      <c r="F2024" s="2" t="s">
        <v>15</v>
      </c>
      <c r="G2024" s="7" t="str">
        <f aca="false">HYPERLINK("https://mncourtfraud.com/file/MCRO_27-CR-22-2444_Order-Evaluation for Competency to Proceed (Rule 20.01)_2023-09-25_20251126170213.pdf","MCRO_27-CR-22-2444_Order-Evaluation for Competency to Proceed (Rule 20.01)_2023-09-25_20251126170213.pdf")</f>
        <v>MCRO_27-CR-22-2444_Order-Evaluation for Competency to Proceed (Rule 20.01)_2023-09-25_20251126170213.pdf</v>
      </c>
      <c r="H2024" s="7" t="str">
        <f aca="false">HYPERLINK("https://mncourtfraud.com/file/4c385f7ae8b1b78bc4ac3302e35eeaeb47e175305fd776c018ad0582a082d2f1.png","4c385f7ae8b1b78bc4ac3302e35eeaeb47e175305fd776c018ad0582a082d2f1")</f>
        <v>4c385f7ae8b1b78bc4ac3302e35eeaeb47e175305fd776c018ad0582a082d2f1</v>
      </c>
      <c r="I2024" s="1" t="s">
        <v>3406</v>
      </c>
      <c r="L2024" s="2" t="s">
        <v>3412</v>
      </c>
      <c r="M2024" s="2" t="n">
        <v>162309</v>
      </c>
      <c r="S2024" s="2" t="n">
        <v>2560</v>
      </c>
      <c r="T2024" s="2" t="n">
        <v>3300</v>
      </c>
    </row>
    <row r="2025" customFormat="false" ht="18.7" hidden="false" customHeight="true" outlineLevel="0" collapsed="false">
      <c r="A2025" s="1" t="n">
        <v>2024</v>
      </c>
      <c r="B2025" s="7" t="str">
        <f aca="false">HYPERLINK("https://mncourtfraud.com/file/27-CR-22-2444.pdf","27-CR-22-2444")</f>
        <v>27-CR-22-2444</v>
      </c>
      <c r="C2025" s="1" t="n">
        <v>5</v>
      </c>
      <c r="D2025" s="2" t="s">
        <v>267</v>
      </c>
      <c r="E2025" s="8" t="n">
        <v>45194</v>
      </c>
      <c r="F2025" s="2" t="s">
        <v>15</v>
      </c>
      <c r="G2025" s="7" t="str">
        <f aca="false">HYPERLINK("https://mncourtfraud.com/file/MCRO_27-CR-22-2444_Order-Evaluation for Competency to Proceed (Rule 20.01)_2023-09-25_20251126170213.pdf","MCRO_27-CR-22-2444_Order-Evaluation for Competency to Proceed (Rule 20.01)_2023-09-25_20251126170213.pdf")</f>
        <v>MCRO_27-CR-22-2444_Order-Evaluation for Competency to Proceed (Rule 20.01)_2023-09-25_20251126170213.pdf</v>
      </c>
      <c r="H2025" s="7" t="str">
        <f aca="false">HYPERLINK("https://mncourtfraud.com/file/9f61d1c86b92a1cfe4c2425ebe7c20689b4132fc43316fa8ae4829c07f8dccd6.ttf","9f61d1c86b92a1cfe4c2425ebe7c20689b4132fc43316fa8ae4829c07f8dccd6")</f>
        <v>9f61d1c86b92a1cfe4c2425ebe7c20689b4132fc43316fa8ae4829c07f8dccd6</v>
      </c>
      <c r="I2025" s="1" t="s">
        <v>3413</v>
      </c>
      <c r="L2025" s="2" t="s">
        <v>3415</v>
      </c>
      <c r="M2025" s="2" t="n">
        <v>333576</v>
      </c>
    </row>
    <row r="2026" customFormat="false" ht="18.7" hidden="false" customHeight="true" outlineLevel="0" collapsed="false">
      <c r="A2026" s="1" t="n">
        <v>2025</v>
      </c>
      <c r="B2026" s="7" t="str">
        <f aca="false">HYPERLINK("https://mncourtfraud.com/file/27-CR-22-2444.pdf","27-CR-22-2444")</f>
        <v>27-CR-22-2444</v>
      </c>
      <c r="C2026" s="1" t="n">
        <v>5</v>
      </c>
      <c r="D2026" s="2" t="s">
        <v>267</v>
      </c>
      <c r="E2026" s="8" t="n">
        <v>45194</v>
      </c>
      <c r="F2026" s="2" t="s">
        <v>15</v>
      </c>
      <c r="G2026" s="7" t="str">
        <f aca="false">HYPERLINK("https://mncourtfraud.com/file/MCRO_27-CR-22-2444_Order-Evaluation for Competency to Proceed (Rule 20.01)_2023-09-25_20251126170213.pdf","MCRO_27-CR-22-2444_Order-Evaluation for Competency to Proceed (Rule 20.01)_2023-09-25_20251126170213.pdf")</f>
        <v>MCRO_27-CR-22-2444_Order-Evaluation for Competency to Proceed (Rule 20.01)_2023-09-25_20251126170213.pdf</v>
      </c>
      <c r="H2026" s="7" t="str">
        <f aca="false">HYPERLINK("https://mncourtfraud.com/file/e8ec090484db08b3be9daaa10e2fef35a99135ae0a2f234de7613cfacc2f6cac.png","e8ec090484db08b3be9daaa10e2fef35a99135ae0a2f234de7613cfacc2f6cac")</f>
        <v>e8ec090484db08b3be9daaa10e2fef35a99135ae0a2f234de7613cfacc2f6cac</v>
      </c>
      <c r="I2026" s="1" t="s">
        <v>3406</v>
      </c>
      <c r="L2026" s="2" t="s">
        <v>3412</v>
      </c>
      <c r="M2026" s="2" t="n">
        <v>133015</v>
      </c>
      <c r="S2026" s="2" t="n">
        <v>2560</v>
      </c>
      <c r="T2026" s="2" t="n">
        <v>3300</v>
      </c>
    </row>
    <row r="2027" customFormat="false" ht="18.7" hidden="false" customHeight="true" outlineLevel="0" collapsed="false">
      <c r="A2027" s="1" t="n">
        <v>2026</v>
      </c>
      <c r="B2027" s="7" t="str">
        <f aca="false">HYPERLINK("https://mncourtfraud.com/file/27-CR-22-25069.pdf","27-CR-22-25069")</f>
        <v>27-CR-22-25069</v>
      </c>
      <c r="C2027" s="1" t="n">
        <v>1</v>
      </c>
      <c r="D2027" s="2" t="s">
        <v>12</v>
      </c>
      <c r="E2027" s="8" t="n">
        <v>44999</v>
      </c>
      <c r="F2027" s="2" t="s">
        <v>17</v>
      </c>
      <c r="G2027" s="7" t="str">
        <f aca="false">HYPERLINK("https://mncourtfraud.com/file/MCRO_27-CR-22-25069_Returned Mail_2023-03-14_20251126185437.pdf","MCRO_27-CR-22-25069_Returned Mail_2023-03-14_20251126185437.pdf")</f>
        <v>MCRO_27-CR-22-25069_Returned Mail_2023-03-14_20251126185437.pdf</v>
      </c>
      <c r="H2027" s="7" t="str">
        <f aca="false">HYPERLINK("https://mncourtfraud.com/file/61ee46433c50868e6eb05b0ebbec018c75570f6da699ea0a4446f7cb508d2134.ttf","61ee46433c50868e6eb05b0ebbec018c75570f6da699ea0a4446f7cb508d2134")</f>
        <v>61ee46433c50868e6eb05b0ebbec018c75570f6da699ea0a4446f7cb508d2134</v>
      </c>
      <c r="I2027" s="1" t="s">
        <v>3413</v>
      </c>
      <c r="L2027" s="2" t="s">
        <v>3415</v>
      </c>
      <c r="M2027" s="2" t="n">
        <v>333576</v>
      </c>
    </row>
    <row r="2028" customFormat="false" ht="18.7" hidden="false" customHeight="true" outlineLevel="0" collapsed="false">
      <c r="A2028" s="1" t="n">
        <v>2027</v>
      </c>
      <c r="B2028" s="7" t="str">
        <f aca="false">HYPERLINK("https://mncourtfraud.com/file/27-CR-22-25069.pdf","27-CR-22-25069")</f>
        <v>27-CR-22-25069</v>
      </c>
      <c r="C2028" s="1" t="n">
        <v>1</v>
      </c>
      <c r="D2028" s="2" t="s">
        <v>12</v>
      </c>
      <c r="E2028" s="8" t="n">
        <v>44999</v>
      </c>
      <c r="F2028" s="2" t="s">
        <v>17</v>
      </c>
      <c r="G2028" s="7" t="str">
        <f aca="false">HYPERLINK("https://mncourtfraud.com/file/MCRO_27-CR-22-25069_Returned Mail_2023-03-14_20251126185437.pdf","MCRO_27-CR-22-25069_Returned Mail_2023-03-14_20251126185437.pdf")</f>
        <v>MCRO_27-CR-22-25069_Returned Mail_2023-03-14_20251126185437.pdf</v>
      </c>
      <c r="H2028" s="7" t="str">
        <f aca="false">HYPERLINK("https://mncourtfraud.com/file/ff77c855312bf0828a7ac86abda855476c84b9c5beee3d34be38fbe95b59da79.jpg","ff77c855312bf0828a7ac86abda855476c84b9c5beee3d34be38fbe95b59da79")</f>
        <v>ff77c855312bf0828a7ac86abda855476c84b9c5beee3d34be38fbe95b59da79</v>
      </c>
      <c r="I2028" s="1" t="s">
        <v>3417</v>
      </c>
      <c r="L2028" s="2" t="s">
        <v>3419</v>
      </c>
      <c r="M2028" s="2" t="n">
        <v>264925</v>
      </c>
      <c r="S2028" s="2" t="n">
        <v>3300</v>
      </c>
      <c r="T2028" s="2" t="n">
        <v>2550</v>
      </c>
    </row>
    <row r="2029" customFormat="false" ht="18.7" hidden="false" customHeight="true" outlineLevel="0" collapsed="false">
      <c r="A2029" s="1" t="n">
        <v>2028</v>
      </c>
      <c r="B2029" s="7" t="str">
        <f aca="false">HYPERLINK("https://mncourtfraud.com/file/27-CR-22-25069.pdf","27-CR-22-25069")</f>
        <v>27-CR-22-25069</v>
      </c>
      <c r="C2029" s="1" t="n">
        <v>1</v>
      </c>
      <c r="D2029" s="2" t="s">
        <v>12</v>
      </c>
      <c r="E2029" s="8" t="n">
        <v>45048</v>
      </c>
      <c r="F2029" s="2" t="s">
        <v>80</v>
      </c>
      <c r="G2029" s="7" t="str">
        <f aca="false">HYPERLINK("https://mncourtfraud.com/file/MCRO_27-CR-22-25069_Finding of Incompetency and Order_2023-05-02_20251126185303.pdf","MCRO_27-CR-22-25069_Finding of Incompetency and Order_2023-05-02_20251126185303.pdf")</f>
        <v>MCRO_27-CR-22-25069_Finding of Incompetency and Order_2023-05-02_20251126185303.pdf</v>
      </c>
      <c r="H2029" s="7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029" s="1" t="s">
        <v>3406</v>
      </c>
      <c r="L2029" s="2" t="s">
        <v>3412</v>
      </c>
      <c r="M2029" s="2" t="n">
        <v>3506</v>
      </c>
      <c r="S2029" s="2" t="n">
        <v>1410</v>
      </c>
      <c r="T2029" s="2" t="n">
        <v>150</v>
      </c>
    </row>
    <row r="2030" customFormat="false" ht="18.7" hidden="false" customHeight="true" outlineLevel="0" collapsed="false">
      <c r="A2030" s="1" t="n">
        <v>2029</v>
      </c>
      <c r="B2030" s="7" t="str">
        <f aca="false">HYPERLINK("https://mncourtfraud.com/file/27-CR-22-25069.pdf","27-CR-22-25069")</f>
        <v>27-CR-22-25069</v>
      </c>
      <c r="C2030" s="1" t="n">
        <v>1</v>
      </c>
      <c r="D2030" s="2" t="s">
        <v>12</v>
      </c>
      <c r="E2030" s="8" t="n">
        <v>45048</v>
      </c>
      <c r="F2030" s="2" t="s">
        <v>80</v>
      </c>
      <c r="G2030" s="7" t="str">
        <f aca="false">HYPERLINK("https://mncourtfraud.com/file/MCRO_27-CR-22-25069_Finding of Incompetency and Order_2023-05-02_20251126185303.pdf","MCRO_27-CR-22-25069_Finding of Incompetency and Order_2023-05-02_20251126185303.pdf")</f>
        <v>MCRO_27-CR-22-25069_Finding of Incompetency and Order_2023-05-02_20251126185303.pdf</v>
      </c>
      <c r="H2030" s="7" t="str">
        <f aca="false">HYPERLINK("https://mncourtfraud.com/file/18befca089509ee2fbaddf9c5b79bf5988523b22d2369743ed9a591b9fc3bdb6.ttf","18befca089509ee2fbaddf9c5b79bf5988523b22d2369743ed9a591b9fc3bdb6")</f>
        <v>18befca089509ee2fbaddf9c5b79bf5988523b22d2369743ed9a591b9fc3bdb6</v>
      </c>
      <c r="I2030" s="1" t="s">
        <v>3413</v>
      </c>
      <c r="J2030" s="2" t="s">
        <v>3421</v>
      </c>
      <c r="K2030" s="2" t="s">
        <v>3450</v>
      </c>
      <c r="L2030" s="2" t="s">
        <v>3415</v>
      </c>
      <c r="M2030" s="2" t="n">
        <v>115928</v>
      </c>
    </row>
    <row r="2031" customFormat="false" ht="18.7" hidden="false" customHeight="true" outlineLevel="0" collapsed="false">
      <c r="A2031" s="1" t="n">
        <v>2030</v>
      </c>
      <c r="B2031" s="7" t="str">
        <f aca="false">HYPERLINK("https://mncourtfraud.com/file/27-CR-22-25069.pdf","27-CR-22-25069")</f>
        <v>27-CR-22-25069</v>
      </c>
      <c r="C2031" s="1" t="n">
        <v>1</v>
      </c>
      <c r="D2031" s="2" t="s">
        <v>12</v>
      </c>
      <c r="E2031" s="8" t="n">
        <v>45048</v>
      </c>
      <c r="F2031" s="2" t="s">
        <v>80</v>
      </c>
      <c r="G2031" s="7" t="str">
        <f aca="false">HYPERLINK("https://mncourtfraud.com/file/MCRO_27-CR-22-25069_Finding of Incompetency and Order_2023-05-02_20251126185303.pdf","MCRO_27-CR-22-25069_Finding of Incompetency and Order_2023-05-02_20251126185303.pdf")</f>
        <v>MCRO_27-CR-22-25069_Finding of Incompetency and Order_2023-05-02_20251126185303.pdf</v>
      </c>
      <c r="H2031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2031" s="1" t="s">
        <v>3413</v>
      </c>
      <c r="J2031" s="2" t="s">
        <v>3446</v>
      </c>
      <c r="K2031" s="2" t="s">
        <v>3446</v>
      </c>
      <c r="L2031" s="2" t="s">
        <v>3415</v>
      </c>
      <c r="M2031" s="2" t="n">
        <v>55072</v>
      </c>
      <c r="N2031" s="2" t="s">
        <v>3447</v>
      </c>
    </row>
    <row r="2032" customFormat="false" ht="18.7" hidden="false" customHeight="true" outlineLevel="0" collapsed="false">
      <c r="A2032" s="1" t="n">
        <v>2031</v>
      </c>
      <c r="B2032" s="7" t="str">
        <f aca="false">HYPERLINK("https://mncourtfraud.com/file/27-CR-22-25069.pdf","27-CR-22-25069")</f>
        <v>27-CR-22-25069</v>
      </c>
      <c r="C2032" s="1" t="n">
        <v>1</v>
      </c>
      <c r="D2032" s="2" t="s">
        <v>12</v>
      </c>
      <c r="E2032" s="8" t="n">
        <v>45048</v>
      </c>
      <c r="F2032" s="2" t="s">
        <v>80</v>
      </c>
      <c r="G2032" s="7" t="str">
        <f aca="false">HYPERLINK("https://mncourtfraud.com/file/MCRO_27-CR-22-25069_Finding of Incompetency and Order_2023-05-02_20251126185303.pdf","MCRO_27-CR-22-25069_Finding of Incompetency and Order_2023-05-02_20251126185303.pdf")</f>
        <v>MCRO_27-CR-22-25069_Finding of Incompetency and Order_2023-05-02_20251126185303.pdf</v>
      </c>
      <c r="H2032" s="7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032" s="1" t="s">
        <v>3406</v>
      </c>
      <c r="K2032" s="2" t="s">
        <v>3451</v>
      </c>
      <c r="L2032" s="2" t="s">
        <v>3408</v>
      </c>
      <c r="M2032" s="2" t="n">
        <v>5295</v>
      </c>
      <c r="O2032" s="2" t="s">
        <v>3452</v>
      </c>
      <c r="P2032" s="2" t="s">
        <v>3410</v>
      </c>
      <c r="S2032" s="2" t="n">
        <v>833</v>
      </c>
      <c r="T2032" s="2" t="n">
        <v>186</v>
      </c>
    </row>
    <row r="2033" customFormat="false" ht="18.7" hidden="false" customHeight="true" outlineLevel="0" collapsed="false">
      <c r="A2033" s="1" t="n">
        <v>2032</v>
      </c>
      <c r="B2033" s="7" t="str">
        <f aca="false">HYPERLINK("https://mncourtfraud.com/file/27-CR-22-25069.pdf","27-CR-22-25069")</f>
        <v>27-CR-22-25069</v>
      </c>
      <c r="C2033" s="1" t="n">
        <v>1</v>
      </c>
      <c r="D2033" s="2" t="s">
        <v>12</v>
      </c>
      <c r="E2033" s="8" t="n">
        <v>45048</v>
      </c>
      <c r="F2033" s="2" t="s">
        <v>80</v>
      </c>
      <c r="G2033" s="7" t="str">
        <f aca="false">HYPERLINK("https://mncourtfraud.com/file/MCRO_27-CR-22-25069_Finding of Incompetency and Order_2023-05-02_20251126185303.pdf","MCRO_27-CR-22-25069_Finding of Incompetency and Order_2023-05-02_20251126185303.pdf")</f>
        <v>MCRO_27-CR-22-25069_Finding of Incompetency and Order_2023-05-02_20251126185303.pdf</v>
      </c>
      <c r="H2033" s="7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033" s="1" t="s">
        <v>3406</v>
      </c>
      <c r="K2033" s="2" t="s">
        <v>3453</v>
      </c>
      <c r="L2033" s="2" t="s">
        <v>3408</v>
      </c>
      <c r="M2033" s="2" t="n">
        <v>3442</v>
      </c>
      <c r="O2033" s="2" t="s">
        <v>3454</v>
      </c>
      <c r="P2033" s="2" t="s">
        <v>3410</v>
      </c>
      <c r="S2033" s="2" t="n">
        <v>857</v>
      </c>
      <c r="T2033" s="2" t="n">
        <v>184</v>
      </c>
    </row>
    <row r="2034" customFormat="false" ht="18.7" hidden="false" customHeight="true" outlineLevel="0" collapsed="false">
      <c r="A2034" s="1" t="n">
        <v>2033</v>
      </c>
      <c r="B2034" s="7" t="str">
        <f aca="false">HYPERLINK("https://mncourtfraud.com/file/27-CR-22-25069.pdf","27-CR-22-25069")</f>
        <v>27-CR-22-25069</v>
      </c>
      <c r="C2034" s="1" t="n">
        <v>1</v>
      </c>
      <c r="D2034" s="2" t="s">
        <v>12</v>
      </c>
      <c r="E2034" s="8" t="n">
        <v>45048</v>
      </c>
      <c r="F2034" s="2" t="s">
        <v>80</v>
      </c>
      <c r="G2034" s="7" t="str">
        <f aca="false">HYPERLINK("https://mncourtfraud.com/file/MCRO_27-CR-22-25069_Finding of Incompetency and Order_2023-05-02_20251126185303.pdf","MCRO_27-CR-22-25069_Finding of Incompetency and Order_2023-05-02_20251126185303.pdf")</f>
        <v>MCRO_27-CR-22-25069_Finding of Incompetency and Order_2023-05-02_20251126185303.pdf</v>
      </c>
      <c r="H2034" s="7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2034" s="1" t="s">
        <v>3406</v>
      </c>
      <c r="L2034" s="2" t="s">
        <v>3412</v>
      </c>
      <c r="M2034" s="2" t="n">
        <v>3824</v>
      </c>
      <c r="S2034" s="2" t="n">
        <v>1850</v>
      </c>
      <c r="T2034" s="2" t="n">
        <v>160</v>
      </c>
    </row>
    <row r="2035" customFormat="false" ht="18.7" hidden="false" customHeight="true" outlineLevel="0" collapsed="false">
      <c r="A2035" s="1" t="n">
        <v>2034</v>
      </c>
      <c r="B2035" s="7" t="str">
        <f aca="false">HYPERLINK("https://mncourtfraud.com/file/27-CR-22-25069.pdf","27-CR-22-25069")</f>
        <v>27-CR-22-25069</v>
      </c>
      <c r="C2035" s="1" t="n">
        <v>1</v>
      </c>
      <c r="D2035" s="2" t="s">
        <v>12</v>
      </c>
      <c r="E2035" s="8" t="n">
        <v>45048</v>
      </c>
      <c r="F2035" s="2" t="s">
        <v>80</v>
      </c>
      <c r="G2035" s="7" t="str">
        <f aca="false">HYPERLINK("https://mncourtfraud.com/file/MCRO_27-CR-22-25069_Finding of Incompetency and Order_2023-05-02_20251126185303.pdf","MCRO_27-CR-22-25069_Finding of Incompetency and Order_2023-05-02_20251126185303.pdf")</f>
        <v>MCRO_27-CR-22-25069_Finding of Incompetency and Order_2023-05-02_20251126185303.pdf</v>
      </c>
      <c r="H2035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2035" s="1" t="s">
        <v>3413</v>
      </c>
      <c r="J2035" s="2" t="s">
        <v>3448</v>
      </c>
      <c r="K2035" s="2" t="s">
        <v>3448</v>
      </c>
      <c r="L2035" s="2" t="s">
        <v>3415</v>
      </c>
      <c r="M2035" s="2" t="n">
        <v>916684</v>
      </c>
    </row>
    <row r="2036" customFormat="false" ht="18.7" hidden="false" customHeight="true" outlineLevel="0" collapsed="false">
      <c r="A2036" s="1" t="n">
        <v>2035</v>
      </c>
      <c r="B2036" s="7" t="str">
        <f aca="false">HYPERLINK("https://mncourtfraud.com/file/27-CR-22-25069.pdf","27-CR-22-25069")</f>
        <v>27-CR-22-25069</v>
      </c>
      <c r="C2036" s="1" t="n">
        <v>1</v>
      </c>
      <c r="D2036" s="2" t="s">
        <v>12</v>
      </c>
      <c r="E2036" s="8" t="n">
        <v>45093</v>
      </c>
      <c r="F2036" s="2" t="s">
        <v>82</v>
      </c>
      <c r="G2036" s="7" t="str">
        <f aca="false">HYPERLINK("https://mncourtfraud.com/file/MCRO_27-CR-22-25069_Notice of Case Reassignment_2023-06-16_20251126185315.pdf","MCRO_27-CR-22-25069_Notice of Case Reassignment_2023-06-16_20251126185315.pdf")</f>
        <v>MCRO_27-CR-22-25069_Notice of Case Reassignment_2023-06-16_20251126185315.pdf</v>
      </c>
      <c r="H2036" s="7" t="str">
        <f aca="false">HYPERLINK("https://mncourtfraud.com/file/1fd1136a5ae69c0e5068fedf111533c283fb06da71a1aebe96b41cad9a15bb33.ttf","1fd1136a5ae69c0e5068fedf111533c283fb06da71a1aebe96b41cad9a15bb33")</f>
        <v>1fd1136a5ae69c0e5068fedf111533c283fb06da71a1aebe96b41cad9a15bb33</v>
      </c>
      <c r="I2036" s="1" t="s">
        <v>3413</v>
      </c>
      <c r="J2036" s="2" t="s">
        <v>3455</v>
      </c>
      <c r="K2036" s="2" t="s">
        <v>3455</v>
      </c>
      <c r="L2036" s="2" t="s">
        <v>3415</v>
      </c>
      <c r="M2036" s="2" t="n">
        <v>96348</v>
      </c>
      <c r="N2036" s="2" t="s">
        <v>3456</v>
      </c>
    </row>
    <row r="2037" customFormat="false" ht="18.7" hidden="false" customHeight="true" outlineLevel="0" collapsed="false">
      <c r="A2037" s="1" t="n">
        <v>2036</v>
      </c>
      <c r="B2037" s="7" t="str">
        <f aca="false">HYPERLINK("https://mncourtfraud.com/file/27-CR-22-25069.pdf","27-CR-22-25069")</f>
        <v>27-CR-22-25069</v>
      </c>
      <c r="C2037" s="1" t="n">
        <v>1</v>
      </c>
      <c r="D2037" s="2" t="s">
        <v>12</v>
      </c>
      <c r="E2037" s="8" t="n">
        <v>45093</v>
      </c>
      <c r="F2037" s="2" t="s">
        <v>82</v>
      </c>
      <c r="G2037" s="7" t="str">
        <f aca="false">HYPERLINK("https://mncourtfraud.com/file/MCRO_27-CR-22-25069_Notice of Case Reassignment_2023-06-16_20251126185315.pdf","MCRO_27-CR-22-25069_Notice of Case Reassignment_2023-06-16_20251126185315.pdf")</f>
        <v>MCRO_27-CR-22-25069_Notice of Case Reassignment_2023-06-16_20251126185315.pdf</v>
      </c>
      <c r="H2037" s="7" t="str">
        <f aca="false">HYPERLINK("https://mncourtfraud.com/file/4b0b043cb476134a2e47a5f4c233d3d0f7a52a3b063b8831356383f89fcd1118.ttf","4b0b043cb476134a2e47a5f4c233d3d0f7a52a3b063b8831356383f89fcd1118")</f>
        <v>4b0b043cb476134a2e47a5f4c233d3d0f7a52a3b063b8831356383f89fcd1118</v>
      </c>
      <c r="I2037" s="1" t="s">
        <v>3413</v>
      </c>
      <c r="J2037" s="2" t="s">
        <v>3457</v>
      </c>
      <c r="K2037" s="2" t="s">
        <v>3457</v>
      </c>
      <c r="L2037" s="2" t="s">
        <v>3415</v>
      </c>
      <c r="M2037" s="2" t="n">
        <v>79764</v>
      </c>
      <c r="N2037" s="2" t="s">
        <v>3458</v>
      </c>
    </row>
    <row r="2038" customFormat="false" ht="18.7" hidden="false" customHeight="true" outlineLevel="0" collapsed="false">
      <c r="A2038" s="1" t="n">
        <v>2037</v>
      </c>
      <c r="B2038" s="7" t="str">
        <f aca="false">HYPERLINK("https://mncourtfraud.com/file/27-CR-22-25069.pdf","27-CR-22-25069")</f>
        <v>27-CR-22-25069</v>
      </c>
      <c r="C2038" s="1" t="n">
        <v>1</v>
      </c>
      <c r="D2038" s="2" t="s">
        <v>12</v>
      </c>
      <c r="E2038" s="8" t="n">
        <v>45160</v>
      </c>
      <c r="F2038" s="2" t="s">
        <v>15</v>
      </c>
      <c r="G2038" s="7" t="str">
        <f aca="false">HYPERLINK("https://mncourtfraud.com/file/MCRO_27-CR-22-25069_Order-Evaluation for Competency to Proceed (Rule 20.01)_2023-08-22_20251126185424.pdf","MCRO_27-CR-22-25069_Order-Evaluation for Competency to Proceed (Rule 20.01)_2023-08-22_20251126185424.pdf")</f>
        <v>MCRO_27-CR-22-25069_Order-Evaluation for Competency to Proceed (Rule 20.01)_2023-08-22_20251126185424.pdf</v>
      </c>
      <c r="H2038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2038" s="1" t="s">
        <v>3413</v>
      </c>
      <c r="J2038" s="2" t="s">
        <v>3449</v>
      </c>
      <c r="K2038" s="2" t="s">
        <v>3449</v>
      </c>
      <c r="L2038" s="2" t="s">
        <v>3415</v>
      </c>
      <c r="M2038" s="2" t="n">
        <v>125504</v>
      </c>
    </row>
    <row r="2039" customFormat="false" ht="18.7" hidden="false" customHeight="true" outlineLevel="0" collapsed="false">
      <c r="A2039" s="1" t="n">
        <v>2038</v>
      </c>
      <c r="B2039" s="7" t="str">
        <f aca="false">HYPERLINK("https://mncourtfraud.com/file/27-CR-22-25069.pdf","27-CR-22-25069")</f>
        <v>27-CR-22-25069</v>
      </c>
      <c r="C2039" s="1" t="n">
        <v>1</v>
      </c>
      <c r="D2039" s="2" t="s">
        <v>12</v>
      </c>
      <c r="E2039" s="8" t="n">
        <v>45160</v>
      </c>
      <c r="F2039" s="2" t="s">
        <v>15</v>
      </c>
      <c r="G2039" s="7" t="str">
        <f aca="false">HYPERLINK("https://mncourtfraud.com/file/MCRO_27-CR-22-25069_Order-Evaluation for Competency to Proceed (Rule 20.01)_2023-08-22_20251126185424.pdf","MCRO_27-CR-22-25069_Order-Evaluation for Competency to Proceed (Rule 20.01)_2023-08-22_20251126185424.pdf")</f>
        <v>MCRO_27-CR-22-25069_Order-Evaluation for Competency to Proceed (Rule 20.01)_2023-08-22_20251126185424.pdf</v>
      </c>
      <c r="H2039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2039" s="1" t="s">
        <v>3413</v>
      </c>
      <c r="J2039" s="2" t="s">
        <v>3449</v>
      </c>
      <c r="K2039" s="2" t="s">
        <v>3449</v>
      </c>
      <c r="L2039" s="2" t="s">
        <v>3415</v>
      </c>
      <c r="M2039" s="2" t="n">
        <v>125504</v>
      </c>
    </row>
    <row r="2040" customFormat="false" ht="18.7" hidden="false" customHeight="true" outlineLevel="0" collapsed="false">
      <c r="A2040" s="1" t="n">
        <v>2039</v>
      </c>
      <c r="B2040" s="7" t="str">
        <f aca="false">HYPERLINK("https://mncourtfraud.com/file/27-CR-22-25069.pdf","27-CR-22-25069")</f>
        <v>27-CR-22-25069</v>
      </c>
      <c r="C2040" s="1" t="n">
        <v>1</v>
      </c>
      <c r="D2040" s="2" t="s">
        <v>12</v>
      </c>
      <c r="E2040" s="8" t="n">
        <v>45160</v>
      </c>
      <c r="F2040" s="2" t="s">
        <v>15</v>
      </c>
      <c r="G2040" s="7" t="str">
        <f aca="false">HYPERLINK("https://mncourtfraud.com/file/MCRO_27-CR-22-25069_Order-Evaluation for Competency to Proceed (Rule 20.01)_2023-08-22_20251126185424.pdf","MCRO_27-CR-22-25069_Order-Evaluation for Competency to Proceed (Rule 20.01)_2023-08-22_20251126185424.pdf")</f>
        <v>MCRO_27-CR-22-25069_Order-Evaluation for Competency to Proceed (Rule 20.01)_2023-08-22_20251126185424.pdf</v>
      </c>
      <c r="H2040" s="7" t="str">
        <f aca="false">HYPERLINK("https://mncourtfraud.com/file/0174a154b1dd2c8824c0108a525fa6ced84bf8b7d2fc9696a847700a4f83bb3b.ttf","0174a154b1dd2c8824c0108a525fa6ced84bf8b7d2fc9696a847700a4f83bb3b")</f>
        <v>0174a154b1dd2c8824c0108a525fa6ced84bf8b7d2fc9696a847700a4f83bb3b</v>
      </c>
      <c r="I2040" s="1" t="s">
        <v>3413</v>
      </c>
      <c r="J2040" s="2" t="s">
        <v>3422</v>
      </c>
      <c r="K2040" s="2" t="s">
        <v>3422</v>
      </c>
      <c r="L2040" s="2" t="s">
        <v>3415</v>
      </c>
      <c r="M2040" s="2" t="n">
        <v>101216</v>
      </c>
    </row>
    <row r="2041" customFormat="false" ht="18.7" hidden="false" customHeight="true" outlineLevel="0" collapsed="false">
      <c r="A2041" s="1" t="n">
        <v>2040</v>
      </c>
      <c r="B2041" s="7" t="str">
        <f aca="false">HYPERLINK("https://mncourtfraud.com/file/27-CR-22-25069.pdf","27-CR-22-25069")</f>
        <v>27-CR-22-25069</v>
      </c>
      <c r="C2041" s="1" t="n">
        <v>1</v>
      </c>
      <c r="D2041" s="2" t="s">
        <v>12</v>
      </c>
      <c r="E2041" s="8" t="n">
        <v>45160</v>
      </c>
      <c r="F2041" s="2" t="s">
        <v>15</v>
      </c>
      <c r="G2041" s="7" t="str">
        <f aca="false">HYPERLINK("https://mncourtfraud.com/file/MCRO_27-CR-22-25069_Order-Evaluation for Competency to Proceed (Rule 20.01)_2023-08-22_20251126185424.pdf","MCRO_27-CR-22-25069_Order-Evaluation for Competency to Proceed (Rule 20.01)_2023-08-22_20251126185424.pdf")</f>
        <v>MCRO_27-CR-22-25069_Order-Evaluation for Competency to Proceed (Rule 20.01)_2023-08-22_20251126185424.pdf</v>
      </c>
      <c r="H2041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2041" s="1" t="s">
        <v>3413</v>
      </c>
      <c r="J2041" s="2" t="s">
        <v>3423</v>
      </c>
      <c r="K2041" s="2" t="s">
        <v>3423</v>
      </c>
      <c r="L2041" s="2" t="s">
        <v>3415</v>
      </c>
      <c r="M2041" s="2" t="n">
        <v>11088</v>
      </c>
    </row>
    <row r="2042" customFormat="false" ht="18.7" hidden="false" customHeight="true" outlineLevel="0" collapsed="false">
      <c r="A2042" s="1" t="n">
        <v>2041</v>
      </c>
      <c r="B2042" s="7" t="str">
        <f aca="false">HYPERLINK("https://mncourtfraud.com/file/27-CR-22-25069.pdf","27-CR-22-25069")</f>
        <v>27-CR-22-25069</v>
      </c>
      <c r="C2042" s="1" t="n">
        <v>1</v>
      </c>
      <c r="D2042" s="2" t="s">
        <v>12</v>
      </c>
      <c r="E2042" s="8" t="n">
        <v>45160</v>
      </c>
      <c r="F2042" s="2" t="s">
        <v>15</v>
      </c>
      <c r="G2042" s="7" t="str">
        <f aca="false">HYPERLINK("https://mncourtfraud.com/file/MCRO_27-CR-22-25069_Order-Evaluation for Competency to Proceed (Rule 20.01)_2023-08-22_20251126185424.pdf","MCRO_27-CR-22-25069_Order-Evaluation for Competency to Proceed (Rule 20.01)_2023-08-22_20251126185424.pdf")</f>
        <v>MCRO_27-CR-22-25069_Order-Evaluation for Competency to Proceed (Rule 20.01)_2023-08-22_20251126185424.pdf</v>
      </c>
      <c r="H2042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2042" s="1" t="s">
        <v>3413</v>
      </c>
      <c r="J2042" s="2" t="s">
        <v>3446</v>
      </c>
      <c r="K2042" s="2" t="s">
        <v>3446</v>
      </c>
      <c r="L2042" s="2" t="s">
        <v>3415</v>
      </c>
      <c r="M2042" s="2" t="n">
        <v>55072</v>
      </c>
      <c r="N2042" s="2" t="s">
        <v>3447</v>
      </c>
    </row>
    <row r="2043" customFormat="false" ht="18.7" hidden="false" customHeight="true" outlineLevel="0" collapsed="false">
      <c r="A2043" s="1" t="n">
        <v>2042</v>
      </c>
      <c r="B2043" s="7" t="str">
        <f aca="false">HYPERLINK("https://mncourtfraud.com/file/27-CR-22-25069.pdf","27-CR-22-25069")</f>
        <v>27-CR-22-25069</v>
      </c>
      <c r="C2043" s="1" t="n">
        <v>1</v>
      </c>
      <c r="D2043" s="2" t="s">
        <v>12</v>
      </c>
      <c r="E2043" s="8" t="n">
        <v>45160</v>
      </c>
      <c r="F2043" s="2" t="s">
        <v>15</v>
      </c>
      <c r="G2043" s="7" t="str">
        <f aca="false">HYPERLINK("https://mncourtfraud.com/file/MCRO_27-CR-22-25069_Order-Evaluation for Competency to Proceed (Rule 20.01)_2023-08-22_20251126185424.pdf","MCRO_27-CR-22-25069_Order-Evaluation for Competency to Proceed (Rule 20.01)_2023-08-22_20251126185424.pdf")</f>
        <v>MCRO_27-CR-22-25069_Order-Evaluation for Competency to Proceed (Rule 20.01)_2023-08-22_20251126185424.pdf</v>
      </c>
      <c r="H2043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2043" s="1" t="s">
        <v>3413</v>
      </c>
      <c r="J2043" s="2" t="s">
        <v>3424</v>
      </c>
      <c r="K2043" s="2" t="s">
        <v>3424</v>
      </c>
      <c r="L2043" s="2" t="s">
        <v>3415</v>
      </c>
      <c r="M2043" s="2" t="n">
        <v>14252</v>
      </c>
    </row>
    <row r="2044" customFormat="false" ht="18.7" hidden="false" customHeight="true" outlineLevel="0" collapsed="false">
      <c r="A2044" s="1" t="n">
        <v>2043</v>
      </c>
      <c r="B2044" s="7" t="str">
        <f aca="false">HYPERLINK("https://mncourtfraud.com/file/27-CR-22-25069.pdf","27-CR-22-25069")</f>
        <v>27-CR-22-25069</v>
      </c>
      <c r="C2044" s="1" t="n">
        <v>1</v>
      </c>
      <c r="D2044" s="2" t="s">
        <v>12</v>
      </c>
      <c r="E2044" s="8" t="n">
        <v>45160</v>
      </c>
      <c r="F2044" s="2" t="s">
        <v>15</v>
      </c>
      <c r="G2044" s="7" t="str">
        <f aca="false">HYPERLINK("https://mncourtfraud.com/file/MCRO_27-CR-22-25069_Order-Evaluation for Competency to Proceed (Rule 20.01)_2023-08-22_20251126185424.pdf","MCRO_27-CR-22-25069_Order-Evaluation for Competency to Proceed (Rule 20.01)_2023-08-22_20251126185424.pdf")</f>
        <v>MCRO_27-CR-22-25069_Order-Evaluation for Competency to Proceed (Rule 20.01)_2023-08-22_20251126185424.pdf</v>
      </c>
      <c r="H2044" s="7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2044" s="1" t="s">
        <v>3406</v>
      </c>
      <c r="L2044" s="2" t="s">
        <v>3412</v>
      </c>
      <c r="M2044" s="2" t="n">
        <v>5012</v>
      </c>
      <c r="S2044" s="2" t="n">
        <v>2740</v>
      </c>
      <c r="T2044" s="2" t="n">
        <v>180</v>
      </c>
    </row>
    <row r="2045" customFormat="false" ht="18.7" hidden="false" customHeight="true" outlineLevel="0" collapsed="false">
      <c r="A2045" s="1" t="n">
        <v>2044</v>
      </c>
      <c r="B2045" s="7" t="str">
        <f aca="false">HYPERLINK("https://mncourtfraud.com/file/27-CR-22-25069.pdf","27-CR-22-25069")</f>
        <v>27-CR-22-25069</v>
      </c>
      <c r="C2045" s="1" t="n">
        <v>1</v>
      </c>
      <c r="D2045" s="2" t="s">
        <v>12</v>
      </c>
      <c r="E2045" s="8" t="n">
        <v>45160</v>
      </c>
      <c r="F2045" s="2" t="s">
        <v>15</v>
      </c>
      <c r="G2045" s="7" t="str">
        <f aca="false">HYPERLINK("https://mncourtfraud.com/file/MCRO_27-CR-22-25069_Order-Evaluation for Competency to Proceed (Rule 20.01)_2023-08-22_20251126185424.pdf","MCRO_27-CR-22-25069_Order-Evaluation for Competency to Proceed (Rule 20.01)_2023-08-22_20251126185424.pdf")</f>
        <v>MCRO_27-CR-22-25069_Order-Evaluation for Competency to Proceed (Rule 20.01)_2023-08-22_20251126185424.pdf</v>
      </c>
      <c r="H2045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2045" s="1" t="s">
        <v>3413</v>
      </c>
      <c r="J2045" s="2" t="s">
        <v>3448</v>
      </c>
      <c r="K2045" s="2" t="s">
        <v>3448</v>
      </c>
      <c r="L2045" s="2" t="s">
        <v>3415</v>
      </c>
      <c r="M2045" s="2" t="n">
        <v>916684</v>
      </c>
    </row>
    <row r="2046" customFormat="false" ht="18.7" hidden="false" customHeight="true" outlineLevel="0" collapsed="false">
      <c r="A2046" s="1" t="n">
        <v>2045</v>
      </c>
      <c r="B2046" s="7" t="str">
        <f aca="false">HYPERLINK("https://mncourtfraud.com/file/27-CR-22-25069.pdf","27-CR-22-25069")</f>
        <v>27-CR-22-25069</v>
      </c>
      <c r="C2046" s="1" t="n">
        <v>1</v>
      </c>
      <c r="D2046" s="2" t="s">
        <v>12</v>
      </c>
      <c r="E2046" s="8" t="n">
        <v>45160</v>
      </c>
      <c r="F2046" s="2" t="s">
        <v>15</v>
      </c>
      <c r="G2046" s="7" t="str">
        <f aca="false">HYPERLINK("https://mncourtfraud.com/file/MCRO_27-CR-22-25069_Order-Evaluation for Competency to Proceed (Rule 20.01)_2023-08-22_20251126185424.pdf","MCRO_27-CR-22-25069_Order-Evaluation for Competency to Proceed (Rule 20.01)_2023-08-22_20251126185424.pdf")</f>
        <v>MCRO_27-CR-22-25069_Order-Evaluation for Competency to Proceed (Rule 20.01)_2023-08-22_20251126185424.pdf</v>
      </c>
      <c r="H2046" s="7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2046" s="1" t="s">
        <v>3406</v>
      </c>
      <c r="K2046" s="2" t="s">
        <v>3459</v>
      </c>
      <c r="L2046" s="2" t="s">
        <v>3408</v>
      </c>
      <c r="M2046" s="2" t="n">
        <v>5220</v>
      </c>
      <c r="O2046" s="2" t="s">
        <v>3460</v>
      </c>
      <c r="P2046" s="2" t="s">
        <v>3410</v>
      </c>
      <c r="S2046" s="2" t="n">
        <v>881</v>
      </c>
      <c r="T2046" s="2" t="n">
        <v>216</v>
      </c>
    </row>
    <row r="2047" customFormat="false" ht="18.7" hidden="false" customHeight="true" outlineLevel="0" collapsed="false">
      <c r="A2047" s="1" t="n">
        <v>2046</v>
      </c>
      <c r="B2047" s="7" t="str">
        <f aca="false">HYPERLINK("https://mncourtfraud.com/file/27-CR-22-25069.pdf","27-CR-22-25069")</f>
        <v>27-CR-22-25069</v>
      </c>
      <c r="C2047" s="1" t="n">
        <v>1</v>
      </c>
      <c r="D2047" s="2" t="s">
        <v>12</v>
      </c>
      <c r="E2047" s="8" t="n">
        <v>45412</v>
      </c>
      <c r="F2047" s="2" t="s">
        <v>15</v>
      </c>
      <c r="G2047" s="7" t="str">
        <f aca="false">HYPERLINK("https://mncourtfraud.com/file/MCRO_27-CR-22-25069_Order-Evaluation for Competency to Proceed (Rule 20.01)_2024-04-30_20251126185403.pdf","MCRO_27-CR-22-25069_Order-Evaluation for Competency to Proceed (Rule 20.01)_2024-04-30_20251126185403.pdf")</f>
        <v>MCRO_27-CR-22-25069_Order-Evaluation for Competency to Proceed (Rule 20.01)_2024-04-30_20251126185403.pdf</v>
      </c>
      <c r="H2047" s="7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2047" s="1" t="s">
        <v>3406</v>
      </c>
      <c r="L2047" s="2" t="s">
        <v>3412</v>
      </c>
      <c r="M2047" s="2" t="n">
        <v>154549</v>
      </c>
      <c r="S2047" s="2" t="n">
        <v>2560</v>
      </c>
      <c r="T2047" s="2" t="n">
        <v>3300</v>
      </c>
    </row>
    <row r="2048" customFormat="false" ht="18.7" hidden="false" customHeight="true" outlineLevel="0" collapsed="false">
      <c r="A2048" s="1" t="n">
        <v>2047</v>
      </c>
      <c r="B2048" s="7" t="str">
        <f aca="false">HYPERLINK("https://mncourtfraud.com/file/27-CR-22-25069.pdf","27-CR-22-25069")</f>
        <v>27-CR-22-25069</v>
      </c>
      <c r="C2048" s="1" t="n">
        <v>1</v>
      </c>
      <c r="D2048" s="2" t="s">
        <v>12</v>
      </c>
      <c r="E2048" s="8" t="n">
        <v>45412</v>
      </c>
      <c r="F2048" s="2" t="s">
        <v>15</v>
      </c>
      <c r="G2048" s="7" t="str">
        <f aca="false">HYPERLINK("https://mncourtfraud.com/file/MCRO_27-CR-22-25069_Order-Evaluation for Competency to Proceed (Rule 20.01)_2024-04-30_20251126185403.pdf","MCRO_27-CR-22-25069_Order-Evaluation for Competency to Proceed (Rule 20.01)_2024-04-30_20251126185403.pdf")</f>
        <v>MCRO_27-CR-22-25069_Order-Evaluation for Competency to Proceed (Rule 20.01)_2024-04-30_20251126185403.pdf</v>
      </c>
      <c r="H2048" s="7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2048" s="1" t="s">
        <v>3406</v>
      </c>
      <c r="L2048" s="2" t="s">
        <v>3412</v>
      </c>
      <c r="M2048" s="2" t="n">
        <v>180051</v>
      </c>
      <c r="S2048" s="2" t="n">
        <v>2560</v>
      </c>
      <c r="T2048" s="2" t="n">
        <v>3300</v>
      </c>
    </row>
    <row r="2049" customFormat="false" ht="18.7" hidden="false" customHeight="true" outlineLevel="0" collapsed="false">
      <c r="A2049" s="1" t="n">
        <v>2048</v>
      </c>
      <c r="B2049" s="7" t="str">
        <f aca="false">HYPERLINK("https://mncourtfraud.com/file/27-CR-22-25069.pdf","27-CR-22-25069")</f>
        <v>27-CR-22-25069</v>
      </c>
      <c r="C2049" s="1" t="n">
        <v>1</v>
      </c>
      <c r="D2049" s="2" t="s">
        <v>12</v>
      </c>
      <c r="E2049" s="8" t="n">
        <v>45412</v>
      </c>
      <c r="F2049" s="2" t="s">
        <v>24</v>
      </c>
      <c r="G2049" s="7" t="str">
        <f aca="false">HYPERLINK("https://mncourtfraud.com/file/MCRO_27-CR-22-25069_Order for Conditional Release_2024-04-30_20251126185327.pdf","MCRO_27-CR-22-25069_Order for Conditional Release_2024-04-30_20251126185327.pdf")</f>
        <v>MCRO_27-CR-22-25069_Order for Conditional Release_2024-04-30_20251126185327.pdf</v>
      </c>
      <c r="H2049" s="7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2049" s="1" t="s">
        <v>3406</v>
      </c>
      <c r="L2049" s="2" t="s">
        <v>3412</v>
      </c>
      <c r="M2049" s="2" t="n">
        <v>38726</v>
      </c>
      <c r="S2049" s="2" t="n">
        <v>2560</v>
      </c>
      <c r="T2049" s="2" t="n">
        <v>3300</v>
      </c>
    </row>
    <row r="2050" customFormat="false" ht="18.7" hidden="false" customHeight="true" outlineLevel="0" collapsed="false">
      <c r="A2050" s="1" t="n">
        <v>2049</v>
      </c>
      <c r="B2050" s="7" t="str">
        <f aca="false">HYPERLINK("https://mncourtfraud.com/file/27-CR-22-25069.pdf","27-CR-22-25069")</f>
        <v>27-CR-22-25069</v>
      </c>
      <c r="C2050" s="1" t="n">
        <v>1</v>
      </c>
      <c r="D2050" s="2" t="s">
        <v>12</v>
      </c>
      <c r="E2050" s="8" t="n">
        <v>45412</v>
      </c>
      <c r="F2050" s="2" t="s">
        <v>15</v>
      </c>
      <c r="G2050" s="7" t="str">
        <f aca="false">HYPERLINK("https://mncourtfraud.com/file/MCRO_27-CR-22-25069_Order-Evaluation for Competency to Proceed (Rule 20.01)_2024-04-30_20251126185403.pdf","MCRO_27-CR-22-25069_Order-Evaluation for Competency to Proceed (Rule 20.01)_2024-04-30_20251126185403.pdf")</f>
        <v>MCRO_27-CR-22-25069_Order-Evaluation for Competency to Proceed (Rule 20.01)_2024-04-30_20251126185403.pdf</v>
      </c>
      <c r="H2050" s="7" t="str">
        <f aca="false">HYPERLINK("https://mncourtfraud.com/file/4db7d2599119dc45c08adba3b9b2ba67e6a3d697261d3f95ca4c5b01777bcfbe.ttf","4db7d2599119dc45c08adba3b9b2ba67e6a3d697261d3f95ca4c5b01777bcfbe")</f>
        <v>4db7d2599119dc45c08adba3b9b2ba67e6a3d697261d3f95ca4c5b01777bcfbe</v>
      </c>
      <c r="I2050" s="1" t="s">
        <v>3413</v>
      </c>
      <c r="L2050" s="2" t="s">
        <v>3415</v>
      </c>
      <c r="M2050" s="2" t="n">
        <v>333576</v>
      </c>
    </row>
    <row r="2051" customFormat="false" ht="18.7" hidden="false" customHeight="true" outlineLevel="0" collapsed="false">
      <c r="A2051" s="1" t="n">
        <v>2050</v>
      </c>
      <c r="B2051" s="7" t="str">
        <f aca="false">HYPERLINK("https://mncourtfraud.com/file/27-CR-22-25069.pdf","27-CR-22-25069")</f>
        <v>27-CR-22-25069</v>
      </c>
      <c r="C2051" s="1" t="n">
        <v>1</v>
      </c>
      <c r="D2051" s="2" t="s">
        <v>12</v>
      </c>
      <c r="E2051" s="8" t="n">
        <v>45412</v>
      </c>
      <c r="F2051" s="2" t="s">
        <v>15</v>
      </c>
      <c r="G2051" s="7" t="str">
        <f aca="false">HYPERLINK("https://mncourtfraud.com/file/MCRO_27-CR-22-25069_Order-Evaluation for Competency to Proceed (Rule 20.01)_2024-04-30_20251126185403.pdf","MCRO_27-CR-22-25069_Order-Evaluation for Competency to Proceed (Rule 20.01)_2024-04-30_20251126185403.pdf")</f>
        <v>MCRO_27-CR-22-25069_Order-Evaluation for Competency to Proceed (Rule 20.01)_2024-04-30_20251126185403.pdf</v>
      </c>
      <c r="H2051" s="7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2051" s="1" t="s">
        <v>3406</v>
      </c>
      <c r="L2051" s="2" t="s">
        <v>3412</v>
      </c>
      <c r="M2051" s="2" t="n">
        <v>71271</v>
      </c>
      <c r="S2051" s="2" t="n">
        <v>2560</v>
      </c>
      <c r="T2051" s="2" t="n">
        <v>3300</v>
      </c>
    </row>
    <row r="2052" customFormat="false" ht="18.7" hidden="false" customHeight="true" outlineLevel="0" collapsed="false">
      <c r="A2052" s="1" t="n">
        <v>2051</v>
      </c>
      <c r="B2052" s="7" t="str">
        <f aca="false">HYPERLINK("https://mncourtfraud.com/file/27-CR-22-25069.pdf","27-CR-22-25069")</f>
        <v>27-CR-22-25069</v>
      </c>
      <c r="C2052" s="1" t="n">
        <v>1</v>
      </c>
      <c r="D2052" s="2" t="s">
        <v>12</v>
      </c>
      <c r="E2052" s="8" t="n">
        <v>45412</v>
      </c>
      <c r="F2052" s="2" t="s">
        <v>24</v>
      </c>
      <c r="G2052" s="7" t="str">
        <f aca="false">HYPERLINK("https://mncourtfraud.com/file/MCRO_27-CR-22-25069_Order for Conditional Release_2024-04-30_20251126185327.pdf","MCRO_27-CR-22-25069_Order for Conditional Release_2024-04-30_20251126185327.pdf")</f>
        <v>MCRO_27-CR-22-25069_Order for Conditional Release_2024-04-30_20251126185327.pdf</v>
      </c>
      <c r="H2052" s="7" t="str">
        <f aca="false">HYPERLINK("https://mncourtfraud.com/file/d5cf4f06aaee8f372e6af86dab12d75d131a3ba68ba6baeac4b7b514ef3e0b85.ttf","d5cf4f06aaee8f372e6af86dab12d75d131a3ba68ba6baeac4b7b514ef3e0b85")</f>
        <v>d5cf4f06aaee8f372e6af86dab12d75d131a3ba68ba6baeac4b7b514ef3e0b85</v>
      </c>
      <c r="I2052" s="1" t="s">
        <v>3413</v>
      </c>
      <c r="L2052" s="2" t="s">
        <v>3415</v>
      </c>
      <c r="M2052" s="2" t="n">
        <v>333576</v>
      </c>
    </row>
    <row r="2053" customFormat="false" ht="18.7" hidden="false" customHeight="true" outlineLevel="0" collapsed="false">
      <c r="A2053" s="1" t="n">
        <v>2052</v>
      </c>
      <c r="B2053" s="7" t="str">
        <f aca="false">HYPERLINK("https://mncourtfraud.com/file/27-CR-22-25069.pdf","27-CR-22-25069")</f>
        <v>27-CR-22-25069</v>
      </c>
      <c r="C2053" s="1" t="n">
        <v>1</v>
      </c>
      <c r="D2053" s="2" t="s">
        <v>12</v>
      </c>
      <c r="E2053" s="8" t="n">
        <v>45412</v>
      </c>
      <c r="F2053" s="2" t="s">
        <v>24</v>
      </c>
      <c r="G2053" s="7" t="str">
        <f aca="false">HYPERLINK("https://mncourtfraud.com/file/MCRO_27-CR-22-25069_Order for Conditional Release_2024-04-30_20251126185327.pdf","MCRO_27-CR-22-25069_Order for Conditional Release_2024-04-30_20251126185327.pdf")</f>
        <v>MCRO_27-CR-22-25069_Order for Conditional Release_2024-04-30_20251126185327.pdf</v>
      </c>
      <c r="H2053" s="7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2053" s="1" t="s">
        <v>3406</v>
      </c>
      <c r="L2053" s="2" t="s">
        <v>3412</v>
      </c>
      <c r="M2053" s="2" t="n">
        <v>195018</v>
      </c>
      <c r="S2053" s="2" t="n">
        <v>2560</v>
      </c>
      <c r="T2053" s="2" t="n">
        <v>3300</v>
      </c>
    </row>
    <row r="2054" customFormat="false" ht="18.7" hidden="false" customHeight="true" outlineLevel="0" collapsed="false">
      <c r="A2054" s="1" t="n">
        <v>2053</v>
      </c>
      <c r="B2054" s="7" t="str">
        <f aca="false">HYPERLINK("https://mncourtfraud.com/file/27-CR-22-3864.pdf","27-CR-22-3864")</f>
        <v>27-CR-22-3864</v>
      </c>
      <c r="C2054" s="1" t="n">
        <v>1</v>
      </c>
      <c r="D2054" s="2" t="s">
        <v>12</v>
      </c>
      <c r="E2054" s="8" t="n">
        <v>44761</v>
      </c>
      <c r="F2054" s="2" t="s">
        <v>15</v>
      </c>
      <c r="G2054" s="7" t="str">
        <f aca="false">HYPERLINK("https://mncourtfraud.com/file/MCRO_27-CR-22-3864_Order-Evaluation for Competency to Proceed (Rule 20.01)_2022-07-19_20251126185540.pdf","MCRO_27-CR-22-3864_Order-Evaluation for Competency to Proceed (Rule 20.01)_2022-07-19_20251126185540.pdf")</f>
        <v>MCRO_27-CR-22-3864_Order-Evaluation for Competency to Proceed (Rule 20.01)_2022-07-19_20251126185540.pdf</v>
      </c>
      <c r="H2054" s="7" t="str">
        <f aca="false">HYPERLINK("https://mncourtfraud.com/file/0d99ce1c86766d567d8765a4d807f3834791715457034c8ac17c745755a0ee2e.png","0d99ce1c86766d567d8765a4d807f3834791715457034c8ac17c745755a0ee2e")</f>
        <v>0d99ce1c86766d567d8765a4d807f3834791715457034c8ac17c745755a0ee2e</v>
      </c>
      <c r="I2054" s="1" t="s">
        <v>3406</v>
      </c>
      <c r="L2054" s="2" t="s">
        <v>3412</v>
      </c>
      <c r="M2054" s="2" t="n">
        <v>181526</v>
      </c>
      <c r="S2054" s="2" t="n">
        <v>3304</v>
      </c>
      <c r="T2054" s="2" t="n">
        <v>2550</v>
      </c>
    </row>
    <row r="2055" customFormat="false" ht="18.7" hidden="false" customHeight="true" outlineLevel="0" collapsed="false">
      <c r="A2055" s="1" t="n">
        <v>2054</v>
      </c>
      <c r="B2055" s="7" t="str">
        <f aca="false">HYPERLINK("https://mncourtfraud.com/file/27-CR-22-3864.pdf","27-CR-22-3864")</f>
        <v>27-CR-22-3864</v>
      </c>
      <c r="C2055" s="1" t="n">
        <v>1</v>
      </c>
      <c r="D2055" s="2" t="s">
        <v>12</v>
      </c>
      <c r="E2055" s="8" t="n">
        <v>44761</v>
      </c>
      <c r="F2055" s="2" t="s">
        <v>15</v>
      </c>
      <c r="G2055" s="7" t="str">
        <f aca="false">HYPERLINK("https://mncourtfraud.com/file/MCRO_27-CR-22-3864_Order-Evaluation for Competency to Proceed (Rule 20.01)_2022-07-19_20251126185540.pdf","MCRO_27-CR-22-3864_Order-Evaluation for Competency to Proceed (Rule 20.01)_2022-07-19_20251126185540.pdf")</f>
        <v>MCRO_27-CR-22-3864_Order-Evaluation for Competency to Proceed (Rule 20.01)_2022-07-19_20251126185540.pdf</v>
      </c>
      <c r="H2055" s="7" t="str">
        <f aca="false">HYPERLINK("https://mncourtfraud.com/file/c98c8baad1022c0211ad064c25bbedf4625c04b2297a7c839ba647c6660d1293.png","c98c8baad1022c0211ad064c25bbedf4625c04b2297a7c839ba647c6660d1293")</f>
        <v>c98c8baad1022c0211ad064c25bbedf4625c04b2297a7c839ba647c6660d1293</v>
      </c>
      <c r="I2055" s="1" t="s">
        <v>3406</v>
      </c>
      <c r="L2055" s="2" t="s">
        <v>3412</v>
      </c>
      <c r="M2055" s="2" t="n">
        <v>198067</v>
      </c>
      <c r="S2055" s="2" t="n">
        <v>3304</v>
      </c>
      <c r="T2055" s="2" t="n">
        <v>2550</v>
      </c>
    </row>
    <row r="2056" customFormat="false" ht="18.7" hidden="false" customHeight="true" outlineLevel="0" collapsed="false">
      <c r="A2056" s="1" t="n">
        <v>2055</v>
      </c>
      <c r="B2056" s="7" t="str">
        <f aca="false">HYPERLINK("https://mncourtfraud.com/file/27-CR-22-3864.pdf","27-CR-22-3864")</f>
        <v>27-CR-22-3864</v>
      </c>
      <c r="C2056" s="1" t="n">
        <v>1</v>
      </c>
      <c r="D2056" s="2" t="s">
        <v>12</v>
      </c>
      <c r="E2056" s="8" t="n">
        <v>44761</v>
      </c>
      <c r="F2056" s="2" t="s">
        <v>15</v>
      </c>
      <c r="G2056" s="7" t="str">
        <f aca="false">HYPERLINK("https://mncourtfraud.com/file/MCRO_27-CR-22-3864_Order-Evaluation for Competency to Proceed (Rule 20.01)_2022-07-19_20251126185540.pdf","MCRO_27-CR-22-3864_Order-Evaluation for Competency to Proceed (Rule 20.01)_2022-07-19_20251126185540.pdf")</f>
        <v>MCRO_27-CR-22-3864_Order-Evaluation for Competency to Proceed (Rule 20.01)_2022-07-19_20251126185540.pdf</v>
      </c>
      <c r="H2056" s="7" t="str">
        <f aca="false">HYPERLINK("https://mncourtfraud.com/file/ce3a09c5b18e46a7d95bc30202f29439160107f42bca0ad59c55ddd16135b47f.ttf","ce3a09c5b18e46a7d95bc30202f29439160107f42bca0ad59c55ddd16135b47f")</f>
        <v>ce3a09c5b18e46a7d95bc30202f29439160107f42bca0ad59c55ddd16135b47f</v>
      </c>
      <c r="I2056" s="1" t="s">
        <v>3413</v>
      </c>
      <c r="L2056" s="2" t="s">
        <v>3415</v>
      </c>
      <c r="M2056" s="2" t="n">
        <v>333576</v>
      </c>
    </row>
    <row r="2057" customFormat="false" ht="18.7" hidden="false" customHeight="true" outlineLevel="0" collapsed="false">
      <c r="A2057" s="1" t="n">
        <v>2056</v>
      </c>
      <c r="B2057" s="7" t="str">
        <f aca="false">HYPERLINK("https://mncourtfraud.com/file/27-CR-22-3864.pdf","27-CR-22-3864")</f>
        <v>27-CR-22-3864</v>
      </c>
      <c r="C2057" s="1" t="n">
        <v>1</v>
      </c>
      <c r="D2057" s="2" t="s">
        <v>12</v>
      </c>
      <c r="E2057" s="8" t="n">
        <v>44895</v>
      </c>
      <c r="F2057" s="2" t="s">
        <v>15</v>
      </c>
      <c r="G2057" s="7" t="str">
        <f aca="false">HYPERLINK("https://mncourtfraud.com/file/MCRO_27-CR-22-3864_Order-Evaluation for Competency to Proceed (Rule 20.01)_2022-11-30_20251126185532.pdf","MCRO_27-CR-22-3864_Order-Evaluation for Competency to Proceed (Rule 20.01)_2022-11-30_20251126185532.pdf")</f>
        <v>MCRO_27-CR-22-3864_Order-Evaluation for Competency to Proceed (Rule 20.01)_2022-11-30_20251126185532.pdf</v>
      </c>
      <c r="H2057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2057" s="1" t="s">
        <v>3413</v>
      </c>
      <c r="J2057" s="2" t="s">
        <v>3423</v>
      </c>
      <c r="K2057" s="2" t="s">
        <v>3423</v>
      </c>
      <c r="L2057" s="2" t="s">
        <v>3415</v>
      </c>
      <c r="M2057" s="2" t="n">
        <v>11088</v>
      </c>
    </row>
    <row r="2058" customFormat="false" ht="18.7" hidden="false" customHeight="true" outlineLevel="0" collapsed="false">
      <c r="A2058" s="1" t="n">
        <v>2057</v>
      </c>
      <c r="B2058" s="7" t="str">
        <f aca="false">HYPERLINK("https://mncourtfraud.com/file/27-CR-22-3864.pdf","27-CR-22-3864")</f>
        <v>27-CR-22-3864</v>
      </c>
      <c r="C2058" s="1" t="n">
        <v>1</v>
      </c>
      <c r="D2058" s="2" t="s">
        <v>12</v>
      </c>
      <c r="E2058" s="8" t="n">
        <v>44895</v>
      </c>
      <c r="F2058" s="2" t="s">
        <v>15</v>
      </c>
      <c r="G2058" s="7" t="str">
        <f aca="false">HYPERLINK("https://mncourtfraud.com/file/MCRO_27-CR-22-3864_Order-Evaluation for Competency to Proceed (Rule 20.01)_2022-11-30_20251126185532.pdf","MCRO_27-CR-22-3864_Order-Evaluation for Competency to Proceed (Rule 20.01)_2022-11-30_20251126185532.pdf")</f>
        <v>MCRO_27-CR-22-3864_Order-Evaluation for Competency to Proceed (Rule 20.01)_2022-11-30_20251126185532.pdf</v>
      </c>
      <c r="H2058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2058" s="1" t="s">
        <v>3413</v>
      </c>
      <c r="J2058" s="2" t="s">
        <v>3446</v>
      </c>
      <c r="K2058" s="2" t="s">
        <v>3446</v>
      </c>
      <c r="L2058" s="2" t="s">
        <v>3415</v>
      </c>
      <c r="M2058" s="2" t="n">
        <v>55072</v>
      </c>
      <c r="N2058" s="2" t="s">
        <v>3447</v>
      </c>
    </row>
    <row r="2059" customFormat="false" ht="18.7" hidden="false" customHeight="true" outlineLevel="0" collapsed="false">
      <c r="A2059" s="1" t="n">
        <v>2058</v>
      </c>
      <c r="B2059" s="7" t="str">
        <f aca="false">HYPERLINK("https://mncourtfraud.com/file/27-CR-22-3864.pdf","27-CR-22-3864")</f>
        <v>27-CR-22-3864</v>
      </c>
      <c r="C2059" s="1" t="n">
        <v>1</v>
      </c>
      <c r="D2059" s="2" t="s">
        <v>12</v>
      </c>
      <c r="E2059" s="8" t="n">
        <v>44895</v>
      </c>
      <c r="F2059" s="2" t="s">
        <v>15</v>
      </c>
      <c r="G2059" s="7" t="str">
        <f aca="false">HYPERLINK("https://mncourtfraud.com/file/MCRO_27-CR-22-3864_Order-Evaluation for Competency to Proceed (Rule 20.01)_2022-11-30_20251126185532.pdf","MCRO_27-CR-22-3864_Order-Evaluation for Competency to Proceed (Rule 20.01)_2022-11-30_20251126185532.pdf")</f>
        <v>MCRO_27-CR-22-3864_Order-Evaluation for Competency to Proceed (Rule 20.01)_2022-11-30_20251126185532.pdf</v>
      </c>
      <c r="H2059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2059" s="1" t="s">
        <v>3413</v>
      </c>
      <c r="J2059" s="2" t="s">
        <v>3424</v>
      </c>
      <c r="K2059" s="2" t="s">
        <v>3424</v>
      </c>
      <c r="L2059" s="2" t="s">
        <v>3415</v>
      </c>
      <c r="M2059" s="2" t="n">
        <v>14252</v>
      </c>
    </row>
    <row r="2060" customFormat="false" ht="18.7" hidden="false" customHeight="true" outlineLevel="0" collapsed="false">
      <c r="A2060" s="1" t="n">
        <v>2059</v>
      </c>
      <c r="B2060" s="7" t="str">
        <f aca="false">HYPERLINK("https://mncourtfraud.com/file/27-CR-22-3864.pdf","27-CR-22-3864")</f>
        <v>27-CR-22-3864</v>
      </c>
      <c r="C2060" s="1" t="n">
        <v>1</v>
      </c>
      <c r="D2060" s="2" t="s">
        <v>12</v>
      </c>
      <c r="E2060" s="8" t="n">
        <v>44895</v>
      </c>
      <c r="F2060" s="2" t="s">
        <v>15</v>
      </c>
      <c r="G2060" s="7" t="str">
        <f aca="false">HYPERLINK("https://mncourtfraud.com/file/MCRO_27-CR-22-3864_Order-Evaluation for Competency to Proceed (Rule 20.01)_2022-11-30_20251126185532.pdf","MCRO_27-CR-22-3864_Order-Evaluation for Competency to Proceed (Rule 20.01)_2022-11-30_20251126185532.pdf")</f>
        <v>MCRO_27-CR-22-3864_Order-Evaluation for Competency to Proceed (Rule 20.01)_2022-11-30_20251126185532.pdf</v>
      </c>
      <c r="H2060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2060" s="1" t="s">
        <v>3406</v>
      </c>
      <c r="K2060" s="2" t="s">
        <v>3420</v>
      </c>
      <c r="L2060" s="2" t="s">
        <v>3408</v>
      </c>
      <c r="M2060" s="2" t="n">
        <v>7306</v>
      </c>
      <c r="O2060" s="2" t="s">
        <v>3409</v>
      </c>
      <c r="P2060" s="2" t="s">
        <v>3410</v>
      </c>
      <c r="S2060" s="2" t="n">
        <v>319</v>
      </c>
      <c r="T2060" s="2" t="n">
        <v>105</v>
      </c>
    </row>
    <row r="2061" customFormat="false" ht="18.7" hidden="false" customHeight="true" outlineLevel="0" collapsed="false">
      <c r="A2061" s="1" t="n">
        <v>2060</v>
      </c>
      <c r="B2061" s="7" t="str">
        <f aca="false">HYPERLINK("https://mncourtfraud.com/file/27-CR-22-3864.pdf","27-CR-22-3864")</f>
        <v>27-CR-22-3864</v>
      </c>
      <c r="C2061" s="1" t="n">
        <v>1</v>
      </c>
      <c r="D2061" s="2" t="s">
        <v>12</v>
      </c>
      <c r="E2061" s="8" t="n">
        <v>44895</v>
      </c>
      <c r="F2061" s="2" t="s">
        <v>15</v>
      </c>
      <c r="G2061" s="7" t="str">
        <f aca="false">HYPERLINK("https://mncourtfraud.com/file/MCRO_27-CR-22-3864_Order-Evaluation for Competency to Proceed (Rule 20.01)_2022-11-30_20251126185532.pdf","MCRO_27-CR-22-3864_Order-Evaluation for Competency to Proceed (Rule 20.01)_2022-11-30_20251126185532.pdf")</f>
        <v>MCRO_27-CR-22-3864_Order-Evaluation for Competency to Proceed (Rule 20.01)_2022-11-30_20251126185532.pdf</v>
      </c>
      <c r="H2061" s="7" t="str">
        <f aca="false">HYPERLINK("https://mncourtfraud.com/file/677e52a3b8403ce87e338b0a2e31e6f8e5ddf03fb0ca7043a341135cf0255eaa.ttf","677e52a3b8403ce87e338b0a2e31e6f8e5ddf03fb0ca7043a341135cf0255eaa")</f>
        <v>677e52a3b8403ce87e338b0a2e31e6f8e5ddf03fb0ca7043a341135cf0255eaa</v>
      </c>
      <c r="I2061" s="1" t="s">
        <v>3413</v>
      </c>
      <c r="J2061" s="2" t="s">
        <v>3422</v>
      </c>
      <c r="K2061" s="2" t="s">
        <v>3422</v>
      </c>
      <c r="L2061" s="2" t="s">
        <v>3415</v>
      </c>
      <c r="M2061" s="2" t="n">
        <v>149960</v>
      </c>
    </row>
    <row r="2062" customFormat="false" ht="18.7" hidden="false" customHeight="true" outlineLevel="0" collapsed="false">
      <c r="A2062" s="1" t="n">
        <v>2061</v>
      </c>
      <c r="B2062" s="7" t="str">
        <f aca="false">HYPERLINK("https://mncourtfraud.com/file/27-CR-22-3864.pdf","27-CR-22-3864")</f>
        <v>27-CR-22-3864</v>
      </c>
      <c r="C2062" s="1" t="n">
        <v>1</v>
      </c>
      <c r="D2062" s="2" t="s">
        <v>12</v>
      </c>
      <c r="E2062" s="8" t="n">
        <v>44895</v>
      </c>
      <c r="F2062" s="2" t="s">
        <v>15</v>
      </c>
      <c r="G2062" s="7" t="str">
        <f aca="false">HYPERLINK("https://mncourtfraud.com/file/MCRO_27-CR-22-3864_Order-Evaluation for Competency to Proceed (Rule 20.01)_2022-11-30_20251126185532.pdf","MCRO_27-CR-22-3864_Order-Evaluation for Competency to Proceed (Rule 20.01)_2022-11-30_20251126185532.pdf")</f>
        <v>MCRO_27-CR-22-3864_Order-Evaluation for Competency to Proceed (Rule 20.01)_2022-11-30_20251126185532.pdf</v>
      </c>
      <c r="H2062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2062" s="1" t="s">
        <v>3413</v>
      </c>
      <c r="J2062" s="2" t="s">
        <v>3448</v>
      </c>
      <c r="K2062" s="2" t="s">
        <v>3448</v>
      </c>
      <c r="L2062" s="2" t="s">
        <v>3415</v>
      </c>
      <c r="M2062" s="2" t="n">
        <v>916684</v>
      </c>
    </row>
    <row r="2063" customFormat="false" ht="18.7" hidden="false" customHeight="true" outlineLevel="0" collapsed="false">
      <c r="A2063" s="1" t="n">
        <v>2062</v>
      </c>
      <c r="B2063" s="7" t="str">
        <f aca="false">HYPERLINK("https://mncourtfraud.com/file/27-CR-22-3864.pdf","27-CR-22-3864")</f>
        <v>27-CR-22-3864</v>
      </c>
      <c r="C2063" s="1" t="n">
        <v>1</v>
      </c>
      <c r="D2063" s="2" t="s">
        <v>12</v>
      </c>
      <c r="E2063" s="8" t="n">
        <v>44895</v>
      </c>
      <c r="F2063" s="2" t="s">
        <v>15</v>
      </c>
      <c r="G2063" s="7" t="str">
        <f aca="false">HYPERLINK("https://mncourtfraud.com/file/MCRO_27-CR-22-3864_Order-Evaluation for Competency to Proceed (Rule 20.01)_2022-11-30_20251126185532.pdf","MCRO_27-CR-22-3864_Order-Evaluation for Competency to Proceed (Rule 20.01)_2022-11-30_20251126185532.pdf")</f>
        <v>MCRO_27-CR-22-3864_Order-Evaluation for Competency to Proceed (Rule 20.01)_2022-11-30_20251126185532.pdf</v>
      </c>
      <c r="H2063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2063" s="1" t="s">
        <v>3406</v>
      </c>
      <c r="K2063" s="2" t="s">
        <v>3425</v>
      </c>
      <c r="L2063" s="2" t="s">
        <v>3408</v>
      </c>
      <c r="M2063" s="2" t="n">
        <v>21225</v>
      </c>
      <c r="O2063" s="2" t="s">
        <v>3409</v>
      </c>
      <c r="P2063" s="2" t="s">
        <v>3410</v>
      </c>
      <c r="S2063" s="2" t="n">
        <v>319</v>
      </c>
      <c r="T2063" s="2" t="n">
        <v>105</v>
      </c>
    </row>
    <row r="2064" customFormat="false" ht="18.7" hidden="false" customHeight="true" outlineLevel="0" collapsed="false">
      <c r="A2064" s="1" t="n">
        <v>2063</v>
      </c>
      <c r="B2064" s="7" t="str">
        <f aca="false">HYPERLINK("https://mncourtfraud.com/file/27-CR-22-3864.pdf","27-CR-22-3864")</f>
        <v>27-CR-22-3864</v>
      </c>
      <c r="C2064" s="1" t="n">
        <v>1</v>
      </c>
      <c r="D2064" s="2" t="s">
        <v>12</v>
      </c>
      <c r="E2064" s="8" t="n">
        <v>44895</v>
      </c>
      <c r="F2064" s="2" t="s">
        <v>15</v>
      </c>
      <c r="G2064" s="7" t="str">
        <f aca="false">HYPERLINK("https://mncourtfraud.com/file/MCRO_27-CR-22-3864_Order-Evaluation for Competency to Proceed (Rule 20.01)_2022-11-30_20251126185532.pdf","MCRO_27-CR-22-3864_Order-Evaluation for Competency to Proceed (Rule 20.01)_2022-11-30_20251126185532.pdf")</f>
        <v>MCRO_27-CR-22-3864_Order-Evaluation for Competency to Proceed (Rule 20.01)_2022-11-30_20251126185532.pdf</v>
      </c>
      <c r="H2064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2064" s="1" t="s">
        <v>3413</v>
      </c>
      <c r="J2064" s="2" t="s">
        <v>3449</v>
      </c>
      <c r="K2064" s="2" t="s">
        <v>3449</v>
      </c>
      <c r="L2064" s="2" t="s">
        <v>3415</v>
      </c>
      <c r="M2064" s="2" t="n">
        <v>124664</v>
      </c>
    </row>
    <row r="2065" customFormat="false" ht="18.7" hidden="false" customHeight="true" outlineLevel="0" collapsed="false">
      <c r="A2065" s="1" t="n">
        <v>2064</v>
      </c>
      <c r="B2065" s="7" t="str">
        <f aca="false">HYPERLINK("https://mncourtfraud.com/file/27-CR-22-3864.pdf","27-CR-22-3864")</f>
        <v>27-CR-22-3864</v>
      </c>
      <c r="C2065" s="1" t="n">
        <v>1</v>
      </c>
      <c r="D2065" s="2" t="s">
        <v>12</v>
      </c>
      <c r="E2065" s="8" t="n">
        <v>44895</v>
      </c>
      <c r="F2065" s="2" t="s">
        <v>15</v>
      </c>
      <c r="G2065" s="7" t="str">
        <f aca="false">HYPERLINK("https://mncourtfraud.com/file/MCRO_27-CR-22-3864_Order-Evaluation for Competency to Proceed (Rule 20.01)_2022-11-30_20251126185532.pdf","MCRO_27-CR-22-3864_Order-Evaluation for Competency to Proceed (Rule 20.01)_2022-11-30_20251126185532.pdf")</f>
        <v>MCRO_27-CR-22-3864_Order-Evaluation for Competency to Proceed (Rule 20.01)_2022-11-30_20251126185532.pdf</v>
      </c>
      <c r="H2065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2065" s="1" t="s">
        <v>3413</v>
      </c>
      <c r="J2065" s="2" t="s">
        <v>3449</v>
      </c>
      <c r="K2065" s="2" t="s">
        <v>3449</v>
      </c>
      <c r="L2065" s="2" t="s">
        <v>3415</v>
      </c>
      <c r="M2065" s="2" t="n">
        <v>124664</v>
      </c>
    </row>
    <row r="2066" customFormat="false" ht="18.7" hidden="false" customHeight="true" outlineLevel="0" collapsed="false">
      <c r="A2066" s="1" t="n">
        <v>2065</v>
      </c>
      <c r="B2066" s="7" t="str">
        <f aca="false">HYPERLINK("https://mncourtfraud.com/file/27-CR-22-3864.pdf","27-CR-22-3864")</f>
        <v>27-CR-22-3864</v>
      </c>
      <c r="C2066" s="1" t="n">
        <v>1</v>
      </c>
      <c r="D2066" s="2" t="s">
        <v>12</v>
      </c>
      <c r="E2066" s="8" t="n">
        <v>44999</v>
      </c>
      <c r="F2066" s="2" t="s">
        <v>17</v>
      </c>
      <c r="G2066" s="7" t="str">
        <f aca="false">HYPERLINK("https://mncourtfraud.com/file/MCRO_27-CR-22-3864_Returned Mail_2023-03-14_20251126185557.pdf","MCRO_27-CR-22-3864_Returned Mail_2023-03-14_20251126185557.pdf")</f>
        <v>MCRO_27-CR-22-3864_Returned Mail_2023-03-14_20251126185557.pdf</v>
      </c>
      <c r="H2066" s="7" t="str">
        <f aca="false">HYPERLINK("https://mncourtfraud.com/file/9ea2e13fc866c21098f9e23af39a62e8ec5e55722d1c30c293481563ee010fe9.jpg","9ea2e13fc866c21098f9e23af39a62e8ec5e55722d1c30c293481563ee010fe9")</f>
        <v>9ea2e13fc866c21098f9e23af39a62e8ec5e55722d1c30c293481563ee010fe9</v>
      </c>
      <c r="I2066" s="1" t="s">
        <v>3417</v>
      </c>
      <c r="L2066" s="2" t="s">
        <v>3419</v>
      </c>
      <c r="M2066" s="2" t="n">
        <v>256783</v>
      </c>
      <c r="S2066" s="2" t="n">
        <v>3300</v>
      </c>
      <c r="T2066" s="2" t="n">
        <v>2550</v>
      </c>
    </row>
    <row r="2067" customFormat="false" ht="18.7" hidden="false" customHeight="true" outlineLevel="0" collapsed="false">
      <c r="A2067" s="1" t="n">
        <v>2066</v>
      </c>
      <c r="B2067" s="7" t="str">
        <f aca="false">HYPERLINK("https://mncourtfraud.com/file/27-CR-22-3864.pdf","27-CR-22-3864")</f>
        <v>27-CR-22-3864</v>
      </c>
      <c r="C2067" s="1" t="n">
        <v>1</v>
      </c>
      <c r="D2067" s="2" t="s">
        <v>12</v>
      </c>
      <c r="E2067" s="8" t="n">
        <v>44999</v>
      </c>
      <c r="F2067" s="2" t="s">
        <v>17</v>
      </c>
      <c r="G2067" s="7" t="str">
        <f aca="false">HYPERLINK("https://mncourtfraud.com/file/MCRO_27-CR-22-3864_Returned Mail_2023-03-14_20251126185557.pdf","MCRO_27-CR-22-3864_Returned Mail_2023-03-14_20251126185557.pdf")</f>
        <v>MCRO_27-CR-22-3864_Returned Mail_2023-03-14_20251126185557.pdf</v>
      </c>
      <c r="H2067" s="7" t="str">
        <f aca="false">HYPERLINK("https://mncourtfraud.com/file/f7fd5e3b705bda342f9d47669b40229a81563aa6cd3a8863be04a14ab09885ba.ttf","f7fd5e3b705bda342f9d47669b40229a81563aa6cd3a8863be04a14ab09885ba")</f>
        <v>f7fd5e3b705bda342f9d47669b40229a81563aa6cd3a8863be04a14ab09885ba</v>
      </c>
      <c r="I2067" s="1" t="s">
        <v>3413</v>
      </c>
      <c r="L2067" s="2" t="s">
        <v>3415</v>
      </c>
      <c r="M2067" s="2" t="n">
        <v>333576</v>
      </c>
    </row>
    <row r="2068" customFormat="false" ht="18.7" hidden="false" customHeight="true" outlineLevel="0" collapsed="false">
      <c r="A2068" s="1" t="n">
        <v>2067</v>
      </c>
      <c r="B2068" s="7" t="str">
        <f aca="false">HYPERLINK("https://mncourtfraud.com/file/27-CR-22-3864.pdf","27-CR-22-3864")</f>
        <v>27-CR-22-3864</v>
      </c>
      <c r="C2068" s="1" t="n">
        <v>1</v>
      </c>
      <c r="D2068" s="2" t="s">
        <v>12</v>
      </c>
      <c r="E2068" s="8" t="n">
        <v>45048</v>
      </c>
      <c r="F2068" s="2" t="s">
        <v>80</v>
      </c>
      <c r="G2068" s="7" t="str">
        <f aca="false">HYPERLINK("https://mncourtfraud.com/file/MCRO_27-CR-22-3864_Finding of Incompetency and Order_2023-05-02_20251126185519.pdf","MCRO_27-CR-22-3864_Finding of Incompetency and Order_2023-05-02_20251126185519.pdf")</f>
        <v>MCRO_27-CR-22-3864_Finding of Incompetency and Order_2023-05-02_20251126185519.pdf</v>
      </c>
      <c r="H2068" s="7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068" s="1" t="s">
        <v>3406</v>
      </c>
      <c r="L2068" s="2" t="s">
        <v>3412</v>
      </c>
      <c r="M2068" s="2" t="n">
        <v>3506</v>
      </c>
      <c r="S2068" s="2" t="n">
        <v>1410</v>
      </c>
      <c r="T2068" s="2" t="n">
        <v>150</v>
      </c>
    </row>
    <row r="2069" customFormat="false" ht="18.7" hidden="false" customHeight="true" outlineLevel="0" collapsed="false">
      <c r="A2069" s="1" t="n">
        <v>2068</v>
      </c>
      <c r="B2069" s="7" t="str">
        <f aca="false">HYPERLINK("https://mncourtfraud.com/file/27-CR-22-3864.pdf","27-CR-22-3864")</f>
        <v>27-CR-22-3864</v>
      </c>
      <c r="C2069" s="1" t="n">
        <v>1</v>
      </c>
      <c r="D2069" s="2" t="s">
        <v>12</v>
      </c>
      <c r="E2069" s="8" t="n">
        <v>45048</v>
      </c>
      <c r="F2069" s="2" t="s">
        <v>80</v>
      </c>
      <c r="G2069" s="7" t="str">
        <f aca="false">HYPERLINK("https://mncourtfraud.com/file/MCRO_27-CR-22-3864_Finding of Incompetency and Order_2023-05-02_20251126185519.pdf","MCRO_27-CR-22-3864_Finding of Incompetency and Order_2023-05-02_20251126185519.pdf")</f>
        <v>MCRO_27-CR-22-3864_Finding of Incompetency and Order_2023-05-02_20251126185519.pdf</v>
      </c>
      <c r="H2069" s="7" t="str">
        <f aca="false">HYPERLINK("https://mncourtfraud.com/file/18befca089509ee2fbaddf9c5b79bf5988523b22d2369743ed9a591b9fc3bdb6.ttf","18befca089509ee2fbaddf9c5b79bf5988523b22d2369743ed9a591b9fc3bdb6")</f>
        <v>18befca089509ee2fbaddf9c5b79bf5988523b22d2369743ed9a591b9fc3bdb6</v>
      </c>
      <c r="I2069" s="1" t="s">
        <v>3413</v>
      </c>
      <c r="J2069" s="2" t="s">
        <v>3421</v>
      </c>
      <c r="K2069" s="2" t="s">
        <v>3450</v>
      </c>
      <c r="L2069" s="2" t="s">
        <v>3415</v>
      </c>
      <c r="M2069" s="2" t="n">
        <v>115928</v>
      </c>
    </row>
    <row r="2070" customFormat="false" ht="18.7" hidden="false" customHeight="true" outlineLevel="0" collapsed="false">
      <c r="A2070" s="1" t="n">
        <v>2069</v>
      </c>
      <c r="B2070" s="7" t="str">
        <f aca="false">HYPERLINK("https://mncourtfraud.com/file/27-CR-22-3864.pdf","27-CR-22-3864")</f>
        <v>27-CR-22-3864</v>
      </c>
      <c r="C2070" s="1" t="n">
        <v>1</v>
      </c>
      <c r="D2070" s="2" t="s">
        <v>12</v>
      </c>
      <c r="E2070" s="8" t="n">
        <v>45048</v>
      </c>
      <c r="F2070" s="2" t="s">
        <v>80</v>
      </c>
      <c r="G2070" s="7" t="str">
        <f aca="false">HYPERLINK("https://mncourtfraud.com/file/MCRO_27-CR-22-3864_Finding of Incompetency and Order_2023-05-02_20251126185519.pdf","MCRO_27-CR-22-3864_Finding of Incompetency and Order_2023-05-02_20251126185519.pdf")</f>
        <v>MCRO_27-CR-22-3864_Finding of Incompetency and Order_2023-05-02_20251126185519.pdf</v>
      </c>
      <c r="H2070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2070" s="1" t="s">
        <v>3413</v>
      </c>
      <c r="J2070" s="2" t="s">
        <v>3446</v>
      </c>
      <c r="K2070" s="2" t="s">
        <v>3446</v>
      </c>
      <c r="L2070" s="2" t="s">
        <v>3415</v>
      </c>
      <c r="M2070" s="2" t="n">
        <v>55072</v>
      </c>
      <c r="N2070" s="2" t="s">
        <v>3447</v>
      </c>
    </row>
    <row r="2071" customFormat="false" ht="18.7" hidden="false" customHeight="true" outlineLevel="0" collapsed="false">
      <c r="A2071" s="1" t="n">
        <v>2070</v>
      </c>
      <c r="B2071" s="7" t="str">
        <f aca="false">HYPERLINK("https://mncourtfraud.com/file/27-CR-22-3864.pdf","27-CR-22-3864")</f>
        <v>27-CR-22-3864</v>
      </c>
      <c r="C2071" s="1" t="n">
        <v>1</v>
      </c>
      <c r="D2071" s="2" t="s">
        <v>12</v>
      </c>
      <c r="E2071" s="8" t="n">
        <v>45048</v>
      </c>
      <c r="F2071" s="2" t="s">
        <v>80</v>
      </c>
      <c r="G2071" s="7" t="str">
        <f aca="false">HYPERLINK("https://mncourtfraud.com/file/MCRO_27-CR-22-3864_Finding of Incompetency and Order_2023-05-02_20251126185519.pdf","MCRO_27-CR-22-3864_Finding of Incompetency and Order_2023-05-02_20251126185519.pdf")</f>
        <v>MCRO_27-CR-22-3864_Finding of Incompetency and Order_2023-05-02_20251126185519.pdf</v>
      </c>
      <c r="H2071" s="7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071" s="1" t="s">
        <v>3406</v>
      </c>
      <c r="K2071" s="2" t="s">
        <v>3451</v>
      </c>
      <c r="L2071" s="2" t="s">
        <v>3408</v>
      </c>
      <c r="M2071" s="2" t="n">
        <v>5295</v>
      </c>
      <c r="O2071" s="2" t="s">
        <v>3452</v>
      </c>
      <c r="P2071" s="2" t="s">
        <v>3410</v>
      </c>
      <c r="S2071" s="2" t="n">
        <v>833</v>
      </c>
      <c r="T2071" s="2" t="n">
        <v>186</v>
      </c>
    </row>
    <row r="2072" customFormat="false" ht="18.7" hidden="false" customHeight="true" outlineLevel="0" collapsed="false">
      <c r="A2072" s="1" t="n">
        <v>2071</v>
      </c>
      <c r="B2072" s="7" t="str">
        <f aca="false">HYPERLINK("https://mncourtfraud.com/file/27-CR-22-3864.pdf","27-CR-22-3864")</f>
        <v>27-CR-22-3864</v>
      </c>
      <c r="C2072" s="1" t="n">
        <v>1</v>
      </c>
      <c r="D2072" s="2" t="s">
        <v>12</v>
      </c>
      <c r="E2072" s="8" t="n">
        <v>45048</v>
      </c>
      <c r="F2072" s="2" t="s">
        <v>80</v>
      </c>
      <c r="G2072" s="7" t="str">
        <f aca="false">HYPERLINK("https://mncourtfraud.com/file/MCRO_27-CR-22-3864_Finding of Incompetency and Order_2023-05-02_20251126185519.pdf","MCRO_27-CR-22-3864_Finding of Incompetency and Order_2023-05-02_20251126185519.pdf")</f>
        <v>MCRO_27-CR-22-3864_Finding of Incompetency and Order_2023-05-02_20251126185519.pdf</v>
      </c>
      <c r="H2072" s="7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072" s="1" t="s">
        <v>3406</v>
      </c>
      <c r="K2072" s="2" t="s">
        <v>3453</v>
      </c>
      <c r="L2072" s="2" t="s">
        <v>3408</v>
      </c>
      <c r="M2072" s="2" t="n">
        <v>3442</v>
      </c>
      <c r="O2072" s="2" t="s">
        <v>3454</v>
      </c>
      <c r="P2072" s="2" t="s">
        <v>3410</v>
      </c>
      <c r="S2072" s="2" t="n">
        <v>857</v>
      </c>
      <c r="T2072" s="2" t="n">
        <v>184</v>
      </c>
    </row>
    <row r="2073" customFormat="false" ht="18.7" hidden="false" customHeight="true" outlineLevel="0" collapsed="false">
      <c r="A2073" s="1" t="n">
        <v>2072</v>
      </c>
      <c r="B2073" s="7" t="str">
        <f aca="false">HYPERLINK("https://mncourtfraud.com/file/27-CR-22-3864.pdf","27-CR-22-3864")</f>
        <v>27-CR-22-3864</v>
      </c>
      <c r="C2073" s="1" t="n">
        <v>1</v>
      </c>
      <c r="D2073" s="2" t="s">
        <v>12</v>
      </c>
      <c r="E2073" s="8" t="n">
        <v>45048</v>
      </c>
      <c r="F2073" s="2" t="s">
        <v>80</v>
      </c>
      <c r="G2073" s="7" t="str">
        <f aca="false">HYPERLINK("https://mncourtfraud.com/file/MCRO_27-CR-22-3864_Finding of Incompetency and Order_2023-05-02_20251126185519.pdf","MCRO_27-CR-22-3864_Finding of Incompetency and Order_2023-05-02_20251126185519.pdf")</f>
        <v>MCRO_27-CR-22-3864_Finding of Incompetency and Order_2023-05-02_20251126185519.pdf</v>
      </c>
      <c r="H2073" s="7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2073" s="1" t="s">
        <v>3406</v>
      </c>
      <c r="L2073" s="2" t="s">
        <v>3412</v>
      </c>
      <c r="M2073" s="2" t="n">
        <v>3824</v>
      </c>
      <c r="S2073" s="2" t="n">
        <v>1850</v>
      </c>
      <c r="T2073" s="2" t="n">
        <v>160</v>
      </c>
    </row>
    <row r="2074" customFormat="false" ht="18.7" hidden="false" customHeight="true" outlineLevel="0" collapsed="false">
      <c r="A2074" s="1" t="n">
        <v>2073</v>
      </c>
      <c r="B2074" s="7" t="str">
        <f aca="false">HYPERLINK("https://mncourtfraud.com/file/27-CR-22-3864.pdf","27-CR-22-3864")</f>
        <v>27-CR-22-3864</v>
      </c>
      <c r="C2074" s="1" t="n">
        <v>1</v>
      </c>
      <c r="D2074" s="2" t="s">
        <v>12</v>
      </c>
      <c r="E2074" s="8" t="n">
        <v>45048</v>
      </c>
      <c r="F2074" s="2" t="s">
        <v>80</v>
      </c>
      <c r="G2074" s="7" t="str">
        <f aca="false">HYPERLINK("https://mncourtfraud.com/file/MCRO_27-CR-22-3864_Finding of Incompetency and Order_2023-05-02_20251126185519.pdf","MCRO_27-CR-22-3864_Finding of Incompetency and Order_2023-05-02_20251126185519.pdf")</f>
        <v>MCRO_27-CR-22-3864_Finding of Incompetency and Order_2023-05-02_20251126185519.pdf</v>
      </c>
      <c r="H2074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2074" s="1" t="s">
        <v>3413</v>
      </c>
      <c r="J2074" s="2" t="s">
        <v>3448</v>
      </c>
      <c r="K2074" s="2" t="s">
        <v>3448</v>
      </c>
      <c r="L2074" s="2" t="s">
        <v>3415</v>
      </c>
      <c r="M2074" s="2" t="n">
        <v>916684</v>
      </c>
    </row>
    <row r="2075" customFormat="false" ht="18.7" hidden="false" customHeight="true" outlineLevel="0" collapsed="false">
      <c r="A2075" s="1" t="n">
        <v>2074</v>
      </c>
      <c r="B2075" s="7" t="str">
        <f aca="false">HYPERLINK("https://mncourtfraud.com/file/27-CR-22-6512.pdf","27-CR-22-6512")</f>
        <v>27-CR-22-6512</v>
      </c>
      <c r="C2075" s="1" t="n">
        <v>5</v>
      </c>
      <c r="D2075" s="2" t="s">
        <v>267</v>
      </c>
      <c r="E2075" s="8" t="n">
        <v>44837</v>
      </c>
      <c r="F2075" s="2" t="s">
        <v>17</v>
      </c>
      <c r="G2075" s="7" t="str">
        <f aca="false">HYPERLINK("https://mncourtfraud.com/file/MCRO_27-CR-22-6512_Returned Mail_2022-10-03_20251126170305.pdf","MCRO_27-CR-22-6512_Returned Mail_2022-10-03_20251126170305.pdf")</f>
        <v>MCRO_27-CR-22-6512_Returned Mail_2022-10-03_20251126170305.pdf</v>
      </c>
      <c r="H2075" s="7" t="str">
        <f aca="false">HYPERLINK("https://mncourtfraud.com/file/237d5516e0c716146a65e7b2daf746fb6188c66f833317ba27cb286332d42dea.jpg","237d5516e0c716146a65e7b2daf746fb6188c66f833317ba27cb286332d42dea")</f>
        <v>237d5516e0c716146a65e7b2daf746fb6188c66f833317ba27cb286332d42dea</v>
      </c>
      <c r="I2075" s="1" t="s">
        <v>3417</v>
      </c>
      <c r="L2075" s="2" t="s">
        <v>3419</v>
      </c>
      <c r="M2075" s="2" t="n">
        <v>318425</v>
      </c>
      <c r="S2075" s="2" t="n">
        <v>2550</v>
      </c>
      <c r="T2075" s="2" t="n">
        <v>3300</v>
      </c>
    </row>
    <row r="2076" customFormat="false" ht="18.7" hidden="false" customHeight="true" outlineLevel="0" collapsed="false">
      <c r="A2076" s="1" t="n">
        <v>2075</v>
      </c>
      <c r="B2076" s="7" t="str">
        <f aca="false">HYPERLINK("https://mncourtfraud.com/file/27-CR-22-6512.pdf","27-CR-22-6512")</f>
        <v>27-CR-22-6512</v>
      </c>
      <c r="C2076" s="1" t="n">
        <v>5</v>
      </c>
      <c r="D2076" s="2" t="s">
        <v>267</v>
      </c>
      <c r="E2076" s="8" t="n">
        <v>44837</v>
      </c>
      <c r="F2076" s="2" t="s">
        <v>17</v>
      </c>
      <c r="G2076" s="7" t="str">
        <f aca="false">HYPERLINK("https://mncourtfraud.com/file/MCRO_27-CR-22-6512_Returned Mail_2022-10-03_20251126170305.pdf","MCRO_27-CR-22-6512_Returned Mail_2022-10-03_20251126170305.pdf")</f>
        <v>MCRO_27-CR-22-6512_Returned Mail_2022-10-03_20251126170305.pdf</v>
      </c>
      <c r="H2076" s="7" t="str">
        <f aca="false">HYPERLINK("https://mncourtfraud.com/file/a5e5c392eb46244eb2f6cb58ac26cd8ceafb56d6f16b754ee26ba4f3c1b3b729.ttf","a5e5c392eb46244eb2f6cb58ac26cd8ceafb56d6f16b754ee26ba4f3c1b3b729")</f>
        <v>a5e5c392eb46244eb2f6cb58ac26cd8ceafb56d6f16b754ee26ba4f3c1b3b729</v>
      </c>
      <c r="I2076" s="1" t="s">
        <v>3413</v>
      </c>
      <c r="L2076" s="2" t="s">
        <v>3415</v>
      </c>
      <c r="M2076" s="2" t="n">
        <v>333584</v>
      </c>
    </row>
    <row r="2077" customFormat="false" ht="18.7" hidden="false" customHeight="true" outlineLevel="0" collapsed="false">
      <c r="A2077" s="1" t="n">
        <v>2076</v>
      </c>
      <c r="B2077" s="7" t="str">
        <f aca="false">HYPERLINK("https://mncourtfraud.com/file/27-CR-22-6512.pdf","27-CR-22-6512")</f>
        <v>27-CR-22-6512</v>
      </c>
      <c r="C2077" s="1" t="n">
        <v>5</v>
      </c>
      <c r="D2077" s="2" t="s">
        <v>267</v>
      </c>
      <c r="E2077" s="8" t="n">
        <v>44873</v>
      </c>
      <c r="F2077" s="2" t="s">
        <v>15</v>
      </c>
      <c r="G2077" s="7" t="str">
        <f aca="false">HYPERLINK("https://mncourtfraud.com/file/MCRO_27-CR-22-6512_Order-Evaluation for Competency to Proceed (Rule 20.01)_2022-11-08_20251126170328.pdf","MCRO_27-CR-22-6512_Order-Evaluation for Competency to Proceed (Rule 20.01)_2022-11-08_20251126170328.pdf")</f>
        <v>MCRO_27-CR-22-6512_Order-Evaluation for Competency to Proceed (Rule 20.01)_2022-11-08_20251126170328.pdf</v>
      </c>
      <c r="H2077" s="7" t="str">
        <f aca="false">HYPERLINK("https://mncourtfraud.com/file/082f387ba4835f1cae3d2529d7afa13cbb922baebe03519ee43d2c14358c2398.jpg","082f387ba4835f1cae3d2529d7afa13cbb922baebe03519ee43d2c14358c2398")</f>
        <v>082f387ba4835f1cae3d2529d7afa13cbb922baebe03519ee43d2c14358c2398</v>
      </c>
      <c r="I2077" s="1" t="s">
        <v>3417</v>
      </c>
      <c r="L2077" s="2" t="s">
        <v>3418</v>
      </c>
      <c r="M2077" s="2" t="n">
        <v>300734</v>
      </c>
      <c r="S2077" s="2" t="n">
        <v>1700</v>
      </c>
      <c r="T2077" s="2" t="n">
        <v>2200</v>
      </c>
    </row>
    <row r="2078" customFormat="false" ht="18.7" hidden="false" customHeight="true" outlineLevel="0" collapsed="false">
      <c r="A2078" s="1" t="n">
        <v>2077</v>
      </c>
      <c r="B2078" s="7" t="str">
        <f aca="false">HYPERLINK("https://mncourtfraud.com/file/27-CR-22-6512.pdf","27-CR-22-6512")</f>
        <v>27-CR-22-6512</v>
      </c>
      <c r="C2078" s="1" t="n">
        <v>5</v>
      </c>
      <c r="D2078" s="2" t="s">
        <v>267</v>
      </c>
      <c r="E2078" s="8" t="n">
        <v>44873</v>
      </c>
      <c r="F2078" s="2" t="s">
        <v>15</v>
      </c>
      <c r="G2078" s="7" t="str">
        <f aca="false">HYPERLINK("https://mncourtfraud.com/file/MCRO_27-CR-22-6512_Order-Evaluation for Competency to Proceed (Rule 20.01)_2022-11-08_20251126170328.pdf","MCRO_27-CR-22-6512_Order-Evaluation for Competency to Proceed (Rule 20.01)_2022-11-08_20251126170328.pdf")</f>
        <v>MCRO_27-CR-22-6512_Order-Evaluation for Competency to Proceed (Rule 20.01)_2022-11-08_20251126170328.pdf</v>
      </c>
      <c r="H2078" s="7" t="str">
        <f aca="false">HYPERLINK("https://mncourtfraud.com/file/5ec6a5633be2d5f7201fcc405ec826928f8ebd9d0f347fee056c3ff04cd3e3d7.ttf","5ec6a5633be2d5f7201fcc405ec826928f8ebd9d0f347fee056c3ff04cd3e3d7")</f>
        <v>5ec6a5633be2d5f7201fcc405ec826928f8ebd9d0f347fee056c3ff04cd3e3d7</v>
      </c>
      <c r="I2078" s="1" t="s">
        <v>3413</v>
      </c>
      <c r="L2078" s="2" t="s">
        <v>3415</v>
      </c>
      <c r="M2078" s="2" t="n">
        <v>333576</v>
      </c>
    </row>
    <row r="2079" customFormat="false" ht="18.7" hidden="false" customHeight="true" outlineLevel="0" collapsed="false">
      <c r="A2079" s="1" t="n">
        <v>2078</v>
      </c>
      <c r="B2079" s="7" t="str">
        <f aca="false">HYPERLINK("https://mncourtfraud.com/file/27-CR-22-6512.pdf","27-CR-22-6512")</f>
        <v>27-CR-22-6512</v>
      </c>
      <c r="C2079" s="1" t="n">
        <v>5</v>
      </c>
      <c r="D2079" s="2" t="s">
        <v>267</v>
      </c>
      <c r="E2079" s="8" t="n">
        <v>44873</v>
      </c>
      <c r="F2079" s="2" t="s">
        <v>15</v>
      </c>
      <c r="G2079" s="7" t="str">
        <f aca="false">HYPERLINK("https://mncourtfraud.com/file/MCRO_27-CR-22-6512_Order-Evaluation for Competency to Proceed (Rule 20.01)_2022-11-08_20251126170328.pdf","MCRO_27-CR-22-6512_Order-Evaluation for Competency to Proceed (Rule 20.01)_2022-11-08_20251126170328.pdf")</f>
        <v>MCRO_27-CR-22-6512_Order-Evaluation for Competency to Proceed (Rule 20.01)_2022-11-08_20251126170328.pdf</v>
      </c>
      <c r="H2079" s="7" t="str">
        <f aca="false">HYPERLINK("https://mncourtfraud.com/file/6efe5689334238d45a24a51d7cd932b18f0bce47806d862dbcc29a63132d5402.jpg","6efe5689334238d45a24a51d7cd932b18f0bce47806d862dbcc29a63132d5402")</f>
        <v>6efe5689334238d45a24a51d7cd932b18f0bce47806d862dbcc29a63132d5402</v>
      </c>
      <c r="I2079" s="1" t="s">
        <v>3417</v>
      </c>
      <c r="L2079" s="2" t="s">
        <v>3418</v>
      </c>
      <c r="M2079" s="2" t="n">
        <v>59609</v>
      </c>
      <c r="S2079" s="2" t="n">
        <v>1700</v>
      </c>
      <c r="T2079" s="2" t="n">
        <v>2200</v>
      </c>
    </row>
    <row r="2080" customFormat="false" ht="18.7" hidden="false" customHeight="true" outlineLevel="0" collapsed="false">
      <c r="A2080" s="1" t="n">
        <v>2079</v>
      </c>
      <c r="B2080" s="7" t="str">
        <f aca="false">HYPERLINK("https://mncourtfraud.com/file/27-CR-22-6512.pdf","27-CR-22-6512")</f>
        <v>27-CR-22-6512</v>
      </c>
      <c r="C2080" s="1" t="n">
        <v>5</v>
      </c>
      <c r="D2080" s="2" t="s">
        <v>267</v>
      </c>
      <c r="E2080" s="8" t="n">
        <v>44873</v>
      </c>
      <c r="F2080" s="2" t="s">
        <v>15</v>
      </c>
      <c r="G2080" s="7" t="str">
        <f aca="false">HYPERLINK("https://mncourtfraud.com/file/MCRO_27-CR-22-6512_Order-Evaluation for Competency to Proceed (Rule 20.01)_2022-11-08_20251126170328.pdf","MCRO_27-CR-22-6512_Order-Evaluation for Competency to Proceed (Rule 20.01)_2022-11-08_20251126170328.pdf")</f>
        <v>MCRO_27-CR-22-6512_Order-Evaluation for Competency to Proceed (Rule 20.01)_2022-11-08_20251126170328.pdf</v>
      </c>
      <c r="H2080" s="7" t="str">
        <f aca="false">HYPERLINK("https://mncourtfraud.com/file/fc4055f8addb8eece144843412a390d7992a7db6c5473e9a7648f1bd742f06a0.jpg","fc4055f8addb8eece144843412a390d7992a7db6c5473e9a7648f1bd742f06a0")</f>
        <v>fc4055f8addb8eece144843412a390d7992a7db6c5473e9a7648f1bd742f06a0</v>
      </c>
      <c r="I2080" s="1" t="s">
        <v>3417</v>
      </c>
      <c r="L2080" s="2" t="s">
        <v>3418</v>
      </c>
      <c r="M2080" s="2" t="n">
        <v>366016</v>
      </c>
      <c r="S2080" s="2" t="n">
        <v>1700</v>
      </c>
      <c r="T2080" s="2" t="n">
        <v>2200</v>
      </c>
    </row>
    <row r="2081" customFormat="false" ht="18.7" hidden="false" customHeight="true" outlineLevel="0" collapsed="false">
      <c r="A2081" s="1" t="n">
        <v>2080</v>
      </c>
      <c r="B2081" s="7" t="str">
        <f aca="false">HYPERLINK("https://mncourtfraud.com/file/27-CR-22-6512.pdf","27-CR-22-6512")</f>
        <v>27-CR-22-6512</v>
      </c>
      <c r="C2081" s="1" t="n">
        <v>5</v>
      </c>
      <c r="D2081" s="2" t="s">
        <v>267</v>
      </c>
      <c r="E2081" s="8" t="n">
        <v>45023</v>
      </c>
      <c r="F2081" s="2" t="s">
        <v>15</v>
      </c>
      <c r="G2081" s="7" t="str">
        <f aca="false">HYPERLINK("https://mncourtfraud.com/file/MCRO_27-CR-22-6512_Order-Evaluation for Competency to Proceed (Rule 20.01)_2023-04-07_20251126170337.pdf","MCRO_27-CR-22-6512_Order-Evaluation for Competency to Proceed (Rule 20.01)_2023-04-07_20251126170337.pdf")</f>
        <v>MCRO_27-CR-22-6512_Order-Evaluation for Competency to Proceed (Rule 20.01)_2023-04-07_20251126170337.pdf</v>
      </c>
      <c r="H2081" s="7" t="str">
        <f aca="false">HYPERLINK("https://mncourtfraud.com/file/a784f7fb74fe0fed7d3bec340aee32704b80873f121578be39b6d41c5ba51fc7.ttf","a784f7fb74fe0fed7d3bec340aee32704b80873f121578be39b6d41c5ba51fc7")</f>
        <v>a784f7fb74fe0fed7d3bec340aee32704b80873f121578be39b6d41c5ba51fc7</v>
      </c>
      <c r="I2081" s="1" t="s">
        <v>3413</v>
      </c>
      <c r="L2081" s="2" t="s">
        <v>3415</v>
      </c>
      <c r="M2081" s="2" t="n">
        <v>8688</v>
      </c>
    </row>
    <row r="2082" customFormat="false" ht="18.7" hidden="false" customHeight="true" outlineLevel="0" collapsed="false">
      <c r="A2082" s="1" t="n">
        <v>2081</v>
      </c>
      <c r="B2082" s="7" t="str">
        <f aca="false">HYPERLINK("https://mncourtfraud.com/file/27-CR-22-6512.pdf","27-CR-22-6512")</f>
        <v>27-CR-22-6512</v>
      </c>
      <c r="C2082" s="1" t="n">
        <v>5</v>
      </c>
      <c r="D2082" s="2" t="s">
        <v>267</v>
      </c>
      <c r="E2082" s="8" t="n">
        <v>45023</v>
      </c>
      <c r="F2082" s="2" t="s">
        <v>15</v>
      </c>
      <c r="G2082" s="7" t="str">
        <f aca="false">HYPERLINK("https://mncourtfraud.com/file/MCRO_27-CR-22-6512_Order-Evaluation for Competency to Proceed (Rule 20.01)_2023-04-07_20251126170337.pdf","MCRO_27-CR-22-6512_Order-Evaluation for Competency to Proceed (Rule 20.01)_2023-04-07_20251126170337.pdf")</f>
        <v>MCRO_27-CR-22-6512_Order-Evaluation for Competency to Proceed (Rule 20.01)_2023-04-07_20251126170337.pdf</v>
      </c>
      <c r="H2082" s="7" t="str">
        <f aca="false">HYPERLINK("https://mncourtfraud.com/file/b99ee7c28745ebe08179f001da555666acbb5c94c105afc827c4780c43b05e86.jpg","b99ee7c28745ebe08179f001da555666acbb5c94c105afc827c4780c43b05e86")</f>
        <v>b99ee7c28745ebe08179f001da555666acbb5c94c105afc827c4780c43b05e86</v>
      </c>
      <c r="I2082" s="1" t="s">
        <v>3417</v>
      </c>
      <c r="L2082" s="2" t="s">
        <v>3418</v>
      </c>
      <c r="M2082" s="2" t="n">
        <v>641320</v>
      </c>
      <c r="S2082" s="2" t="n">
        <v>2550</v>
      </c>
      <c r="T2082" s="2" t="n">
        <v>3300</v>
      </c>
    </row>
    <row r="2083" customFormat="false" ht="18.7" hidden="false" customHeight="true" outlineLevel="0" collapsed="false">
      <c r="A2083" s="1" t="n">
        <v>2082</v>
      </c>
      <c r="B2083" s="7" t="str">
        <f aca="false">HYPERLINK("https://mncourtfraud.com/file/27-CR-22-6512.pdf","27-CR-22-6512")</f>
        <v>27-CR-22-6512</v>
      </c>
      <c r="C2083" s="1" t="n">
        <v>5</v>
      </c>
      <c r="D2083" s="2" t="s">
        <v>267</v>
      </c>
      <c r="E2083" s="8" t="n">
        <v>45023</v>
      </c>
      <c r="F2083" s="2" t="s">
        <v>15</v>
      </c>
      <c r="G2083" s="7" t="str">
        <f aca="false">HYPERLINK("https://mncourtfraud.com/file/MCRO_27-CR-22-6512_Order-Evaluation for Competency to Proceed (Rule 20.01)_2023-04-07_20251126170337.pdf","MCRO_27-CR-22-6512_Order-Evaluation for Competency to Proceed (Rule 20.01)_2023-04-07_20251126170337.pdf")</f>
        <v>MCRO_27-CR-22-6512_Order-Evaluation for Competency to Proceed (Rule 20.01)_2023-04-07_20251126170337.pdf</v>
      </c>
      <c r="H2083" s="7" t="str">
        <f aca="false">HYPERLINK("https://mncourtfraud.com/file/c30747ae6358ef7d6d2c5038cf082c92a67695dcdb247a66169bc827557fe246.jpg","c30747ae6358ef7d6d2c5038cf082c92a67695dcdb247a66169bc827557fe246")</f>
        <v>c30747ae6358ef7d6d2c5038cf082c92a67695dcdb247a66169bc827557fe246</v>
      </c>
      <c r="I2083" s="1" t="s">
        <v>3417</v>
      </c>
      <c r="L2083" s="2" t="s">
        <v>3418</v>
      </c>
      <c r="M2083" s="2" t="n">
        <v>513929</v>
      </c>
      <c r="S2083" s="2" t="n">
        <v>2550</v>
      </c>
      <c r="T2083" s="2" t="n">
        <v>3300</v>
      </c>
    </row>
    <row r="2084" customFormat="false" ht="18.7" hidden="false" customHeight="true" outlineLevel="0" collapsed="false">
      <c r="A2084" s="1" t="n">
        <v>2083</v>
      </c>
      <c r="B2084" s="7" t="str">
        <f aca="false">HYPERLINK("https://mncourtfraud.com/file/27-CR-22-6512.pdf","27-CR-22-6512")</f>
        <v>27-CR-22-6512</v>
      </c>
      <c r="C2084" s="1" t="n">
        <v>5</v>
      </c>
      <c r="D2084" s="2" t="s">
        <v>267</v>
      </c>
      <c r="E2084" s="8" t="n">
        <v>45194</v>
      </c>
      <c r="F2084" s="2" t="s">
        <v>15</v>
      </c>
      <c r="G2084" s="7" t="str">
        <f aca="false">HYPERLINK("https://mncourtfraud.com/file/MCRO_27-CR-22-6512_Order-Evaluation for Competency to Proceed (Rule 20.01)_2023-09-25_20251126170316.pdf","MCRO_27-CR-22-6512_Order-Evaluation for Competency to Proceed (Rule 20.01)_2023-09-25_20251126170316.pdf")</f>
        <v>MCRO_27-CR-22-6512_Order-Evaluation for Competency to Proceed (Rule 20.01)_2023-09-25_20251126170316.pdf</v>
      </c>
      <c r="H2084" s="7" t="str">
        <f aca="false">HYPERLINK("https://mncourtfraud.com/file/4c385f7ae8b1b78bc4ac3302e35eeaeb47e175305fd776c018ad0582a082d2f1.png","4c385f7ae8b1b78bc4ac3302e35eeaeb47e175305fd776c018ad0582a082d2f1")</f>
        <v>4c385f7ae8b1b78bc4ac3302e35eeaeb47e175305fd776c018ad0582a082d2f1</v>
      </c>
      <c r="I2084" s="1" t="s">
        <v>3406</v>
      </c>
      <c r="L2084" s="2" t="s">
        <v>3412</v>
      </c>
      <c r="M2084" s="2" t="n">
        <v>162309</v>
      </c>
      <c r="S2084" s="2" t="n">
        <v>2560</v>
      </c>
      <c r="T2084" s="2" t="n">
        <v>3300</v>
      </c>
    </row>
    <row r="2085" customFormat="false" ht="18.7" hidden="false" customHeight="true" outlineLevel="0" collapsed="false">
      <c r="A2085" s="1" t="n">
        <v>2084</v>
      </c>
      <c r="B2085" s="7" t="str">
        <f aca="false">HYPERLINK("https://mncourtfraud.com/file/27-CR-22-6512.pdf","27-CR-22-6512")</f>
        <v>27-CR-22-6512</v>
      </c>
      <c r="C2085" s="1" t="n">
        <v>5</v>
      </c>
      <c r="D2085" s="2" t="s">
        <v>267</v>
      </c>
      <c r="E2085" s="8" t="n">
        <v>45194</v>
      </c>
      <c r="F2085" s="2" t="s">
        <v>15</v>
      </c>
      <c r="G2085" s="7" t="str">
        <f aca="false">HYPERLINK("https://mncourtfraud.com/file/MCRO_27-CR-22-6512_Order-Evaluation for Competency to Proceed (Rule 20.01)_2023-09-25_20251126170316.pdf","MCRO_27-CR-22-6512_Order-Evaluation for Competency to Proceed (Rule 20.01)_2023-09-25_20251126170316.pdf")</f>
        <v>MCRO_27-CR-22-6512_Order-Evaluation for Competency to Proceed (Rule 20.01)_2023-09-25_20251126170316.pdf</v>
      </c>
      <c r="H2085" s="7" t="str">
        <f aca="false">HYPERLINK("https://mncourtfraud.com/file/9f61d1c86b92a1cfe4c2425ebe7c20689b4132fc43316fa8ae4829c07f8dccd6.ttf","9f61d1c86b92a1cfe4c2425ebe7c20689b4132fc43316fa8ae4829c07f8dccd6")</f>
        <v>9f61d1c86b92a1cfe4c2425ebe7c20689b4132fc43316fa8ae4829c07f8dccd6</v>
      </c>
      <c r="I2085" s="1" t="s">
        <v>3413</v>
      </c>
      <c r="L2085" s="2" t="s">
        <v>3415</v>
      </c>
      <c r="M2085" s="2" t="n">
        <v>333576</v>
      </c>
    </row>
    <row r="2086" customFormat="false" ht="18.7" hidden="false" customHeight="true" outlineLevel="0" collapsed="false">
      <c r="A2086" s="1" t="n">
        <v>2085</v>
      </c>
      <c r="B2086" s="7" t="str">
        <f aca="false">HYPERLINK("https://mncourtfraud.com/file/27-CR-22-6512.pdf","27-CR-22-6512")</f>
        <v>27-CR-22-6512</v>
      </c>
      <c r="C2086" s="1" t="n">
        <v>5</v>
      </c>
      <c r="D2086" s="2" t="s">
        <v>267</v>
      </c>
      <c r="E2086" s="8" t="n">
        <v>45194</v>
      </c>
      <c r="F2086" s="2" t="s">
        <v>15</v>
      </c>
      <c r="G2086" s="7" t="str">
        <f aca="false">HYPERLINK("https://mncourtfraud.com/file/MCRO_27-CR-22-6512_Order-Evaluation for Competency to Proceed (Rule 20.01)_2023-09-25_20251126170316.pdf","MCRO_27-CR-22-6512_Order-Evaluation for Competency to Proceed (Rule 20.01)_2023-09-25_20251126170316.pdf")</f>
        <v>MCRO_27-CR-22-6512_Order-Evaluation for Competency to Proceed (Rule 20.01)_2023-09-25_20251126170316.pdf</v>
      </c>
      <c r="H2086" s="7" t="str">
        <f aca="false">HYPERLINK("https://mncourtfraud.com/file/e8ec090484db08b3be9daaa10e2fef35a99135ae0a2f234de7613cfacc2f6cac.png","e8ec090484db08b3be9daaa10e2fef35a99135ae0a2f234de7613cfacc2f6cac")</f>
        <v>e8ec090484db08b3be9daaa10e2fef35a99135ae0a2f234de7613cfacc2f6cac</v>
      </c>
      <c r="I2086" s="1" t="s">
        <v>3406</v>
      </c>
      <c r="L2086" s="2" t="s">
        <v>3412</v>
      </c>
      <c r="M2086" s="2" t="n">
        <v>133015</v>
      </c>
      <c r="S2086" s="2" t="n">
        <v>2560</v>
      </c>
      <c r="T2086" s="2" t="n">
        <v>3300</v>
      </c>
    </row>
    <row r="2087" customFormat="false" ht="18.7" hidden="false" customHeight="true" outlineLevel="0" collapsed="false">
      <c r="A2087" s="1" t="n">
        <v>2086</v>
      </c>
      <c r="B2087" s="7" t="str">
        <f aca="false">HYPERLINK("https://mncourtfraud.com/file/27-CR-22-6895.pdf","27-CR-22-6895")</f>
        <v>27-CR-22-6895</v>
      </c>
      <c r="C2087" s="1" t="n">
        <v>5</v>
      </c>
      <c r="D2087" s="2" t="s">
        <v>267</v>
      </c>
      <c r="E2087" s="8" t="n">
        <v>44837</v>
      </c>
      <c r="F2087" s="2" t="s">
        <v>17</v>
      </c>
      <c r="G2087" s="7" t="str">
        <f aca="false">HYPERLINK("https://mncourtfraud.com/file/MCRO_27-CR-22-6895_Returned Mail_2022-10-03_20251126170447.pdf","MCRO_27-CR-22-6895_Returned Mail_2022-10-03_20251126170447.pdf")</f>
        <v>MCRO_27-CR-22-6895_Returned Mail_2022-10-03_20251126170447.pdf</v>
      </c>
      <c r="H2087" s="7" t="str">
        <f aca="false">HYPERLINK("https://mncourtfraud.com/file/237d5516e0c716146a65e7b2daf746fb6188c66f833317ba27cb286332d42dea.jpg","237d5516e0c716146a65e7b2daf746fb6188c66f833317ba27cb286332d42dea")</f>
        <v>237d5516e0c716146a65e7b2daf746fb6188c66f833317ba27cb286332d42dea</v>
      </c>
      <c r="I2087" s="1" t="s">
        <v>3417</v>
      </c>
      <c r="L2087" s="2" t="s">
        <v>3419</v>
      </c>
      <c r="M2087" s="2" t="n">
        <v>318425</v>
      </c>
      <c r="S2087" s="2" t="n">
        <v>2550</v>
      </c>
      <c r="T2087" s="2" t="n">
        <v>3300</v>
      </c>
    </row>
    <row r="2088" customFormat="false" ht="18.7" hidden="false" customHeight="true" outlineLevel="0" collapsed="false">
      <c r="A2088" s="1" t="n">
        <v>2087</v>
      </c>
      <c r="B2088" s="7" t="str">
        <f aca="false">HYPERLINK("https://mncourtfraud.com/file/27-CR-22-6895.pdf","27-CR-22-6895")</f>
        <v>27-CR-22-6895</v>
      </c>
      <c r="C2088" s="1" t="n">
        <v>5</v>
      </c>
      <c r="D2088" s="2" t="s">
        <v>267</v>
      </c>
      <c r="E2088" s="8" t="n">
        <v>44837</v>
      </c>
      <c r="F2088" s="2" t="s">
        <v>17</v>
      </c>
      <c r="G2088" s="7" t="str">
        <f aca="false">HYPERLINK("https://mncourtfraud.com/file/MCRO_27-CR-22-6895_Returned Mail_2022-10-03_20251126170447.pdf","MCRO_27-CR-22-6895_Returned Mail_2022-10-03_20251126170447.pdf")</f>
        <v>MCRO_27-CR-22-6895_Returned Mail_2022-10-03_20251126170447.pdf</v>
      </c>
      <c r="H2088" s="7" t="str">
        <f aca="false">HYPERLINK("https://mncourtfraud.com/file/a5e5c392eb46244eb2f6cb58ac26cd8ceafb56d6f16b754ee26ba4f3c1b3b729.ttf","a5e5c392eb46244eb2f6cb58ac26cd8ceafb56d6f16b754ee26ba4f3c1b3b729")</f>
        <v>a5e5c392eb46244eb2f6cb58ac26cd8ceafb56d6f16b754ee26ba4f3c1b3b729</v>
      </c>
      <c r="I2088" s="1" t="s">
        <v>3413</v>
      </c>
      <c r="L2088" s="2" t="s">
        <v>3415</v>
      </c>
      <c r="M2088" s="2" t="n">
        <v>333584</v>
      </c>
    </row>
    <row r="2089" customFormat="false" ht="18.7" hidden="false" customHeight="true" outlineLevel="0" collapsed="false">
      <c r="A2089" s="1" t="n">
        <v>2088</v>
      </c>
      <c r="B2089" s="7" t="str">
        <f aca="false">HYPERLINK("https://mncourtfraud.com/file/27-CR-22-6895.pdf","27-CR-22-6895")</f>
        <v>27-CR-22-6895</v>
      </c>
      <c r="C2089" s="1" t="n">
        <v>5</v>
      </c>
      <c r="D2089" s="2" t="s">
        <v>267</v>
      </c>
      <c r="E2089" s="8" t="n">
        <v>44873</v>
      </c>
      <c r="F2089" s="2" t="s">
        <v>15</v>
      </c>
      <c r="G2089" s="7" t="str">
        <f aca="false">HYPERLINK("https://mncourtfraud.com/file/MCRO_27-CR-22-6895_Order-Evaluation for Competency to Proceed (Rule 20.01)_2022-11-08_20251126170402.pdf","MCRO_27-CR-22-6895_Order-Evaluation for Competency to Proceed (Rule 20.01)_2022-11-08_20251126170402.pdf")</f>
        <v>MCRO_27-CR-22-6895_Order-Evaluation for Competency to Proceed (Rule 20.01)_2022-11-08_20251126170402.pdf</v>
      </c>
      <c r="H2089" s="7" t="str">
        <f aca="false">HYPERLINK("https://mncourtfraud.com/file/082f387ba4835f1cae3d2529d7afa13cbb922baebe03519ee43d2c14358c2398.jpg","082f387ba4835f1cae3d2529d7afa13cbb922baebe03519ee43d2c14358c2398")</f>
        <v>082f387ba4835f1cae3d2529d7afa13cbb922baebe03519ee43d2c14358c2398</v>
      </c>
      <c r="I2089" s="1" t="s">
        <v>3417</v>
      </c>
      <c r="L2089" s="2" t="s">
        <v>3418</v>
      </c>
      <c r="M2089" s="2" t="n">
        <v>300734</v>
      </c>
      <c r="S2089" s="2" t="n">
        <v>1700</v>
      </c>
      <c r="T2089" s="2" t="n">
        <v>2200</v>
      </c>
    </row>
    <row r="2090" customFormat="false" ht="18.7" hidden="false" customHeight="true" outlineLevel="0" collapsed="false">
      <c r="A2090" s="1" t="n">
        <v>2089</v>
      </c>
      <c r="B2090" s="7" t="str">
        <f aca="false">HYPERLINK("https://mncourtfraud.com/file/27-CR-22-6895.pdf","27-CR-22-6895")</f>
        <v>27-CR-22-6895</v>
      </c>
      <c r="C2090" s="1" t="n">
        <v>5</v>
      </c>
      <c r="D2090" s="2" t="s">
        <v>267</v>
      </c>
      <c r="E2090" s="8" t="n">
        <v>44873</v>
      </c>
      <c r="F2090" s="2" t="s">
        <v>15</v>
      </c>
      <c r="G2090" s="7" t="str">
        <f aca="false">HYPERLINK("https://mncourtfraud.com/file/MCRO_27-CR-22-6895_Order-Evaluation for Competency to Proceed (Rule 20.01)_2022-11-08_20251126170402.pdf","MCRO_27-CR-22-6895_Order-Evaluation for Competency to Proceed (Rule 20.01)_2022-11-08_20251126170402.pdf")</f>
        <v>MCRO_27-CR-22-6895_Order-Evaluation for Competency to Proceed (Rule 20.01)_2022-11-08_20251126170402.pdf</v>
      </c>
      <c r="H2090" s="7" t="str">
        <f aca="false">HYPERLINK("https://mncourtfraud.com/file/5ec6a5633be2d5f7201fcc405ec826928f8ebd9d0f347fee056c3ff04cd3e3d7.ttf","5ec6a5633be2d5f7201fcc405ec826928f8ebd9d0f347fee056c3ff04cd3e3d7")</f>
        <v>5ec6a5633be2d5f7201fcc405ec826928f8ebd9d0f347fee056c3ff04cd3e3d7</v>
      </c>
      <c r="I2090" s="1" t="s">
        <v>3413</v>
      </c>
      <c r="L2090" s="2" t="s">
        <v>3415</v>
      </c>
      <c r="M2090" s="2" t="n">
        <v>333576</v>
      </c>
    </row>
    <row r="2091" customFormat="false" ht="18.7" hidden="false" customHeight="true" outlineLevel="0" collapsed="false">
      <c r="A2091" s="1" t="n">
        <v>2090</v>
      </c>
      <c r="B2091" s="7" t="str">
        <f aca="false">HYPERLINK("https://mncourtfraud.com/file/27-CR-22-6895.pdf","27-CR-22-6895")</f>
        <v>27-CR-22-6895</v>
      </c>
      <c r="C2091" s="1" t="n">
        <v>5</v>
      </c>
      <c r="D2091" s="2" t="s">
        <v>267</v>
      </c>
      <c r="E2091" s="8" t="n">
        <v>44873</v>
      </c>
      <c r="F2091" s="2" t="s">
        <v>15</v>
      </c>
      <c r="G2091" s="7" t="str">
        <f aca="false">HYPERLINK("https://mncourtfraud.com/file/MCRO_27-CR-22-6895_Order-Evaluation for Competency to Proceed (Rule 20.01)_2022-11-08_20251126170402.pdf","MCRO_27-CR-22-6895_Order-Evaluation for Competency to Proceed (Rule 20.01)_2022-11-08_20251126170402.pdf")</f>
        <v>MCRO_27-CR-22-6895_Order-Evaluation for Competency to Proceed (Rule 20.01)_2022-11-08_20251126170402.pdf</v>
      </c>
      <c r="H2091" s="7" t="str">
        <f aca="false">HYPERLINK("https://mncourtfraud.com/file/6efe5689334238d45a24a51d7cd932b18f0bce47806d862dbcc29a63132d5402.jpg","6efe5689334238d45a24a51d7cd932b18f0bce47806d862dbcc29a63132d5402")</f>
        <v>6efe5689334238d45a24a51d7cd932b18f0bce47806d862dbcc29a63132d5402</v>
      </c>
      <c r="I2091" s="1" t="s">
        <v>3417</v>
      </c>
      <c r="L2091" s="2" t="s">
        <v>3418</v>
      </c>
      <c r="M2091" s="2" t="n">
        <v>59609</v>
      </c>
      <c r="S2091" s="2" t="n">
        <v>1700</v>
      </c>
      <c r="T2091" s="2" t="n">
        <v>2200</v>
      </c>
    </row>
    <row r="2092" customFormat="false" ht="18.7" hidden="false" customHeight="true" outlineLevel="0" collapsed="false">
      <c r="A2092" s="1" t="n">
        <v>2091</v>
      </c>
      <c r="B2092" s="7" t="str">
        <f aca="false">HYPERLINK("https://mncourtfraud.com/file/27-CR-22-6895.pdf","27-CR-22-6895")</f>
        <v>27-CR-22-6895</v>
      </c>
      <c r="C2092" s="1" t="n">
        <v>5</v>
      </c>
      <c r="D2092" s="2" t="s">
        <v>267</v>
      </c>
      <c r="E2092" s="8" t="n">
        <v>44873</v>
      </c>
      <c r="F2092" s="2" t="s">
        <v>15</v>
      </c>
      <c r="G2092" s="7" t="str">
        <f aca="false">HYPERLINK("https://mncourtfraud.com/file/MCRO_27-CR-22-6895_Order-Evaluation for Competency to Proceed (Rule 20.01)_2022-11-08_20251126170402.pdf","MCRO_27-CR-22-6895_Order-Evaluation for Competency to Proceed (Rule 20.01)_2022-11-08_20251126170402.pdf")</f>
        <v>MCRO_27-CR-22-6895_Order-Evaluation for Competency to Proceed (Rule 20.01)_2022-11-08_20251126170402.pdf</v>
      </c>
      <c r="H2092" s="7" t="str">
        <f aca="false">HYPERLINK("https://mncourtfraud.com/file/fc4055f8addb8eece144843412a390d7992a7db6c5473e9a7648f1bd742f06a0.jpg","fc4055f8addb8eece144843412a390d7992a7db6c5473e9a7648f1bd742f06a0")</f>
        <v>fc4055f8addb8eece144843412a390d7992a7db6c5473e9a7648f1bd742f06a0</v>
      </c>
      <c r="I2092" s="1" t="s">
        <v>3417</v>
      </c>
      <c r="L2092" s="2" t="s">
        <v>3418</v>
      </c>
      <c r="M2092" s="2" t="n">
        <v>366016</v>
      </c>
      <c r="S2092" s="2" t="n">
        <v>1700</v>
      </c>
      <c r="T2092" s="2" t="n">
        <v>2200</v>
      </c>
    </row>
    <row r="2093" customFormat="false" ht="18.7" hidden="false" customHeight="true" outlineLevel="0" collapsed="false">
      <c r="A2093" s="1" t="n">
        <v>2092</v>
      </c>
      <c r="B2093" s="7" t="str">
        <f aca="false">HYPERLINK("https://mncourtfraud.com/file/27-CR-22-6895.pdf","27-CR-22-6895")</f>
        <v>27-CR-22-6895</v>
      </c>
      <c r="C2093" s="1" t="n">
        <v>5</v>
      </c>
      <c r="D2093" s="2" t="s">
        <v>267</v>
      </c>
      <c r="E2093" s="8" t="n">
        <v>45023</v>
      </c>
      <c r="F2093" s="2" t="s">
        <v>15</v>
      </c>
      <c r="G2093" s="7" t="str">
        <f aca="false">HYPERLINK("https://mncourtfraud.com/file/MCRO_27-CR-22-6895_Order-Evaluation for Competency to Proceed (Rule 20.01)_2023-04-07_20251126170421.pdf","MCRO_27-CR-22-6895_Order-Evaluation for Competency to Proceed (Rule 20.01)_2023-04-07_20251126170421.pdf")</f>
        <v>MCRO_27-CR-22-6895_Order-Evaluation for Competency to Proceed (Rule 20.01)_2023-04-07_20251126170421.pdf</v>
      </c>
      <c r="H2093" s="7" t="str">
        <f aca="false">HYPERLINK("https://mncourtfraud.com/file/041468322b0d0c43941d1b9146ef70bfc17f42823f0a0bd709a9c6fe9f41a809.jpg","041468322b0d0c43941d1b9146ef70bfc17f42823f0a0bd709a9c6fe9f41a809")</f>
        <v>041468322b0d0c43941d1b9146ef70bfc17f42823f0a0bd709a9c6fe9f41a809</v>
      </c>
      <c r="I2093" s="1" t="s">
        <v>3417</v>
      </c>
      <c r="L2093" s="2" t="s">
        <v>3418</v>
      </c>
      <c r="M2093" s="2" t="n">
        <v>514145</v>
      </c>
      <c r="S2093" s="2" t="n">
        <v>2550</v>
      </c>
      <c r="T2093" s="2" t="n">
        <v>3300</v>
      </c>
    </row>
    <row r="2094" customFormat="false" ht="18.7" hidden="false" customHeight="true" outlineLevel="0" collapsed="false">
      <c r="A2094" s="1" t="n">
        <v>2093</v>
      </c>
      <c r="B2094" s="7" t="str">
        <f aca="false">HYPERLINK("https://mncourtfraud.com/file/27-CR-22-6895.pdf","27-CR-22-6895")</f>
        <v>27-CR-22-6895</v>
      </c>
      <c r="C2094" s="1" t="n">
        <v>5</v>
      </c>
      <c r="D2094" s="2" t="s">
        <v>267</v>
      </c>
      <c r="E2094" s="8" t="n">
        <v>45023</v>
      </c>
      <c r="F2094" s="2" t="s">
        <v>15</v>
      </c>
      <c r="G2094" s="7" t="str">
        <f aca="false">HYPERLINK("https://mncourtfraud.com/file/MCRO_27-CR-22-6895_Order-Evaluation for Competency to Proceed (Rule 20.01)_2023-04-07_20251126170421.pdf","MCRO_27-CR-22-6895_Order-Evaluation for Competency to Proceed (Rule 20.01)_2023-04-07_20251126170421.pdf")</f>
        <v>MCRO_27-CR-22-6895_Order-Evaluation for Competency to Proceed (Rule 20.01)_2023-04-07_20251126170421.pdf</v>
      </c>
      <c r="H2094" s="7" t="str">
        <f aca="false">HYPERLINK("https://mncourtfraud.com/file/4339ef8ff9f7f146d41c7eb2746ce8a57cd36108299bdbeb7c107daf162024cf.jpg","4339ef8ff9f7f146d41c7eb2746ce8a57cd36108299bdbeb7c107daf162024cf")</f>
        <v>4339ef8ff9f7f146d41c7eb2746ce8a57cd36108299bdbeb7c107daf162024cf</v>
      </c>
      <c r="I2094" s="1" t="s">
        <v>3417</v>
      </c>
      <c r="L2094" s="2" t="s">
        <v>3418</v>
      </c>
      <c r="M2094" s="2" t="n">
        <v>641679</v>
      </c>
      <c r="S2094" s="2" t="n">
        <v>2550</v>
      </c>
      <c r="T2094" s="2" t="n">
        <v>3300</v>
      </c>
    </row>
    <row r="2095" customFormat="false" ht="18.7" hidden="false" customHeight="true" outlineLevel="0" collapsed="false">
      <c r="A2095" s="1" t="n">
        <v>2094</v>
      </c>
      <c r="B2095" s="7" t="str">
        <f aca="false">HYPERLINK("https://mncourtfraud.com/file/27-CR-22-6895.pdf","27-CR-22-6895")</f>
        <v>27-CR-22-6895</v>
      </c>
      <c r="C2095" s="1" t="n">
        <v>5</v>
      </c>
      <c r="D2095" s="2" t="s">
        <v>267</v>
      </c>
      <c r="E2095" s="8" t="n">
        <v>45023</v>
      </c>
      <c r="F2095" s="2" t="s">
        <v>15</v>
      </c>
      <c r="G2095" s="7" t="str">
        <f aca="false">HYPERLINK("https://mncourtfraud.com/file/MCRO_27-CR-22-6895_Order-Evaluation for Competency to Proceed (Rule 20.01)_2023-04-07_20251126170421.pdf","MCRO_27-CR-22-6895_Order-Evaluation for Competency to Proceed (Rule 20.01)_2023-04-07_20251126170421.pdf")</f>
        <v>MCRO_27-CR-22-6895_Order-Evaluation for Competency to Proceed (Rule 20.01)_2023-04-07_20251126170421.pdf</v>
      </c>
      <c r="H2095" s="7" t="str">
        <f aca="false">HYPERLINK("https://mncourtfraud.com/file/ab4bad3aa72b2c956d12e80490198e4aff38924223b3bb975515d53c7181c669.ttf","ab4bad3aa72b2c956d12e80490198e4aff38924223b3bb975515d53c7181c669")</f>
        <v>ab4bad3aa72b2c956d12e80490198e4aff38924223b3bb975515d53c7181c669</v>
      </c>
      <c r="I2095" s="1" t="s">
        <v>3413</v>
      </c>
      <c r="L2095" s="2" t="s">
        <v>3415</v>
      </c>
      <c r="M2095" s="2" t="n">
        <v>333576</v>
      </c>
    </row>
    <row r="2096" customFormat="false" ht="18.7" hidden="false" customHeight="true" outlineLevel="0" collapsed="false">
      <c r="A2096" s="1" t="n">
        <v>2095</v>
      </c>
      <c r="B2096" s="7" t="str">
        <f aca="false">HYPERLINK("https://mncourtfraud.com/file/27-CR-22-6895.pdf","27-CR-22-6895")</f>
        <v>27-CR-22-6895</v>
      </c>
      <c r="C2096" s="1" t="n">
        <v>5</v>
      </c>
      <c r="D2096" s="2" t="s">
        <v>267</v>
      </c>
      <c r="E2096" s="8" t="n">
        <v>45194</v>
      </c>
      <c r="F2096" s="2" t="s">
        <v>15</v>
      </c>
      <c r="G2096" s="7" t="str">
        <f aca="false">HYPERLINK("https://mncourtfraud.com/file/MCRO_27-CR-22-6895_Order-Evaluation for Competency to Proceed (Rule 20.01)_2023-09-25_20251126170434.pdf","MCRO_27-CR-22-6895_Order-Evaluation for Competency to Proceed (Rule 20.01)_2023-09-25_20251126170434.pdf")</f>
        <v>MCRO_27-CR-22-6895_Order-Evaluation for Competency to Proceed (Rule 20.01)_2023-09-25_20251126170434.pdf</v>
      </c>
      <c r="H2096" s="7" t="str">
        <f aca="false">HYPERLINK("https://mncourtfraud.com/file/4c385f7ae8b1b78bc4ac3302e35eeaeb47e175305fd776c018ad0582a082d2f1.png","4c385f7ae8b1b78bc4ac3302e35eeaeb47e175305fd776c018ad0582a082d2f1")</f>
        <v>4c385f7ae8b1b78bc4ac3302e35eeaeb47e175305fd776c018ad0582a082d2f1</v>
      </c>
      <c r="I2096" s="1" t="s">
        <v>3406</v>
      </c>
      <c r="L2096" s="2" t="s">
        <v>3412</v>
      </c>
      <c r="M2096" s="2" t="n">
        <v>162309</v>
      </c>
      <c r="S2096" s="2" t="n">
        <v>2560</v>
      </c>
      <c r="T2096" s="2" t="n">
        <v>3300</v>
      </c>
    </row>
    <row r="2097" customFormat="false" ht="18.7" hidden="false" customHeight="true" outlineLevel="0" collapsed="false">
      <c r="A2097" s="1" t="n">
        <v>2096</v>
      </c>
      <c r="B2097" s="7" t="str">
        <f aca="false">HYPERLINK("https://mncourtfraud.com/file/27-CR-22-6895.pdf","27-CR-22-6895")</f>
        <v>27-CR-22-6895</v>
      </c>
      <c r="C2097" s="1" t="n">
        <v>5</v>
      </c>
      <c r="D2097" s="2" t="s">
        <v>267</v>
      </c>
      <c r="E2097" s="8" t="n">
        <v>45194</v>
      </c>
      <c r="F2097" s="2" t="s">
        <v>15</v>
      </c>
      <c r="G2097" s="7" t="str">
        <f aca="false">HYPERLINK("https://mncourtfraud.com/file/MCRO_27-CR-22-6895_Order-Evaluation for Competency to Proceed (Rule 20.01)_2023-09-25_20251126170434.pdf","MCRO_27-CR-22-6895_Order-Evaluation for Competency to Proceed (Rule 20.01)_2023-09-25_20251126170434.pdf")</f>
        <v>MCRO_27-CR-22-6895_Order-Evaluation for Competency to Proceed (Rule 20.01)_2023-09-25_20251126170434.pdf</v>
      </c>
      <c r="H2097" s="7" t="str">
        <f aca="false">HYPERLINK("https://mncourtfraud.com/file/9f61d1c86b92a1cfe4c2425ebe7c20689b4132fc43316fa8ae4829c07f8dccd6.ttf","9f61d1c86b92a1cfe4c2425ebe7c20689b4132fc43316fa8ae4829c07f8dccd6")</f>
        <v>9f61d1c86b92a1cfe4c2425ebe7c20689b4132fc43316fa8ae4829c07f8dccd6</v>
      </c>
      <c r="I2097" s="1" t="s">
        <v>3413</v>
      </c>
      <c r="L2097" s="2" t="s">
        <v>3415</v>
      </c>
      <c r="M2097" s="2" t="n">
        <v>333576</v>
      </c>
    </row>
    <row r="2098" customFormat="false" ht="18.7" hidden="false" customHeight="true" outlineLevel="0" collapsed="false">
      <c r="A2098" s="1" t="n">
        <v>2097</v>
      </c>
      <c r="B2098" s="7" t="str">
        <f aca="false">HYPERLINK("https://mncourtfraud.com/file/27-CR-22-6895.pdf","27-CR-22-6895")</f>
        <v>27-CR-22-6895</v>
      </c>
      <c r="C2098" s="1" t="n">
        <v>5</v>
      </c>
      <c r="D2098" s="2" t="s">
        <v>267</v>
      </c>
      <c r="E2098" s="8" t="n">
        <v>45194</v>
      </c>
      <c r="F2098" s="2" t="s">
        <v>15</v>
      </c>
      <c r="G2098" s="7" t="str">
        <f aca="false">HYPERLINK("https://mncourtfraud.com/file/MCRO_27-CR-22-6895_Order-Evaluation for Competency to Proceed (Rule 20.01)_2023-09-25_20251126170434.pdf","MCRO_27-CR-22-6895_Order-Evaluation for Competency to Proceed (Rule 20.01)_2023-09-25_20251126170434.pdf")</f>
        <v>MCRO_27-CR-22-6895_Order-Evaluation for Competency to Proceed (Rule 20.01)_2023-09-25_20251126170434.pdf</v>
      </c>
      <c r="H2098" s="7" t="str">
        <f aca="false">HYPERLINK("https://mncourtfraud.com/file/e8ec090484db08b3be9daaa10e2fef35a99135ae0a2f234de7613cfacc2f6cac.png","e8ec090484db08b3be9daaa10e2fef35a99135ae0a2f234de7613cfacc2f6cac")</f>
        <v>e8ec090484db08b3be9daaa10e2fef35a99135ae0a2f234de7613cfacc2f6cac</v>
      </c>
      <c r="I2098" s="1" t="s">
        <v>3406</v>
      </c>
      <c r="L2098" s="2" t="s">
        <v>3412</v>
      </c>
      <c r="M2098" s="2" t="n">
        <v>133015</v>
      </c>
      <c r="S2098" s="2" t="n">
        <v>2560</v>
      </c>
      <c r="T2098" s="2" t="n">
        <v>3300</v>
      </c>
    </row>
    <row r="2099" customFormat="false" ht="18.7" hidden="false" customHeight="true" outlineLevel="0" collapsed="false">
      <c r="A2099" s="1" t="n">
        <v>2098</v>
      </c>
      <c r="B2099" s="7" t="str">
        <f aca="false">HYPERLINK("https://mncourtfraud.com/file/27-CR-22-7520.pdf","27-CR-22-7520")</f>
        <v>27-CR-22-7520</v>
      </c>
      <c r="C2099" s="1" t="n">
        <v>5</v>
      </c>
      <c r="D2099" s="2" t="s">
        <v>267</v>
      </c>
      <c r="E2099" s="8" t="n">
        <v>44837</v>
      </c>
      <c r="F2099" s="2" t="s">
        <v>17</v>
      </c>
      <c r="G2099" s="7" t="str">
        <f aca="false">HYPERLINK("https://mncourtfraud.com/file/MCRO_27-CR-22-7520_Returned Mail_2022-10-03_20251126170511.pdf","MCRO_27-CR-22-7520_Returned Mail_2022-10-03_20251126170511.pdf")</f>
        <v>MCRO_27-CR-22-7520_Returned Mail_2022-10-03_20251126170511.pdf</v>
      </c>
      <c r="H2099" s="7" t="str">
        <f aca="false">HYPERLINK("https://mncourtfraud.com/file/8778f7525dc1a65ab7d38b29fbfcd61af9952f5e6f645c0afeaeef3db57219a6.jpg","8778f7525dc1a65ab7d38b29fbfcd61af9952f5e6f645c0afeaeef3db57219a6")</f>
        <v>8778f7525dc1a65ab7d38b29fbfcd61af9952f5e6f645c0afeaeef3db57219a6</v>
      </c>
      <c r="I2099" s="1" t="s">
        <v>3417</v>
      </c>
      <c r="L2099" s="2" t="s">
        <v>3419</v>
      </c>
      <c r="M2099" s="2" t="n">
        <v>448732</v>
      </c>
      <c r="S2099" s="2" t="n">
        <v>2550</v>
      </c>
      <c r="T2099" s="2" t="n">
        <v>3300</v>
      </c>
    </row>
    <row r="2100" customFormat="false" ht="18.7" hidden="false" customHeight="true" outlineLevel="0" collapsed="false">
      <c r="A2100" s="1" t="n">
        <v>2099</v>
      </c>
      <c r="B2100" s="7" t="str">
        <f aca="false">HYPERLINK("https://mncourtfraud.com/file/27-CR-22-7520.pdf","27-CR-22-7520")</f>
        <v>27-CR-22-7520</v>
      </c>
      <c r="C2100" s="1" t="n">
        <v>5</v>
      </c>
      <c r="D2100" s="2" t="s">
        <v>267</v>
      </c>
      <c r="E2100" s="8" t="n">
        <v>44837</v>
      </c>
      <c r="F2100" s="2" t="s">
        <v>17</v>
      </c>
      <c r="G2100" s="7" t="str">
        <f aca="false">HYPERLINK("https://mncourtfraud.com/file/MCRO_27-CR-22-7520_Returned Mail_2022-10-03_20251126170511.pdf","MCRO_27-CR-22-7520_Returned Mail_2022-10-03_20251126170511.pdf")</f>
        <v>MCRO_27-CR-22-7520_Returned Mail_2022-10-03_20251126170511.pdf</v>
      </c>
      <c r="H2100" s="7" t="str">
        <f aca="false">HYPERLINK("https://mncourtfraud.com/file/a5e5c392eb46244eb2f6cb58ac26cd8ceafb56d6f16b754ee26ba4f3c1b3b729.ttf","a5e5c392eb46244eb2f6cb58ac26cd8ceafb56d6f16b754ee26ba4f3c1b3b729")</f>
        <v>a5e5c392eb46244eb2f6cb58ac26cd8ceafb56d6f16b754ee26ba4f3c1b3b729</v>
      </c>
      <c r="I2100" s="1" t="s">
        <v>3413</v>
      </c>
      <c r="L2100" s="2" t="s">
        <v>3415</v>
      </c>
      <c r="M2100" s="2" t="n">
        <v>333584</v>
      </c>
    </row>
    <row r="2101" customFormat="false" ht="18.7" hidden="false" customHeight="true" outlineLevel="0" collapsed="false">
      <c r="A2101" s="1" t="n">
        <v>2100</v>
      </c>
      <c r="B2101" s="7" t="str">
        <f aca="false">HYPERLINK("https://mncourtfraud.com/file/27-CR-22-7520.pdf","27-CR-22-7520")</f>
        <v>27-CR-22-7520</v>
      </c>
      <c r="C2101" s="1" t="n">
        <v>5</v>
      </c>
      <c r="D2101" s="2" t="s">
        <v>267</v>
      </c>
      <c r="E2101" s="8" t="n">
        <v>44873</v>
      </c>
      <c r="F2101" s="2" t="s">
        <v>15</v>
      </c>
      <c r="G2101" s="7" t="str">
        <f aca="false">HYPERLINK("https://mncourtfraud.com/file/MCRO_27-CR-22-7520_Order-Evaluation for Competency to Proceed (Rule 20.01)_2022-11-08_20251126170532.pdf","MCRO_27-CR-22-7520_Order-Evaluation for Competency to Proceed (Rule 20.01)_2022-11-08_20251126170532.pdf")</f>
        <v>MCRO_27-CR-22-7520_Order-Evaluation for Competency to Proceed (Rule 20.01)_2022-11-08_20251126170532.pdf</v>
      </c>
      <c r="H2101" s="7" t="str">
        <f aca="false">HYPERLINK("https://mncourtfraud.com/file/082f387ba4835f1cae3d2529d7afa13cbb922baebe03519ee43d2c14358c2398.jpg","082f387ba4835f1cae3d2529d7afa13cbb922baebe03519ee43d2c14358c2398")</f>
        <v>082f387ba4835f1cae3d2529d7afa13cbb922baebe03519ee43d2c14358c2398</v>
      </c>
      <c r="I2101" s="1" t="s">
        <v>3417</v>
      </c>
      <c r="L2101" s="2" t="s">
        <v>3418</v>
      </c>
      <c r="M2101" s="2" t="n">
        <v>300734</v>
      </c>
      <c r="S2101" s="2" t="n">
        <v>1700</v>
      </c>
      <c r="T2101" s="2" t="n">
        <v>2200</v>
      </c>
    </row>
    <row r="2102" customFormat="false" ht="18.7" hidden="false" customHeight="true" outlineLevel="0" collapsed="false">
      <c r="A2102" s="1" t="n">
        <v>2101</v>
      </c>
      <c r="B2102" s="7" t="str">
        <f aca="false">HYPERLINK("https://mncourtfraud.com/file/27-CR-22-7520.pdf","27-CR-22-7520")</f>
        <v>27-CR-22-7520</v>
      </c>
      <c r="C2102" s="1" t="n">
        <v>5</v>
      </c>
      <c r="D2102" s="2" t="s">
        <v>267</v>
      </c>
      <c r="E2102" s="8" t="n">
        <v>44873</v>
      </c>
      <c r="F2102" s="2" t="s">
        <v>15</v>
      </c>
      <c r="G2102" s="7" t="str">
        <f aca="false">HYPERLINK("https://mncourtfraud.com/file/MCRO_27-CR-22-7520_Order-Evaluation for Competency to Proceed (Rule 20.01)_2022-11-08_20251126170532.pdf","MCRO_27-CR-22-7520_Order-Evaluation for Competency to Proceed (Rule 20.01)_2022-11-08_20251126170532.pdf")</f>
        <v>MCRO_27-CR-22-7520_Order-Evaluation for Competency to Proceed (Rule 20.01)_2022-11-08_20251126170532.pdf</v>
      </c>
      <c r="H2102" s="7" t="str">
        <f aca="false">HYPERLINK("https://mncourtfraud.com/file/5ec6a5633be2d5f7201fcc405ec826928f8ebd9d0f347fee056c3ff04cd3e3d7.ttf","5ec6a5633be2d5f7201fcc405ec826928f8ebd9d0f347fee056c3ff04cd3e3d7")</f>
        <v>5ec6a5633be2d5f7201fcc405ec826928f8ebd9d0f347fee056c3ff04cd3e3d7</v>
      </c>
      <c r="I2102" s="1" t="s">
        <v>3413</v>
      </c>
      <c r="L2102" s="2" t="s">
        <v>3415</v>
      </c>
      <c r="M2102" s="2" t="n">
        <v>333576</v>
      </c>
    </row>
    <row r="2103" customFormat="false" ht="18.7" hidden="false" customHeight="true" outlineLevel="0" collapsed="false">
      <c r="A2103" s="1" t="n">
        <v>2102</v>
      </c>
      <c r="B2103" s="7" t="str">
        <f aca="false">HYPERLINK("https://mncourtfraud.com/file/27-CR-22-7520.pdf","27-CR-22-7520")</f>
        <v>27-CR-22-7520</v>
      </c>
      <c r="C2103" s="1" t="n">
        <v>5</v>
      </c>
      <c r="D2103" s="2" t="s">
        <v>267</v>
      </c>
      <c r="E2103" s="8" t="n">
        <v>44873</v>
      </c>
      <c r="F2103" s="2" t="s">
        <v>15</v>
      </c>
      <c r="G2103" s="7" t="str">
        <f aca="false">HYPERLINK("https://mncourtfraud.com/file/MCRO_27-CR-22-7520_Order-Evaluation for Competency to Proceed (Rule 20.01)_2022-11-08_20251126170532.pdf","MCRO_27-CR-22-7520_Order-Evaluation for Competency to Proceed (Rule 20.01)_2022-11-08_20251126170532.pdf")</f>
        <v>MCRO_27-CR-22-7520_Order-Evaluation for Competency to Proceed (Rule 20.01)_2022-11-08_20251126170532.pdf</v>
      </c>
      <c r="H2103" s="7" t="str">
        <f aca="false">HYPERLINK("https://mncourtfraud.com/file/6efe5689334238d45a24a51d7cd932b18f0bce47806d862dbcc29a63132d5402.jpg","6efe5689334238d45a24a51d7cd932b18f0bce47806d862dbcc29a63132d5402")</f>
        <v>6efe5689334238d45a24a51d7cd932b18f0bce47806d862dbcc29a63132d5402</v>
      </c>
      <c r="I2103" s="1" t="s">
        <v>3417</v>
      </c>
      <c r="L2103" s="2" t="s">
        <v>3418</v>
      </c>
      <c r="M2103" s="2" t="n">
        <v>59609</v>
      </c>
      <c r="S2103" s="2" t="n">
        <v>1700</v>
      </c>
      <c r="T2103" s="2" t="n">
        <v>2200</v>
      </c>
    </row>
    <row r="2104" customFormat="false" ht="18.7" hidden="false" customHeight="true" outlineLevel="0" collapsed="false">
      <c r="A2104" s="1" t="n">
        <v>2103</v>
      </c>
      <c r="B2104" s="7" t="str">
        <f aca="false">HYPERLINK("https://mncourtfraud.com/file/27-CR-22-7520.pdf","27-CR-22-7520")</f>
        <v>27-CR-22-7520</v>
      </c>
      <c r="C2104" s="1" t="n">
        <v>5</v>
      </c>
      <c r="D2104" s="2" t="s">
        <v>267</v>
      </c>
      <c r="E2104" s="8" t="n">
        <v>44873</v>
      </c>
      <c r="F2104" s="2" t="s">
        <v>15</v>
      </c>
      <c r="G2104" s="7" t="str">
        <f aca="false">HYPERLINK("https://mncourtfraud.com/file/MCRO_27-CR-22-7520_Order-Evaluation for Competency to Proceed (Rule 20.01)_2022-11-08_20251126170532.pdf","MCRO_27-CR-22-7520_Order-Evaluation for Competency to Proceed (Rule 20.01)_2022-11-08_20251126170532.pdf")</f>
        <v>MCRO_27-CR-22-7520_Order-Evaluation for Competency to Proceed (Rule 20.01)_2022-11-08_20251126170532.pdf</v>
      </c>
      <c r="H2104" s="7" t="str">
        <f aca="false">HYPERLINK("https://mncourtfraud.com/file/fc4055f8addb8eece144843412a390d7992a7db6c5473e9a7648f1bd742f06a0.jpg","fc4055f8addb8eece144843412a390d7992a7db6c5473e9a7648f1bd742f06a0")</f>
        <v>fc4055f8addb8eece144843412a390d7992a7db6c5473e9a7648f1bd742f06a0</v>
      </c>
      <c r="I2104" s="1" t="s">
        <v>3417</v>
      </c>
      <c r="L2104" s="2" t="s">
        <v>3418</v>
      </c>
      <c r="M2104" s="2" t="n">
        <v>366016</v>
      </c>
      <c r="S2104" s="2" t="n">
        <v>1700</v>
      </c>
      <c r="T2104" s="2" t="n">
        <v>2200</v>
      </c>
    </row>
    <row r="2105" customFormat="false" ht="18.7" hidden="false" customHeight="true" outlineLevel="0" collapsed="false">
      <c r="A2105" s="1" t="n">
        <v>2104</v>
      </c>
      <c r="B2105" s="7" t="str">
        <f aca="false">HYPERLINK("https://mncourtfraud.com/file/27-CR-22-7520.pdf","27-CR-22-7520")</f>
        <v>27-CR-22-7520</v>
      </c>
      <c r="C2105" s="1" t="n">
        <v>5</v>
      </c>
      <c r="D2105" s="2" t="s">
        <v>267</v>
      </c>
      <c r="E2105" s="8" t="n">
        <v>45023</v>
      </c>
      <c r="F2105" s="2" t="s">
        <v>15</v>
      </c>
      <c r="G2105" s="7" t="str">
        <f aca="false">HYPERLINK("https://mncourtfraud.com/file/MCRO_27-CR-22-7520_Order-Evaluation for Competency to Proceed (Rule 20.01)_2023-04-07_20251126170542.pdf","MCRO_27-CR-22-7520_Order-Evaluation for Competency to Proceed (Rule 20.01)_2023-04-07_20251126170542.pdf")</f>
        <v>MCRO_27-CR-22-7520_Order-Evaluation for Competency to Proceed (Rule 20.01)_2023-04-07_20251126170542.pdf</v>
      </c>
      <c r="H2105" s="7" t="str">
        <f aca="false">HYPERLINK("https://mncourtfraud.com/file/37e1d27665f68df4dab1106bd975308be0e60b0242f4a85efeac6f60115cbe9e.jpg","37e1d27665f68df4dab1106bd975308be0e60b0242f4a85efeac6f60115cbe9e")</f>
        <v>37e1d27665f68df4dab1106bd975308be0e60b0242f4a85efeac6f60115cbe9e</v>
      </c>
      <c r="I2105" s="1" t="s">
        <v>3417</v>
      </c>
      <c r="L2105" s="2" t="s">
        <v>3418</v>
      </c>
      <c r="M2105" s="2" t="n">
        <v>641921</v>
      </c>
      <c r="S2105" s="2" t="n">
        <v>2550</v>
      </c>
      <c r="T2105" s="2" t="n">
        <v>3300</v>
      </c>
    </row>
    <row r="2106" customFormat="false" ht="18.7" hidden="false" customHeight="true" outlineLevel="0" collapsed="false">
      <c r="A2106" s="1" t="n">
        <v>2105</v>
      </c>
      <c r="B2106" s="7" t="str">
        <f aca="false">HYPERLINK("https://mncourtfraud.com/file/27-CR-22-7520.pdf","27-CR-22-7520")</f>
        <v>27-CR-22-7520</v>
      </c>
      <c r="C2106" s="1" t="n">
        <v>5</v>
      </c>
      <c r="D2106" s="2" t="s">
        <v>267</v>
      </c>
      <c r="E2106" s="8" t="n">
        <v>45023</v>
      </c>
      <c r="F2106" s="2" t="s">
        <v>15</v>
      </c>
      <c r="G2106" s="7" t="str">
        <f aca="false">HYPERLINK("https://mncourtfraud.com/file/MCRO_27-CR-22-7520_Order-Evaluation for Competency to Proceed (Rule 20.01)_2023-04-07_20251126170542.pdf","MCRO_27-CR-22-7520_Order-Evaluation for Competency to Proceed (Rule 20.01)_2023-04-07_20251126170542.pdf")</f>
        <v>MCRO_27-CR-22-7520_Order-Evaluation for Competency to Proceed (Rule 20.01)_2023-04-07_20251126170542.pdf</v>
      </c>
      <c r="H2106" s="7" t="str">
        <f aca="false">HYPERLINK("https://mncourtfraud.com/file/6cd004a8988fa8bda0d8ade1d06f84a21499e826bbac58a73521ffd4cafc0475.ttf","6cd004a8988fa8bda0d8ade1d06f84a21499e826bbac58a73521ffd4cafc0475")</f>
        <v>6cd004a8988fa8bda0d8ade1d06f84a21499e826bbac58a73521ffd4cafc0475</v>
      </c>
      <c r="I2106" s="1" t="s">
        <v>3413</v>
      </c>
      <c r="L2106" s="2" t="s">
        <v>3415</v>
      </c>
      <c r="M2106" s="2" t="n">
        <v>8688</v>
      </c>
    </row>
    <row r="2107" customFormat="false" ht="18.7" hidden="false" customHeight="true" outlineLevel="0" collapsed="false">
      <c r="A2107" s="1" t="n">
        <v>2106</v>
      </c>
      <c r="B2107" s="7" t="str">
        <f aca="false">HYPERLINK("https://mncourtfraud.com/file/27-CR-22-7520.pdf","27-CR-22-7520")</f>
        <v>27-CR-22-7520</v>
      </c>
      <c r="C2107" s="1" t="n">
        <v>5</v>
      </c>
      <c r="D2107" s="2" t="s">
        <v>267</v>
      </c>
      <c r="E2107" s="8" t="n">
        <v>45023</v>
      </c>
      <c r="F2107" s="2" t="s">
        <v>15</v>
      </c>
      <c r="G2107" s="7" t="str">
        <f aca="false">HYPERLINK("https://mncourtfraud.com/file/MCRO_27-CR-22-7520_Order-Evaluation for Competency to Proceed (Rule 20.01)_2023-04-07_20251126170542.pdf","MCRO_27-CR-22-7520_Order-Evaluation for Competency to Proceed (Rule 20.01)_2023-04-07_20251126170542.pdf")</f>
        <v>MCRO_27-CR-22-7520_Order-Evaluation for Competency to Proceed (Rule 20.01)_2023-04-07_20251126170542.pdf</v>
      </c>
      <c r="H2107" s="7" t="str">
        <f aca="false">HYPERLINK("https://mncourtfraud.com/file/e613885d2870517c288db29c787d81f49218baf708932a6192f2a921641bc081.jpg","e613885d2870517c288db29c787d81f49218baf708932a6192f2a921641bc081")</f>
        <v>e613885d2870517c288db29c787d81f49218baf708932a6192f2a921641bc081</v>
      </c>
      <c r="I2107" s="1" t="s">
        <v>3417</v>
      </c>
      <c r="L2107" s="2" t="s">
        <v>3418</v>
      </c>
      <c r="M2107" s="2" t="n">
        <v>518895</v>
      </c>
      <c r="S2107" s="2" t="n">
        <v>2550</v>
      </c>
      <c r="T2107" s="2" t="n">
        <v>3300</v>
      </c>
    </row>
    <row r="2108" customFormat="false" ht="18.7" hidden="false" customHeight="true" outlineLevel="0" collapsed="false">
      <c r="A2108" s="1" t="n">
        <v>2107</v>
      </c>
      <c r="B2108" s="7" t="str">
        <f aca="false">HYPERLINK("https://mncourtfraud.com/file/27-CR-22-7520.pdf","27-CR-22-7520")</f>
        <v>27-CR-22-7520</v>
      </c>
      <c r="C2108" s="1" t="n">
        <v>5</v>
      </c>
      <c r="D2108" s="2" t="s">
        <v>267</v>
      </c>
      <c r="E2108" s="8" t="n">
        <v>45194</v>
      </c>
      <c r="F2108" s="2" t="s">
        <v>15</v>
      </c>
      <c r="G2108" s="7" t="str">
        <f aca="false">HYPERLINK("https://mncourtfraud.com/file/MCRO_27-CR-22-7520_Order-Evaluation for Competency to Proceed (Rule 20.01)_2023-09-25_20251126170523.pdf","MCRO_27-CR-22-7520_Order-Evaluation for Competency to Proceed (Rule 20.01)_2023-09-25_20251126170523.pdf")</f>
        <v>MCRO_27-CR-22-7520_Order-Evaluation for Competency to Proceed (Rule 20.01)_2023-09-25_20251126170523.pdf</v>
      </c>
      <c r="H2108" s="7" t="str">
        <f aca="false">HYPERLINK("https://mncourtfraud.com/file/4c385f7ae8b1b78bc4ac3302e35eeaeb47e175305fd776c018ad0582a082d2f1.png","4c385f7ae8b1b78bc4ac3302e35eeaeb47e175305fd776c018ad0582a082d2f1")</f>
        <v>4c385f7ae8b1b78bc4ac3302e35eeaeb47e175305fd776c018ad0582a082d2f1</v>
      </c>
      <c r="I2108" s="1" t="s">
        <v>3406</v>
      </c>
      <c r="L2108" s="2" t="s">
        <v>3412</v>
      </c>
      <c r="M2108" s="2" t="n">
        <v>162309</v>
      </c>
      <c r="S2108" s="2" t="n">
        <v>2560</v>
      </c>
      <c r="T2108" s="2" t="n">
        <v>3300</v>
      </c>
    </row>
    <row r="2109" customFormat="false" ht="18.7" hidden="false" customHeight="true" outlineLevel="0" collapsed="false">
      <c r="A2109" s="1" t="n">
        <v>2108</v>
      </c>
      <c r="B2109" s="7" t="str">
        <f aca="false">HYPERLINK("https://mncourtfraud.com/file/27-CR-22-7520.pdf","27-CR-22-7520")</f>
        <v>27-CR-22-7520</v>
      </c>
      <c r="C2109" s="1" t="n">
        <v>5</v>
      </c>
      <c r="D2109" s="2" t="s">
        <v>267</v>
      </c>
      <c r="E2109" s="8" t="n">
        <v>45194</v>
      </c>
      <c r="F2109" s="2" t="s">
        <v>15</v>
      </c>
      <c r="G2109" s="7" t="str">
        <f aca="false">HYPERLINK("https://mncourtfraud.com/file/MCRO_27-CR-22-7520_Order-Evaluation for Competency to Proceed (Rule 20.01)_2023-09-25_20251126170523.pdf","MCRO_27-CR-22-7520_Order-Evaluation for Competency to Proceed (Rule 20.01)_2023-09-25_20251126170523.pdf")</f>
        <v>MCRO_27-CR-22-7520_Order-Evaluation for Competency to Proceed (Rule 20.01)_2023-09-25_20251126170523.pdf</v>
      </c>
      <c r="H2109" s="7" t="str">
        <f aca="false">HYPERLINK("https://mncourtfraud.com/file/9f61d1c86b92a1cfe4c2425ebe7c20689b4132fc43316fa8ae4829c07f8dccd6.ttf","9f61d1c86b92a1cfe4c2425ebe7c20689b4132fc43316fa8ae4829c07f8dccd6")</f>
        <v>9f61d1c86b92a1cfe4c2425ebe7c20689b4132fc43316fa8ae4829c07f8dccd6</v>
      </c>
      <c r="I2109" s="1" t="s">
        <v>3413</v>
      </c>
      <c r="L2109" s="2" t="s">
        <v>3415</v>
      </c>
      <c r="M2109" s="2" t="n">
        <v>333576</v>
      </c>
    </row>
    <row r="2110" customFormat="false" ht="18.7" hidden="false" customHeight="true" outlineLevel="0" collapsed="false">
      <c r="A2110" s="1" t="n">
        <v>2109</v>
      </c>
      <c r="B2110" s="7" t="str">
        <f aca="false">HYPERLINK("https://mncourtfraud.com/file/27-CR-22-7520.pdf","27-CR-22-7520")</f>
        <v>27-CR-22-7520</v>
      </c>
      <c r="C2110" s="1" t="n">
        <v>5</v>
      </c>
      <c r="D2110" s="2" t="s">
        <v>267</v>
      </c>
      <c r="E2110" s="8" t="n">
        <v>45194</v>
      </c>
      <c r="F2110" s="2" t="s">
        <v>15</v>
      </c>
      <c r="G2110" s="7" t="str">
        <f aca="false">HYPERLINK("https://mncourtfraud.com/file/MCRO_27-CR-22-7520_Order-Evaluation for Competency to Proceed (Rule 20.01)_2023-09-25_20251126170523.pdf","MCRO_27-CR-22-7520_Order-Evaluation for Competency to Proceed (Rule 20.01)_2023-09-25_20251126170523.pdf")</f>
        <v>MCRO_27-CR-22-7520_Order-Evaluation for Competency to Proceed (Rule 20.01)_2023-09-25_20251126170523.pdf</v>
      </c>
      <c r="H2110" s="7" t="str">
        <f aca="false">HYPERLINK("https://mncourtfraud.com/file/e8ec090484db08b3be9daaa10e2fef35a99135ae0a2f234de7613cfacc2f6cac.png","e8ec090484db08b3be9daaa10e2fef35a99135ae0a2f234de7613cfacc2f6cac")</f>
        <v>e8ec090484db08b3be9daaa10e2fef35a99135ae0a2f234de7613cfacc2f6cac</v>
      </c>
      <c r="I2110" s="1" t="s">
        <v>3406</v>
      </c>
      <c r="L2110" s="2" t="s">
        <v>3412</v>
      </c>
      <c r="M2110" s="2" t="n">
        <v>133015</v>
      </c>
      <c r="S2110" s="2" t="n">
        <v>2560</v>
      </c>
      <c r="T2110" s="2" t="n">
        <v>3300</v>
      </c>
    </row>
    <row r="2111" customFormat="false" ht="18.7" hidden="false" customHeight="true" outlineLevel="0" collapsed="false">
      <c r="A2111" s="1" t="n">
        <v>2110</v>
      </c>
      <c r="B2111" s="7" t="str">
        <f aca="false">HYPERLINK("https://mncourtfraud.com/file/27-CR-22-8126.pdf","27-CR-22-8126")</f>
        <v>27-CR-22-8126</v>
      </c>
      <c r="C2111" s="1" t="n">
        <v>1</v>
      </c>
      <c r="D2111" s="2" t="s">
        <v>12</v>
      </c>
      <c r="E2111" s="8" t="n">
        <v>44761</v>
      </c>
      <c r="F2111" s="2" t="s">
        <v>15</v>
      </c>
      <c r="G2111" s="7" t="str">
        <f aca="false">HYPERLINK("https://mncourtfraud.com/file/MCRO_27-CR-22-8126_Order-Evaluation for Competency to Proceed (Rule 20.01)_2022-07-19_20251126185733.pdf","MCRO_27-CR-22-8126_Order-Evaluation for Competency to Proceed (Rule 20.01)_2022-07-19_20251126185733.pdf")</f>
        <v>MCRO_27-CR-22-8126_Order-Evaluation for Competency to Proceed (Rule 20.01)_2022-07-19_20251126185733.pdf</v>
      </c>
      <c r="H2111" s="7" t="str">
        <f aca="false">HYPERLINK("https://mncourtfraud.com/file/0d99ce1c86766d567d8765a4d807f3834791715457034c8ac17c745755a0ee2e.png","0d99ce1c86766d567d8765a4d807f3834791715457034c8ac17c745755a0ee2e")</f>
        <v>0d99ce1c86766d567d8765a4d807f3834791715457034c8ac17c745755a0ee2e</v>
      </c>
      <c r="I2111" s="1" t="s">
        <v>3406</v>
      </c>
      <c r="L2111" s="2" t="s">
        <v>3412</v>
      </c>
      <c r="M2111" s="2" t="n">
        <v>181526</v>
      </c>
      <c r="S2111" s="2" t="n">
        <v>3304</v>
      </c>
      <c r="T2111" s="2" t="n">
        <v>2550</v>
      </c>
    </row>
    <row r="2112" customFormat="false" ht="18.7" hidden="false" customHeight="true" outlineLevel="0" collapsed="false">
      <c r="A2112" s="1" t="n">
        <v>2111</v>
      </c>
      <c r="B2112" s="7" t="str">
        <f aca="false">HYPERLINK("https://mncourtfraud.com/file/27-CR-22-8126.pdf","27-CR-22-8126")</f>
        <v>27-CR-22-8126</v>
      </c>
      <c r="C2112" s="1" t="n">
        <v>1</v>
      </c>
      <c r="D2112" s="2" t="s">
        <v>12</v>
      </c>
      <c r="E2112" s="8" t="n">
        <v>44761</v>
      </c>
      <c r="F2112" s="2" t="s">
        <v>15</v>
      </c>
      <c r="G2112" s="7" t="str">
        <f aca="false">HYPERLINK("https://mncourtfraud.com/file/MCRO_27-CR-22-8126_Order-Evaluation for Competency to Proceed (Rule 20.01)_2022-07-19_20251126185733.pdf","MCRO_27-CR-22-8126_Order-Evaluation for Competency to Proceed (Rule 20.01)_2022-07-19_20251126185733.pdf")</f>
        <v>MCRO_27-CR-22-8126_Order-Evaluation for Competency to Proceed (Rule 20.01)_2022-07-19_20251126185733.pdf</v>
      </c>
      <c r="H2112" s="7" t="str">
        <f aca="false">HYPERLINK("https://mncourtfraud.com/file/c98c8baad1022c0211ad064c25bbedf4625c04b2297a7c839ba647c6660d1293.png","c98c8baad1022c0211ad064c25bbedf4625c04b2297a7c839ba647c6660d1293")</f>
        <v>c98c8baad1022c0211ad064c25bbedf4625c04b2297a7c839ba647c6660d1293</v>
      </c>
      <c r="I2112" s="1" t="s">
        <v>3406</v>
      </c>
      <c r="L2112" s="2" t="s">
        <v>3412</v>
      </c>
      <c r="M2112" s="2" t="n">
        <v>198067</v>
      </c>
      <c r="S2112" s="2" t="n">
        <v>3304</v>
      </c>
      <c r="T2112" s="2" t="n">
        <v>2550</v>
      </c>
    </row>
    <row r="2113" customFormat="false" ht="18.7" hidden="false" customHeight="true" outlineLevel="0" collapsed="false">
      <c r="A2113" s="1" t="n">
        <v>2112</v>
      </c>
      <c r="B2113" s="7" t="str">
        <f aca="false">HYPERLINK("https://mncourtfraud.com/file/27-CR-22-8126.pdf","27-CR-22-8126")</f>
        <v>27-CR-22-8126</v>
      </c>
      <c r="C2113" s="1" t="n">
        <v>1</v>
      </c>
      <c r="D2113" s="2" t="s">
        <v>12</v>
      </c>
      <c r="E2113" s="8" t="n">
        <v>44761</v>
      </c>
      <c r="F2113" s="2" t="s">
        <v>15</v>
      </c>
      <c r="G2113" s="7" t="str">
        <f aca="false">HYPERLINK("https://mncourtfraud.com/file/MCRO_27-CR-22-8126_Order-Evaluation for Competency to Proceed (Rule 20.01)_2022-07-19_20251126185733.pdf","MCRO_27-CR-22-8126_Order-Evaluation for Competency to Proceed (Rule 20.01)_2022-07-19_20251126185733.pdf")</f>
        <v>MCRO_27-CR-22-8126_Order-Evaluation for Competency to Proceed (Rule 20.01)_2022-07-19_20251126185733.pdf</v>
      </c>
      <c r="H2113" s="7" t="str">
        <f aca="false">HYPERLINK("https://mncourtfraud.com/file/ce3a09c5b18e46a7d95bc30202f29439160107f42bca0ad59c55ddd16135b47f.ttf","ce3a09c5b18e46a7d95bc30202f29439160107f42bca0ad59c55ddd16135b47f")</f>
        <v>ce3a09c5b18e46a7d95bc30202f29439160107f42bca0ad59c55ddd16135b47f</v>
      </c>
      <c r="I2113" s="1" t="s">
        <v>3413</v>
      </c>
      <c r="L2113" s="2" t="s">
        <v>3415</v>
      </c>
      <c r="M2113" s="2" t="n">
        <v>333576</v>
      </c>
    </row>
    <row r="2114" customFormat="false" ht="18.7" hidden="false" customHeight="true" outlineLevel="0" collapsed="false">
      <c r="A2114" s="1" t="n">
        <v>2113</v>
      </c>
      <c r="B2114" s="7" t="str">
        <f aca="false">HYPERLINK("https://mncourtfraud.com/file/27-CR-22-8126.pdf","27-CR-22-8126")</f>
        <v>27-CR-22-8126</v>
      </c>
      <c r="C2114" s="1" t="n">
        <v>1</v>
      </c>
      <c r="D2114" s="2" t="s">
        <v>12</v>
      </c>
      <c r="E2114" s="8" t="n">
        <v>44895</v>
      </c>
      <c r="F2114" s="2" t="s">
        <v>15</v>
      </c>
      <c r="G2114" s="7" t="str">
        <f aca="false">HYPERLINK("https://mncourtfraud.com/file/MCRO_27-CR-22-8126_Order-Evaluation for Competency to Proceed (Rule 20.01)_2022-11-30_20251126185703.pdf","MCRO_27-CR-22-8126_Order-Evaluation for Competency to Proceed (Rule 20.01)_2022-11-30_20251126185703.pdf")</f>
        <v>MCRO_27-CR-22-8126_Order-Evaluation for Competency to Proceed (Rule 20.01)_2022-11-30_20251126185703.pdf</v>
      </c>
      <c r="H2114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2114" s="1" t="s">
        <v>3413</v>
      </c>
      <c r="J2114" s="2" t="s">
        <v>3423</v>
      </c>
      <c r="K2114" s="2" t="s">
        <v>3423</v>
      </c>
      <c r="L2114" s="2" t="s">
        <v>3415</v>
      </c>
      <c r="M2114" s="2" t="n">
        <v>11088</v>
      </c>
    </row>
    <row r="2115" customFormat="false" ht="18.7" hidden="false" customHeight="true" outlineLevel="0" collapsed="false">
      <c r="A2115" s="1" t="n">
        <v>2114</v>
      </c>
      <c r="B2115" s="7" t="str">
        <f aca="false">HYPERLINK("https://mncourtfraud.com/file/27-CR-22-8126.pdf","27-CR-22-8126")</f>
        <v>27-CR-22-8126</v>
      </c>
      <c r="C2115" s="1" t="n">
        <v>1</v>
      </c>
      <c r="D2115" s="2" t="s">
        <v>12</v>
      </c>
      <c r="E2115" s="8" t="n">
        <v>44895</v>
      </c>
      <c r="F2115" s="2" t="s">
        <v>15</v>
      </c>
      <c r="G2115" s="7" t="str">
        <f aca="false">HYPERLINK("https://mncourtfraud.com/file/MCRO_27-CR-22-8126_Order-Evaluation for Competency to Proceed (Rule 20.01)_2022-11-30_20251126185703.pdf","MCRO_27-CR-22-8126_Order-Evaluation for Competency to Proceed (Rule 20.01)_2022-11-30_20251126185703.pdf")</f>
        <v>MCRO_27-CR-22-8126_Order-Evaluation for Competency to Proceed (Rule 20.01)_2022-11-30_20251126185703.pdf</v>
      </c>
      <c r="H2115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2115" s="1" t="s">
        <v>3413</v>
      </c>
      <c r="J2115" s="2" t="s">
        <v>3446</v>
      </c>
      <c r="K2115" s="2" t="s">
        <v>3446</v>
      </c>
      <c r="L2115" s="2" t="s">
        <v>3415</v>
      </c>
      <c r="M2115" s="2" t="n">
        <v>55072</v>
      </c>
      <c r="N2115" s="2" t="s">
        <v>3447</v>
      </c>
    </row>
    <row r="2116" customFormat="false" ht="18.7" hidden="false" customHeight="true" outlineLevel="0" collapsed="false">
      <c r="A2116" s="1" t="n">
        <v>2115</v>
      </c>
      <c r="B2116" s="7" t="str">
        <f aca="false">HYPERLINK("https://mncourtfraud.com/file/27-CR-22-8126.pdf","27-CR-22-8126")</f>
        <v>27-CR-22-8126</v>
      </c>
      <c r="C2116" s="1" t="n">
        <v>1</v>
      </c>
      <c r="D2116" s="2" t="s">
        <v>12</v>
      </c>
      <c r="E2116" s="8" t="n">
        <v>44895</v>
      </c>
      <c r="F2116" s="2" t="s">
        <v>15</v>
      </c>
      <c r="G2116" s="7" t="str">
        <f aca="false">HYPERLINK("https://mncourtfraud.com/file/MCRO_27-CR-22-8126_Order-Evaluation for Competency to Proceed (Rule 20.01)_2022-11-30_20251126185703.pdf","MCRO_27-CR-22-8126_Order-Evaluation for Competency to Proceed (Rule 20.01)_2022-11-30_20251126185703.pdf")</f>
        <v>MCRO_27-CR-22-8126_Order-Evaluation for Competency to Proceed (Rule 20.01)_2022-11-30_20251126185703.pdf</v>
      </c>
      <c r="H2116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2116" s="1" t="s">
        <v>3413</v>
      </c>
      <c r="J2116" s="2" t="s">
        <v>3424</v>
      </c>
      <c r="K2116" s="2" t="s">
        <v>3424</v>
      </c>
      <c r="L2116" s="2" t="s">
        <v>3415</v>
      </c>
      <c r="M2116" s="2" t="n">
        <v>14252</v>
      </c>
    </row>
    <row r="2117" customFormat="false" ht="18.7" hidden="false" customHeight="true" outlineLevel="0" collapsed="false">
      <c r="A2117" s="1" t="n">
        <v>2116</v>
      </c>
      <c r="B2117" s="7" t="str">
        <f aca="false">HYPERLINK("https://mncourtfraud.com/file/27-CR-22-8126.pdf","27-CR-22-8126")</f>
        <v>27-CR-22-8126</v>
      </c>
      <c r="C2117" s="1" t="n">
        <v>1</v>
      </c>
      <c r="D2117" s="2" t="s">
        <v>12</v>
      </c>
      <c r="E2117" s="8" t="n">
        <v>44895</v>
      </c>
      <c r="F2117" s="2" t="s">
        <v>15</v>
      </c>
      <c r="G2117" s="7" t="str">
        <f aca="false">HYPERLINK("https://mncourtfraud.com/file/MCRO_27-CR-22-8126_Order-Evaluation for Competency to Proceed (Rule 20.01)_2022-11-30_20251126185703.pdf","MCRO_27-CR-22-8126_Order-Evaluation for Competency to Proceed (Rule 20.01)_2022-11-30_20251126185703.pdf")</f>
        <v>MCRO_27-CR-22-8126_Order-Evaluation for Competency to Proceed (Rule 20.01)_2022-11-30_20251126185703.pdf</v>
      </c>
      <c r="H2117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2117" s="1" t="s">
        <v>3406</v>
      </c>
      <c r="K2117" s="2" t="s">
        <v>3420</v>
      </c>
      <c r="L2117" s="2" t="s">
        <v>3408</v>
      </c>
      <c r="M2117" s="2" t="n">
        <v>7306</v>
      </c>
      <c r="O2117" s="2" t="s">
        <v>3409</v>
      </c>
      <c r="P2117" s="2" t="s">
        <v>3410</v>
      </c>
      <c r="S2117" s="2" t="n">
        <v>319</v>
      </c>
      <c r="T2117" s="2" t="n">
        <v>105</v>
      </c>
    </row>
    <row r="2118" customFormat="false" ht="18.7" hidden="false" customHeight="true" outlineLevel="0" collapsed="false">
      <c r="A2118" s="1" t="n">
        <v>2117</v>
      </c>
      <c r="B2118" s="7" t="str">
        <f aca="false">HYPERLINK("https://mncourtfraud.com/file/27-CR-22-8126.pdf","27-CR-22-8126")</f>
        <v>27-CR-22-8126</v>
      </c>
      <c r="C2118" s="1" t="n">
        <v>1</v>
      </c>
      <c r="D2118" s="2" t="s">
        <v>12</v>
      </c>
      <c r="E2118" s="8" t="n">
        <v>44895</v>
      </c>
      <c r="F2118" s="2" t="s">
        <v>15</v>
      </c>
      <c r="G2118" s="7" t="str">
        <f aca="false">HYPERLINK("https://mncourtfraud.com/file/MCRO_27-CR-22-8126_Order-Evaluation for Competency to Proceed (Rule 20.01)_2022-11-30_20251126185703.pdf","MCRO_27-CR-22-8126_Order-Evaluation for Competency to Proceed (Rule 20.01)_2022-11-30_20251126185703.pdf")</f>
        <v>MCRO_27-CR-22-8126_Order-Evaluation for Competency to Proceed (Rule 20.01)_2022-11-30_20251126185703.pdf</v>
      </c>
      <c r="H2118" s="7" t="str">
        <f aca="false">HYPERLINK("https://mncourtfraud.com/file/677e52a3b8403ce87e338b0a2e31e6f8e5ddf03fb0ca7043a341135cf0255eaa.ttf","677e52a3b8403ce87e338b0a2e31e6f8e5ddf03fb0ca7043a341135cf0255eaa")</f>
        <v>677e52a3b8403ce87e338b0a2e31e6f8e5ddf03fb0ca7043a341135cf0255eaa</v>
      </c>
      <c r="I2118" s="1" t="s">
        <v>3413</v>
      </c>
      <c r="J2118" s="2" t="s">
        <v>3422</v>
      </c>
      <c r="K2118" s="2" t="s">
        <v>3422</v>
      </c>
      <c r="L2118" s="2" t="s">
        <v>3415</v>
      </c>
      <c r="M2118" s="2" t="n">
        <v>149960</v>
      </c>
    </row>
    <row r="2119" customFormat="false" ht="18.7" hidden="false" customHeight="true" outlineLevel="0" collapsed="false">
      <c r="A2119" s="1" t="n">
        <v>2118</v>
      </c>
      <c r="B2119" s="7" t="str">
        <f aca="false">HYPERLINK("https://mncourtfraud.com/file/27-CR-22-8126.pdf","27-CR-22-8126")</f>
        <v>27-CR-22-8126</v>
      </c>
      <c r="C2119" s="1" t="n">
        <v>1</v>
      </c>
      <c r="D2119" s="2" t="s">
        <v>12</v>
      </c>
      <c r="E2119" s="8" t="n">
        <v>44895</v>
      </c>
      <c r="F2119" s="2" t="s">
        <v>15</v>
      </c>
      <c r="G2119" s="7" t="str">
        <f aca="false">HYPERLINK("https://mncourtfraud.com/file/MCRO_27-CR-22-8126_Order-Evaluation for Competency to Proceed (Rule 20.01)_2022-11-30_20251126185703.pdf","MCRO_27-CR-22-8126_Order-Evaluation for Competency to Proceed (Rule 20.01)_2022-11-30_20251126185703.pdf")</f>
        <v>MCRO_27-CR-22-8126_Order-Evaluation for Competency to Proceed (Rule 20.01)_2022-11-30_20251126185703.pdf</v>
      </c>
      <c r="H2119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2119" s="1" t="s">
        <v>3413</v>
      </c>
      <c r="J2119" s="2" t="s">
        <v>3448</v>
      </c>
      <c r="K2119" s="2" t="s">
        <v>3448</v>
      </c>
      <c r="L2119" s="2" t="s">
        <v>3415</v>
      </c>
      <c r="M2119" s="2" t="n">
        <v>916684</v>
      </c>
    </row>
    <row r="2120" customFormat="false" ht="18.7" hidden="false" customHeight="true" outlineLevel="0" collapsed="false">
      <c r="A2120" s="1" t="n">
        <v>2119</v>
      </c>
      <c r="B2120" s="7" t="str">
        <f aca="false">HYPERLINK("https://mncourtfraud.com/file/27-CR-22-8126.pdf","27-CR-22-8126")</f>
        <v>27-CR-22-8126</v>
      </c>
      <c r="C2120" s="1" t="n">
        <v>1</v>
      </c>
      <c r="D2120" s="2" t="s">
        <v>12</v>
      </c>
      <c r="E2120" s="8" t="n">
        <v>44895</v>
      </c>
      <c r="F2120" s="2" t="s">
        <v>15</v>
      </c>
      <c r="G2120" s="7" t="str">
        <f aca="false">HYPERLINK("https://mncourtfraud.com/file/MCRO_27-CR-22-8126_Order-Evaluation for Competency to Proceed (Rule 20.01)_2022-11-30_20251126185703.pdf","MCRO_27-CR-22-8126_Order-Evaluation for Competency to Proceed (Rule 20.01)_2022-11-30_20251126185703.pdf")</f>
        <v>MCRO_27-CR-22-8126_Order-Evaluation for Competency to Proceed (Rule 20.01)_2022-11-30_20251126185703.pdf</v>
      </c>
      <c r="H2120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2120" s="1" t="s">
        <v>3406</v>
      </c>
      <c r="K2120" s="2" t="s">
        <v>3425</v>
      </c>
      <c r="L2120" s="2" t="s">
        <v>3408</v>
      </c>
      <c r="M2120" s="2" t="n">
        <v>21225</v>
      </c>
      <c r="O2120" s="2" t="s">
        <v>3409</v>
      </c>
      <c r="P2120" s="2" t="s">
        <v>3410</v>
      </c>
      <c r="S2120" s="2" t="n">
        <v>319</v>
      </c>
      <c r="T2120" s="2" t="n">
        <v>105</v>
      </c>
    </row>
    <row r="2121" customFormat="false" ht="18.7" hidden="false" customHeight="true" outlineLevel="0" collapsed="false">
      <c r="A2121" s="1" t="n">
        <v>2120</v>
      </c>
      <c r="B2121" s="7" t="str">
        <f aca="false">HYPERLINK("https://mncourtfraud.com/file/27-CR-22-8126.pdf","27-CR-22-8126")</f>
        <v>27-CR-22-8126</v>
      </c>
      <c r="C2121" s="1" t="n">
        <v>1</v>
      </c>
      <c r="D2121" s="2" t="s">
        <v>12</v>
      </c>
      <c r="E2121" s="8" t="n">
        <v>44895</v>
      </c>
      <c r="F2121" s="2" t="s">
        <v>15</v>
      </c>
      <c r="G2121" s="7" t="str">
        <f aca="false">HYPERLINK("https://mncourtfraud.com/file/MCRO_27-CR-22-8126_Order-Evaluation for Competency to Proceed (Rule 20.01)_2022-11-30_20251126185703.pdf","MCRO_27-CR-22-8126_Order-Evaluation for Competency to Proceed (Rule 20.01)_2022-11-30_20251126185703.pdf")</f>
        <v>MCRO_27-CR-22-8126_Order-Evaluation for Competency to Proceed (Rule 20.01)_2022-11-30_20251126185703.pdf</v>
      </c>
      <c r="H2121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2121" s="1" t="s">
        <v>3413</v>
      </c>
      <c r="J2121" s="2" t="s">
        <v>3449</v>
      </c>
      <c r="K2121" s="2" t="s">
        <v>3449</v>
      </c>
      <c r="L2121" s="2" t="s">
        <v>3415</v>
      </c>
      <c r="M2121" s="2" t="n">
        <v>124664</v>
      </c>
    </row>
    <row r="2122" customFormat="false" ht="18.7" hidden="false" customHeight="true" outlineLevel="0" collapsed="false">
      <c r="A2122" s="1" t="n">
        <v>2121</v>
      </c>
      <c r="B2122" s="7" t="str">
        <f aca="false">HYPERLINK("https://mncourtfraud.com/file/27-CR-22-8126.pdf","27-CR-22-8126")</f>
        <v>27-CR-22-8126</v>
      </c>
      <c r="C2122" s="1" t="n">
        <v>1</v>
      </c>
      <c r="D2122" s="2" t="s">
        <v>12</v>
      </c>
      <c r="E2122" s="8" t="n">
        <v>44895</v>
      </c>
      <c r="F2122" s="2" t="s">
        <v>15</v>
      </c>
      <c r="G2122" s="7" t="str">
        <f aca="false">HYPERLINK("https://mncourtfraud.com/file/MCRO_27-CR-22-8126_Order-Evaluation for Competency to Proceed (Rule 20.01)_2022-11-30_20251126185703.pdf","MCRO_27-CR-22-8126_Order-Evaluation for Competency to Proceed (Rule 20.01)_2022-11-30_20251126185703.pdf")</f>
        <v>MCRO_27-CR-22-8126_Order-Evaluation for Competency to Proceed (Rule 20.01)_2022-11-30_20251126185703.pdf</v>
      </c>
      <c r="H2122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2122" s="1" t="s">
        <v>3413</v>
      </c>
      <c r="J2122" s="2" t="s">
        <v>3449</v>
      </c>
      <c r="K2122" s="2" t="s">
        <v>3449</v>
      </c>
      <c r="L2122" s="2" t="s">
        <v>3415</v>
      </c>
      <c r="M2122" s="2" t="n">
        <v>124664</v>
      </c>
    </row>
    <row r="2123" customFormat="false" ht="18.7" hidden="false" customHeight="true" outlineLevel="0" collapsed="false">
      <c r="A2123" s="1" t="n">
        <v>2122</v>
      </c>
      <c r="B2123" s="7" t="str">
        <f aca="false">HYPERLINK("https://mncourtfraud.com/file/27-CR-22-8126.pdf","27-CR-22-8126")</f>
        <v>27-CR-22-8126</v>
      </c>
      <c r="C2123" s="1" t="n">
        <v>1</v>
      </c>
      <c r="D2123" s="2" t="s">
        <v>12</v>
      </c>
      <c r="E2123" s="8" t="n">
        <v>44999</v>
      </c>
      <c r="F2123" s="2" t="s">
        <v>17</v>
      </c>
      <c r="G2123" s="7" t="str">
        <f aca="false">HYPERLINK("https://mncourtfraud.com/file/MCRO_27-CR-22-8126_Returned Mail_2023-03-14_20251126185747.pdf","MCRO_27-CR-22-8126_Returned Mail_2023-03-14_20251126185747.pdf")</f>
        <v>MCRO_27-CR-22-8126_Returned Mail_2023-03-14_20251126185747.pdf</v>
      </c>
      <c r="H2123" s="7" t="str">
        <f aca="false">HYPERLINK("https://mncourtfraud.com/file/620e0b5d5bdfaae924bfd1106aa8b77d571228ba29741d094d4d218baa2f3b63.jpg","620e0b5d5bdfaae924bfd1106aa8b77d571228ba29741d094d4d218baa2f3b63")</f>
        <v>620e0b5d5bdfaae924bfd1106aa8b77d571228ba29741d094d4d218baa2f3b63</v>
      </c>
      <c r="I2123" s="1" t="s">
        <v>3417</v>
      </c>
      <c r="L2123" s="2" t="s">
        <v>3419</v>
      </c>
      <c r="M2123" s="2" t="n">
        <v>259550</v>
      </c>
      <c r="S2123" s="2" t="n">
        <v>3300</v>
      </c>
      <c r="T2123" s="2" t="n">
        <v>2550</v>
      </c>
    </row>
    <row r="2124" customFormat="false" ht="18.7" hidden="false" customHeight="true" outlineLevel="0" collapsed="false">
      <c r="A2124" s="1" t="n">
        <v>2123</v>
      </c>
      <c r="B2124" s="7" t="str">
        <f aca="false">HYPERLINK("https://mncourtfraud.com/file/27-CR-22-8126.pdf","27-CR-22-8126")</f>
        <v>27-CR-22-8126</v>
      </c>
      <c r="C2124" s="1" t="n">
        <v>1</v>
      </c>
      <c r="D2124" s="2" t="s">
        <v>12</v>
      </c>
      <c r="E2124" s="8" t="n">
        <v>44999</v>
      </c>
      <c r="F2124" s="2" t="s">
        <v>17</v>
      </c>
      <c r="G2124" s="7" t="str">
        <f aca="false">HYPERLINK("https://mncourtfraud.com/file/MCRO_27-CR-22-8126_Returned Mail_2023-03-14_20251126185747.pdf","MCRO_27-CR-22-8126_Returned Mail_2023-03-14_20251126185747.pdf")</f>
        <v>MCRO_27-CR-22-8126_Returned Mail_2023-03-14_20251126185747.pdf</v>
      </c>
      <c r="H2124" s="7" t="str">
        <f aca="false">HYPERLINK("https://mncourtfraud.com/file/d35961b5072ecc22195049bfd42929b424626c8626db6292d0d847172ce8338f.ttf","d35961b5072ecc22195049bfd42929b424626c8626db6292d0d847172ce8338f")</f>
        <v>d35961b5072ecc22195049bfd42929b424626c8626db6292d0d847172ce8338f</v>
      </c>
      <c r="I2124" s="1" t="s">
        <v>3413</v>
      </c>
      <c r="L2124" s="2" t="s">
        <v>3415</v>
      </c>
      <c r="M2124" s="2" t="n">
        <v>8712</v>
      </c>
    </row>
    <row r="2125" customFormat="false" ht="18.7" hidden="false" customHeight="true" outlineLevel="0" collapsed="false">
      <c r="A2125" s="1" t="n">
        <v>2124</v>
      </c>
      <c r="B2125" s="7" t="str">
        <f aca="false">HYPERLINK("https://mncourtfraud.com/file/27-CR-22-8126.pdf","27-CR-22-8126")</f>
        <v>27-CR-22-8126</v>
      </c>
      <c r="C2125" s="1" t="n">
        <v>1</v>
      </c>
      <c r="D2125" s="2" t="s">
        <v>12</v>
      </c>
      <c r="E2125" s="8" t="n">
        <v>45048</v>
      </c>
      <c r="F2125" s="2" t="s">
        <v>80</v>
      </c>
      <c r="G2125" s="7" t="str">
        <f aca="false">HYPERLINK("https://mncourtfraud.com/file/MCRO_27-CR-22-8126_Finding of Incompetency and Order_2023-05-02_20251126185621.pdf","MCRO_27-CR-22-8126_Finding of Incompetency and Order_2023-05-02_20251126185621.pdf")</f>
        <v>MCRO_27-CR-22-8126_Finding of Incompetency and Order_2023-05-02_20251126185621.pdf</v>
      </c>
      <c r="H2125" s="7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125" s="1" t="s">
        <v>3406</v>
      </c>
      <c r="L2125" s="2" t="s">
        <v>3412</v>
      </c>
      <c r="M2125" s="2" t="n">
        <v>3506</v>
      </c>
      <c r="S2125" s="2" t="n">
        <v>1410</v>
      </c>
      <c r="T2125" s="2" t="n">
        <v>150</v>
      </c>
    </row>
    <row r="2126" customFormat="false" ht="18.7" hidden="false" customHeight="true" outlineLevel="0" collapsed="false">
      <c r="A2126" s="1" t="n">
        <v>2125</v>
      </c>
      <c r="B2126" s="7" t="str">
        <f aca="false">HYPERLINK("https://mncourtfraud.com/file/27-CR-22-8126.pdf","27-CR-22-8126")</f>
        <v>27-CR-22-8126</v>
      </c>
      <c r="C2126" s="1" t="n">
        <v>1</v>
      </c>
      <c r="D2126" s="2" t="s">
        <v>12</v>
      </c>
      <c r="E2126" s="8" t="n">
        <v>45048</v>
      </c>
      <c r="F2126" s="2" t="s">
        <v>80</v>
      </c>
      <c r="G2126" s="7" t="str">
        <f aca="false">HYPERLINK("https://mncourtfraud.com/file/MCRO_27-CR-22-8126_Finding of Incompetency and Order_2023-05-02_20251126185621.pdf","MCRO_27-CR-22-8126_Finding of Incompetency and Order_2023-05-02_20251126185621.pdf")</f>
        <v>MCRO_27-CR-22-8126_Finding of Incompetency and Order_2023-05-02_20251126185621.pdf</v>
      </c>
      <c r="H2126" s="7" t="str">
        <f aca="false">HYPERLINK("https://mncourtfraud.com/file/18befca089509ee2fbaddf9c5b79bf5988523b22d2369743ed9a591b9fc3bdb6.ttf","18befca089509ee2fbaddf9c5b79bf5988523b22d2369743ed9a591b9fc3bdb6")</f>
        <v>18befca089509ee2fbaddf9c5b79bf5988523b22d2369743ed9a591b9fc3bdb6</v>
      </c>
      <c r="I2126" s="1" t="s">
        <v>3413</v>
      </c>
      <c r="J2126" s="2" t="s">
        <v>3421</v>
      </c>
      <c r="K2126" s="2" t="s">
        <v>3450</v>
      </c>
      <c r="L2126" s="2" t="s">
        <v>3415</v>
      </c>
      <c r="M2126" s="2" t="n">
        <v>115928</v>
      </c>
    </row>
    <row r="2127" customFormat="false" ht="18.7" hidden="false" customHeight="true" outlineLevel="0" collapsed="false">
      <c r="A2127" s="1" t="n">
        <v>2126</v>
      </c>
      <c r="B2127" s="7" t="str">
        <f aca="false">HYPERLINK("https://mncourtfraud.com/file/27-CR-22-8126.pdf","27-CR-22-8126")</f>
        <v>27-CR-22-8126</v>
      </c>
      <c r="C2127" s="1" t="n">
        <v>1</v>
      </c>
      <c r="D2127" s="2" t="s">
        <v>12</v>
      </c>
      <c r="E2127" s="8" t="n">
        <v>45048</v>
      </c>
      <c r="F2127" s="2" t="s">
        <v>80</v>
      </c>
      <c r="G2127" s="7" t="str">
        <f aca="false">HYPERLINK("https://mncourtfraud.com/file/MCRO_27-CR-22-8126_Finding of Incompetency and Order_2023-05-02_20251126185621.pdf","MCRO_27-CR-22-8126_Finding of Incompetency and Order_2023-05-02_20251126185621.pdf")</f>
        <v>MCRO_27-CR-22-8126_Finding of Incompetency and Order_2023-05-02_20251126185621.pdf</v>
      </c>
      <c r="H2127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2127" s="1" t="s">
        <v>3413</v>
      </c>
      <c r="J2127" s="2" t="s">
        <v>3446</v>
      </c>
      <c r="K2127" s="2" t="s">
        <v>3446</v>
      </c>
      <c r="L2127" s="2" t="s">
        <v>3415</v>
      </c>
      <c r="M2127" s="2" t="n">
        <v>55072</v>
      </c>
      <c r="N2127" s="2" t="s">
        <v>3447</v>
      </c>
    </row>
    <row r="2128" customFormat="false" ht="18.7" hidden="false" customHeight="true" outlineLevel="0" collapsed="false">
      <c r="A2128" s="1" t="n">
        <v>2127</v>
      </c>
      <c r="B2128" s="7" t="str">
        <f aca="false">HYPERLINK("https://mncourtfraud.com/file/27-CR-22-8126.pdf","27-CR-22-8126")</f>
        <v>27-CR-22-8126</v>
      </c>
      <c r="C2128" s="1" t="n">
        <v>1</v>
      </c>
      <c r="D2128" s="2" t="s">
        <v>12</v>
      </c>
      <c r="E2128" s="8" t="n">
        <v>45048</v>
      </c>
      <c r="F2128" s="2" t="s">
        <v>80</v>
      </c>
      <c r="G2128" s="7" t="str">
        <f aca="false">HYPERLINK("https://mncourtfraud.com/file/MCRO_27-CR-22-8126_Finding of Incompetency and Order_2023-05-02_20251126185621.pdf","MCRO_27-CR-22-8126_Finding of Incompetency and Order_2023-05-02_20251126185621.pdf")</f>
        <v>MCRO_27-CR-22-8126_Finding of Incompetency and Order_2023-05-02_20251126185621.pdf</v>
      </c>
      <c r="H2128" s="7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128" s="1" t="s">
        <v>3406</v>
      </c>
      <c r="K2128" s="2" t="s">
        <v>3451</v>
      </c>
      <c r="L2128" s="2" t="s">
        <v>3408</v>
      </c>
      <c r="M2128" s="2" t="n">
        <v>5295</v>
      </c>
      <c r="O2128" s="2" t="s">
        <v>3452</v>
      </c>
      <c r="P2128" s="2" t="s">
        <v>3410</v>
      </c>
      <c r="S2128" s="2" t="n">
        <v>833</v>
      </c>
      <c r="T2128" s="2" t="n">
        <v>186</v>
      </c>
    </row>
    <row r="2129" customFormat="false" ht="18.7" hidden="false" customHeight="true" outlineLevel="0" collapsed="false">
      <c r="A2129" s="1" t="n">
        <v>2128</v>
      </c>
      <c r="B2129" s="7" t="str">
        <f aca="false">HYPERLINK("https://mncourtfraud.com/file/27-CR-22-8126.pdf","27-CR-22-8126")</f>
        <v>27-CR-22-8126</v>
      </c>
      <c r="C2129" s="1" t="n">
        <v>1</v>
      </c>
      <c r="D2129" s="2" t="s">
        <v>12</v>
      </c>
      <c r="E2129" s="8" t="n">
        <v>45048</v>
      </c>
      <c r="F2129" s="2" t="s">
        <v>80</v>
      </c>
      <c r="G2129" s="7" t="str">
        <f aca="false">HYPERLINK("https://mncourtfraud.com/file/MCRO_27-CR-22-8126_Finding of Incompetency and Order_2023-05-02_20251126185621.pdf","MCRO_27-CR-22-8126_Finding of Incompetency and Order_2023-05-02_20251126185621.pdf")</f>
        <v>MCRO_27-CR-22-8126_Finding of Incompetency and Order_2023-05-02_20251126185621.pdf</v>
      </c>
      <c r="H2129" s="7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129" s="1" t="s">
        <v>3406</v>
      </c>
      <c r="K2129" s="2" t="s">
        <v>3453</v>
      </c>
      <c r="L2129" s="2" t="s">
        <v>3408</v>
      </c>
      <c r="M2129" s="2" t="n">
        <v>3442</v>
      </c>
      <c r="O2129" s="2" t="s">
        <v>3454</v>
      </c>
      <c r="P2129" s="2" t="s">
        <v>3410</v>
      </c>
      <c r="S2129" s="2" t="n">
        <v>857</v>
      </c>
      <c r="T2129" s="2" t="n">
        <v>184</v>
      </c>
    </row>
    <row r="2130" customFormat="false" ht="18.7" hidden="false" customHeight="true" outlineLevel="0" collapsed="false">
      <c r="A2130" s="1" t="n">
        <v>2129</v>
      </c>
      <c r="B2130" s="7" t="str">
        <f aca="false">HYPERLINK("https://mncourtfraud.com/file/27-CR-22-8126.pdf","27-CR-22-8126")</f>
        <v>27-CR-22-8126</v>
      </c>
      <c r="C2130" s="1" t="n">
        <v>1</v>
      </c>
      <c r="D2130" s="2" t="s">
        <v>12</v>
      </c>
      <c r="E2130" s="8" t="n">
        <v>45048</v>
      </c>
      <c r="F2130" s="2" t="s">
        <v>80</v>
      </c>
      <c r="G2130" s="7" t="str">
        <f aca="false">HYPERLINK("https://mncourtfraud.com/file/MCRO_27-CR-22-8126_Finding of Incompetency and Order_2023-05-02_20251126185621.pdf","MCRO_27-CR-22-8126_Finding of Incompetency and Order_2023-05-02_20251126185621.pdf")</f>
        <v>MCRO_27-CR-22-8126_Finding of Incompetency and Order_2023-05-02_20251126185621.pdf</v>
      </c>
      <c r="H2130" s="7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2130" s="1" t="s">
        <v>3406</v>
      </c>
      <c r="L2130" s="2" t="s">
        <v>3412</v>
      </c>
      <c r="M2130" s="2" t="n">
        <v>3824</v>
      </c>
      <c r="S2130" s="2" t="n">
        <v>1850</v>
      </c>
      <c r="T2130" s="2" t="n">
        <v>160</v>
      </c>
    </row>
    <row r="2131" customFormat="false" ht="18.7" hidden="false" customHeight="true" outlineLevel="0" collapsed="false">
      <c r="A2131" s="1" t="n">
        <v>2130</v>
      </c>
      <c r="B2131" s="7" t="str">
        <f aca="false">HYPERLINK("https://mncourtfraud.com/file/27-CR-22-8126.pdf","27-CR-22-8126")</f>
        <v>27-CR-22-8126</v>
      </c>
      <c r="C2131" s="1" t="n">
        <v>1</v>
      </c>
      <c r="D2131" s="2" t="s">
        <v>12</v>
      </c>
      <c r="E2131" s="8" t="n">
        <v>45048</v>
      </c>
      <c r="F2131" s="2" t="s">
        <v>80</v>
      </c>
      <c r="G2131" s="7" t="str">
        <f aca="false">HYPERLINK("https://mncourtfraud.com/file/MCRO_27-CR-22-8126_Finding of Incompetency and Order_2023-05-02_20251126185621.pdf","MCRO_27-CR-22-8126_Finding of Incompetency and Order_2023-05-02_20251126185621.pdf")</f>
        <v>MCRO_27-CR-22-8126_Finding of Incompetency and Order_2023-05-02_20251126185621.pdf</v>
      </c>
      <c r="H2131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2131" s="1" t="s">
        <v>3413</v>
      </c>
      <c r="J2131" s="2" t="s">
        <v>3448</v>
      </c>
      <c r="K2131" s="2" t="s">
        <v>3448</v>
      </c>
      <c r="L2131" s="2" t="s">
        <v>3415</v>
      </c>
      <c r="M2131" s="2" t="n">
        <v>916684</v>
      </c>
    </row>
    <row r="2132" customFormat="false" ht="18.7" hidden="false" customHeight="true" outlineLevel="0" collapsed="false">
      <c r="A2132" s="1" t="n">
        <v>2131</v>
      </c>
      <c r="B2132" s="7" t="str">
        <f aca="false">HYPERLINK("https://mncourtfraud.com/file/27-CR-22-8126.pdf","27-CR-22-8126")</f>
        <v>27-CR-22-8126</v>
      </c>
      <c r="C2132" s="1" t="n">
        <v>1</v>
      </c>
      <c r="D2132" s="2" t="s">
        <v>12</v>
      </c>
      <c r="E2132" s="8" t="n">
        <v>45093</v>
      </c>
      <c r="F2132" s="2" t="s">
        <v>82</v>
      </c>
      <c r="G2132" s="7" t="str">
        <f aca="false">HYPERLINK("https://mncourtfraud.com/file/MCRO_27-CR-22-8126_Notice of Case Reassignment_2023-06-16_20251126185641.pdf","MCRO_27-CR-22-8126_Notice of Case Reassignment_2023-06-16_20251126185641.pdf")</f>
        <v>MCRO_27-CR-22-8126_Notice of Case Reassignment_2023-06-16_20251126185641.pdf</v>
      </c>
      <c r="H2132" s="7" t="str">
        <f aca="false">HYPERLINK("https://mncourtfraud.com/file/1fd1136a5ae69c0e5068fedf111533c283fb06da71a1aebe96b41cad9a15bb33.ttf","1fd1136a5ae69c0e5068fedf111533c283fb06da71a1aebe96b41cad9a15bb33")</f>
        <v>1fd1136a5ae69c0e5068fedf111533c283fb06da71a1aebe96b41cad9a15bb33</v>
      </c>
      <c r="I2132" s="1" t="s">
        <v>3413</v>
      </c>
      <c r="J2132" s="2" t="s">
        <v>3455</v>
      </c>
      <c r="K2132" s="2" t="s">
        <v>3455</v>
      </c>
      <c r="L2132" s="2" t="s">
        <v>3415</v>
      </c>
      <c r="M2132" s="2" t="n">
        <v>96348</v>
      </c>
      <c r="N2132" s="2" t="s">
        <v>3456</v>
      </c>
    </row>
    <row r="2133" customFormat="false" ht="18.7" hidden="false" customHeight="true" outlineLevel="0" collapsed="false">
      <c r="A2133" s="1" t="n">
        <v>2132</v>
      </c>
      <c r="B2133" s="7" t="str">
        <f aca="false">HYPERLINK("https://mncourtfraud.com/file/27-CR-22-8126.pdf","27-CR-22-8126")</f>
        <v>27-CR-22-8126</v>
      </c>
      <c r="C2133" s="1" t="n">
        <v>1</v>
      </c>
      <c r="D2133" s="2" t="s">
        <v>12</v>
      </c>
      <c r="E2133" s="8" t="n">
        <v>45093</v>
      </c>
      <c r="F2133" s="2" t="s">
        <v>82</v>
      </c>
      <c r="G2133" s="7" t="str">
        <f aca="false">HYPERLINK("https://mncourtfraud.com/file/MCRO_27-CR-22-8126_Notice of Case Reassignment_2023-06-16_20251126185641.pdf","MCRO_27-CR-22-8126_Notice of Case Reassignment_2023-06-16_20251126185641.pdf")</f>
        <v>MCRO_27-CR-22-8126_Notice of Case Reassignment_2023-06-16_20251126185641.pdf</v>
      </c>
      <c r="H2133" s="7" t="str">
        <f aca="false">HYPERLINK("https://mncourtfraud.com/file/4b0b043cb476134a2e47a5f4c233d3d0f7a52a3b063b8831356383f89fcd1118.ttf","4b0b043cb476134a2e47a5f4c233d3d0f7a52a3b063b8831356383f89fcd1118")</f>
        <v>4b0b043cb476134a2e47a5f4c233d3d0f7a52a3b063b8831356383f89fcd1118</v>
      </c>
      <c r="I2133" s="1" t="s">
        <v>3413</v>
      </c>
      <c r="J2133" s="2" t="s">
        <v>3457</v>
      </c>
      <c r="K2133" s="2" t="s">
        <v>3457</v>
      </c>
      <c r="L2133" s="2" t="s">
        <v>3415</v>
      </c>
      <c r="M2133" s="2" t="n">
        <v>79764</v>
      </c>
      <c r="N2133" s="2" t="s">
        <v>3458</v>
      </c>
    </row>
    <row r="2134" customFormat="false" ht="18.7" hidden="false" customHeight="true" outlineLevel="0" collapsed="false">
      <c r="A2134" s="1" t="n">
        <v>2133</v>
      </c>
      <c r="B2134" s="7" t="str">
        <f aca="false">HYPERLINK("https://mncourtfraud.com/file/27-CR-22-8126.pdf","27-CR-22-8126")</f>
        <v>27-CR-22-8126</v>
      </c>
      <c r="C2134" s="1" t="n">
        <v>1</v>
      </c>
      <c r="D2134" s="2" t="s">
        <v>12</v>
      </c>
      <c r="E2134" s="8" t="n">
        <v>45160</v>
      </c>
      <c r="F2134" s="2" t="s">
        <v>15</v>
      </c>
      <c r="G2134" s="7" t="str">
        <f aca="false">HYPERLINK("https://mncourtfraud.com/file/MCRO_27-CR-22-8126_Order-Evaluation for Competency to Proceed (Rule 20.01)_2023-08-22_20251126185711.pdf","MCRO_27-CR-22-8126_Order-Evaluation for Competency to Proceed (Rule 20.01)_2023-08-22_20251126185711.pdf")</f>
        <v>MCRO_27-CR-22-8126_Order-Evaluation for Competency to Proceed (Rule 20.01)_2023-08-22_20251126185711.pdf</v>
      </c>
      <c r="H2134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2134" s="1" t="s">
        <v>3413</v>
      </c>
      <c r="J2134" s="2" t="s">
        <v>3449</v>
      </c>
      <c r="K2134" s="2" t="s">
        <v>3449</v>
      </c>
      <c r="L2134" s="2" t="s">
        <v>3415</v>
      </c>
      <c r="M2134" s="2" t="n">
        <v>125504</v>
      </c>
    </row>
    <row r="2135" customFormat="false" ht="18.7" hidden="false" customHeight="true" outlineLevel="0" collapsed="false">
      <c r="A2135" s="1" t="n">
        <v>2134</v>
      </c>
      <c r="B2135" s="7" t="str">
        <f aca="false">HYPERLINK("https://mncourtfraud.com/file/27-CR-22-8126.pdf","27-CR-22-8126")</f>
        <v>27-CR-22-8126</v>
      </c>
      <c r="C2135" s="1" t="n">
        <v>1</v>
      </c>
      <c r="D2135" s="2" t="s">
        <v>12</v>
      </c>
      <c r="E2135" s="8" t="n">
        <v>45160</v>
      </c>
      <c r="F2135" s="2" t="s">
        <v>15</v>
      </c>
      <c r="G2135" s="7" t="str">
        <f aca="false">HYPERLINK("https://mncourtfraud.com/file/MCRO_27-CR-22-8126_Order-Evaluation for Competency to Proceed (Rule 20.01)_2023-08-22_20251126185711.pdf","MCRO_27-CR-22-8126_Order-Evaluation for Competency to Proceed (Rule 20.01)_2023-08-22_20251126185711.pdf")</f>
        <v>MCRO_27-CR-22-8126_Order-Evaluation for Competency to Proceed (Rule 20.01)_2023-08-22_20251126185711.pdf</v>
      </c>
      <c r="H2135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2135" s="1" t="s">
        <v>3413</v>
      </c>
      <c r="J2135" s="2" t="s">
        <v>3449</v>
      </c>
      <c r="K2135" s="2" t="s">
        <v>3449</v>
      </c>
      <c r="L2135" s="2" t="s">
        <v>3415</v>
      </c>
      <c r="M2135" s="2" t="n">
        <v>125504</v>
      </c>
    </row>
    <row r="2136" customFormat="false" ht="18.7" hidden="false" customHeight="true" outlineLevel="0" collapsed="false">
      <c r="A2136" s="1" t="n">
        <v>2135</v>
      </c>
      <c r="B2136" s="7" t="str">
        <f aca="false">HYPERLINK("https://mncourtfraud.com/file/27-CR-22-8126.pdf","27-CR-22-8126")</f>
        <v>27-CR-22-8126</v>
      </c>
      <c r="C2136" s="1" t="n">
        <v>1</v>
      </c>
      <c r="D2136" s="2" t="s">
        <v>12</v>
      </c>
      <c r="E2136" s="8" t="n">
        <v>45160</v>
      </c>
      <c r="F2136" s="2" t="s">
        <v>15</v>
      </c>
      <c r="G2136" s="7" t="str">
        <f aca="false">HYPERLINK("https://mncourtfraud.com/file/MCRO_27-CR-22-8126_Order-Evaluation for Competency to Proceed (Rule 20.01)_2023-08-22_20251126185711.pdf","MCRO_27-CR-22-8126_Order-Evaluation for Competency to Proceed (Rule 20.01)_2023-08-22_20251126185711.pdf")</f>
        <v>MCRO_27-CR-22-8126_Order-Evaluation for Competency to Proceed (Rule 20.01)_2023-08-22_20251126185711.pdf</v>
      </c>
      <c r="H2136" s="7" t="str">
        <f aca="false">HYPERLINK("https://mncourtfraud.com/file/0174a154b1dd2c8824c0108a525fa6ced84bf8b7d2fc9696a847700a4f83bb3b.ttf","0174a154b1dd2c8824c0108a525fa6ced84bf8b7d2fc9696a847700a4f83bb3b")</f>
        <v>0174a154b1dd2c8824c0108a525fa6ced84bf8b7d2fc9696a847700a4f83bb3b</v>
      </c>
      <c r="I2136" s="1" t="s">
        <v>3413</v>
      </c>
      <c r="J2136" s="2" t="s">
        <v>3422</v>
      </c>
      <c r="K2136" s="2" t="s">
        <v>3422</v>
      </c>
      <c r="L2136" s="2" t="s">
        <v>3415</v>
      </c>
      <c r="M2136" s="2" t="n">
        <v>101216</v>
      </c>
    </row>
    <row r="2137" customFormat="false" ht="18.7" hidden="false" customHeight="true" outlineLevel="0" collapsed="false">
      <c r="A2137" s="1" t="n">
        <v>2136</v>
      </c>
      <c r="B2137" s="7" t="str">
        <f aca="false">HYPERLINK("https://mncourtfraud.com/file/27-CR-22-8126.pdf","27-CR-22-8126")</f>
        <v>27-CR-22-8126</v>
      </c>
      <c r="C2137" s="1" t="n">
        <v>1</v>
      </c>
      <c r="D2137" s="2" t="s">
        <v>12</v>
      </c>
      <c r="E2137" s="8" t="n">
        <v>45160</v>
      </c>
      <c r="F2137" s="2" t="s">
        <v>15</v>
      </c>
      <c r="G2137" s="7" t="str">
        <f aca="false">HYPERLINK("https://mncourtfraud.com/file/MCRO_27-CR-22-8126_Order-Evaluation for Competency to Proceed (Rule 20.01)_2023-08-22_20251126185711.pdf","MCRO_27-CR-22-8126_Order-Evaluation for Competency to Proceed (Rule 20.01)_2023-08-22_20251126185711.pdf")</f>
        <v>MCRO_27-CR-22-8126_Order-Evaluation for Competency to Proceed (Rule 20.01)_2023-08-22_20251126185711.pdf</v>
      </c>
      <c r="H2137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2137" s="1" t="s">
        <v>3413</v>
      </c>
      <c r="J2137" s="2" t="s">
        <v>3423</v>
      </c>
      <c r="K2137" s="2" t="s">
        <v>3423</v>
      </c>
      <c r="L2137" s="2" t="s">
        <v>3415</v>
      </c>
      <c r="M2137" s="2" t="n">
        <v>11088</v>
      </c>
    </row>
    <row r="2138" customFormat="false" ht="18.7" hidden="false" customHeight="true" outlineLevel="0" collapsed="false">
      <c r="A2138" s="1" t="n">
        <v>2137</v>
      </c>
      <c r="B2138" s="7" t="str">
        <f aca="false">HYPERLINK("https://mncourtfraud.com/file/27-CR-22-8126.pdf","27-CR-22-8126")</f>
        <v>27-CR-22-8126</v>
      </c>
      <c r="C2138" s="1" t="n">
        <v>1</v>
      </c>
      <c r="D2138" s="2" t="s">
        <v>12</v>
      </c>
      <c r="E2138" s="8" t="n">
        <v>45160</v>
      </c>
      <c r="F2138" s="2" t="s">
        <v>15</v>
      </c>
      <c r="G2138" s="7" t="str">
        <f aca="false">HYPERLINK("https://mncourtfraud.com/file/MCRO_27-CR-22-8126_Order-Evaluation for Competency to Proceed (Rule 20.01)_2023-08-22_20251126185711.pdf","MCRO_27-CR-22-8126_Order-Evaluation for Competency to Proceed (Rule 20.01)_2023-08-22_20251126185711.pdf")</f>
        <v>MCRO_27-CR-22-8126_Order-Evaluation for Competency to Proceed (Rule 20.01)_2023-08-22_20251126185711.pdf</v>
      </c>
      <c r="H2138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2138" s="1" t="s">
        <v>3413</v>
      </c>
      <c r="J2138" s="2" t="s">
        <v>3446</v>
      </c>
      <c r="K2138" s="2" t="s">
        <v>3446</v>
      </c>
      <c r="L2138" s="2" t="s">
        <v>3415</v>
      </c>
      <c r="M2138" s="2" t="n">
        <v>55072</v>
      </c>
      <c r="N2138" s="2" t="s">
        <v>3447</v>
      </c>
    </row>
    <row r="2139" customFormat="false" ht="18.7" hidden="false" customHeight="true" outlineLevel="0" collapsed="false">
      <c r="A2139" s="1" t="n">
        <v>2138</v>
      </c>
      <c r="B2139" s="7" t="str">
        <f aca="false">HYPERLINK("https://mncourtfraud.com/file/27-CR-22-8126.pdf","27-CR-22-8126")</f>
        <v>27-CR-22-8126</v>
      </c>
      <c r="C2139" s="1" t="n">
        <v>1</v>
      </c>
      <c r="D2139" s="2" t="s">
        <v>12</v>
      </c>
      <c r="E2139" s="8" t="n">
        <v>45160</v>
      </c>
      <c r="F2139" s="2" t="s">
        <v>15</v>
      </c>
      <c r="G2139" s="7" t="str">
        <f aca="false">HYPERLINK("https://mncourtfraud.com/file/MCRO_27-CR-22-8126_Order-Evaluation for Competency to Proceed (Rule 20.01)_2023-08-22_20251126185711.pdf","MCRO_27-CR-22-8126_Order-Evaluation for Competency to Proceed (Rule 20.01)_2023-08-22_20251126185711.pdf")</f>
        <v>MCRO_27-CR-22-8126_Order-Evaluation for Competency to Proceed (Rule 20.01)_2023-08-22_20251126185711.pdf</v>
      </c>
      <c r="H2139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2139" s="1" t="s">
        <v>3413</v>
      </c>
      <c r="J2139" s="2" t="s">
        <v>3424</v>
      </c>
      <c r="K2139" s="2" t="s">
        <v>3424</v>
      </c>
      <c r="L2139" s="2" t="s">
        <v>3415</v>
      </c>
      <c r="M2139" s="2" t="n">
        <v>14252</v>
      </c>
    </row>
    <row r="2140" customFormat="false" ht="18.7" hidden="false" customHeight="true" outlineLevel="0" collapsed="false">
      <c r="A2140" s="1" t="n">
        <v>2139</v>
      </c>
      <c r="B2140" s="7" t="str">
        <f aca="false">HYPERLINK("https://mncourtfraud.com/file/27-CR-22-8126.pdf","27-CR-22-8126")</f>
        <v>27-CR-22-8126</v>
      </c>
      <c r="C2140" s="1" t="n">
        <v>1</v>
      </c>
      <c r="D2140" s="2" t="s">
        <v>12</v>
      </c>
      <c r="E2140" s="8" t="n">
        <v>45160</v>
      </c>
      <c r="F2140" s="2" t="s">
        <v>15</v>
      </c>
      <c r="G2140" s="7" t="str">
        <f aca="false">HYPERLINK("https://mncourtfraud.com/file/MCRO_27-CR-22-8126_Order-Evaluation for Competency to Proceed (Rule 20.01)_2023-08-22_20251126185711.pdf","MCRO_27-CR-22-8126_Order-Evaluation for Competency to Proceed (Rule 20.01)_2023-08-22_20251126185711.pdf")</f>
        <v>MCRO_27-CR-22-8126_Order-Evaluation for Competency to Proceed (Rule 20.01)_2023-08-22_20251126185711.pdf</v>
      </c>
      <c r="H2140" s="7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2140" s="1" t="s">
        <v>3406</v>
      </c>
      <c r="L2140" s="2" t="s">
        <v>3412</v>
      </c>
      <c r="M2140" s="2" t="n">
        <v>5012</v>
      </c>
      <c r="S2140" s="2" t="n">
        <v>2740</v>
      </c>
      <c r="T2140" s="2" t="n">
        <v>180</v>
      </c>
    </row>
    <row r="2141" customFormat="false" ht="18.7" hidden="false" customHeight="true" outlineLevel="0" collapsed="false">
      <c r="A2141" s="1" t="n">
        <v>2140</v>
      </c>
      <c r="B2141" s="7" t="str">
        <f aca="false">HYPERLINK("https://mncourtfraud.com/file/27-CR-22-8126.pdf","27-CR-22-8126")</f>
        <v>27-CR-22-8126</v>
      </c>
      <c r="C2141" s="1" t="n">
        <v>1</v>
      </c>
      <c r="D2141" s="2" t="s">
        <v>12</v>
      </c>
      <c r="E2141" s="8" t="n">
        <v>45160</v>
      </c>
      <c r="F2141" s="2" t="s">
        <v>15</v>
      </c>
      <c r="G2141" s="7" t="str">
        <f aca="false">HYPERLINK("https://mncourtfraud.com/file/MCRO_27-CR-22-8126_Order-Evaluation for Competency to Proceed (Rule 20.01)_2023-08-22_20251126185711.pdf","MCRO_27-CR-22-8126_Order-Evaluation for Competency to Proceed (Rule 20.01)_2023-08-22_20251126185711.pdf")</f>
        <v>MCRO_27-CR-22-8126_Order-Evaluation for Competency to Proceed (Rule 20.01)_2023-08-22_20251126185711.pdf</v>
      </c>
      <c r="H2141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2141" s="1" t="s">
        <v>3413</v>
      </c>
      <c r="J2141" s="2" t="s">
        <v>3448</v>
      </c>
      <c r="K2141" s="2" t="s">
        <v>3448</v>
      </c>
      <c r="L2141" s="2" t="s">
        <v>3415</v>
      </c>
      <c r="M2141" s="2" t="n">
        <v>916684</v>
      </c>
    </row>
    <row r="2142" customFormat="false" ht="18.7" hidden="false" customHeight="true" outlineLevel="0" collapsed="false">
      <c r="A2142" s="1" t="n">
        <v>2141</v>
      </c>
      <c r="B2142" s="7" t="str">
        <f aca="false">HYPERLINK("https://mncourtfraud.com/file/27-CR-22-8126.pdf","27-CR-22-8126")</f>
        <v>27-CR-22-8126</v>
      </c>
      <c r="C2142" s="1" t="n">
        <v>1</v>
      </c>
      <c r="D2142" s="2" t="s">
        <v>12</v>
      </c>
      <c r="E2142" s="8" t="n">
        <v>45160</v>
      </c>
      <c r="F2142" s="2" t="s">
        <v>15</v>
      </c>
      <c r="G2142" s="7" t="str">
        <f aca="false">HYPERLINK("https://mncourtfraud.com/file/MCRO_27-CR-22-8126_Order-Evaluation for Competency to Proceed (Rule 20.01)_2023-08-22_20251126185711.pdf","MCRO_27-CR-22-8126_Order-Evaluation for Competency to Proceed (Rule 20.01)_2023-08-22_20251126185711.pdf")</f>
        <v>MCRO_27-CR-22-8126_Order-Evaluation for Competency to Proceed (Rule 20.01)_2023-08-22_20251126185711.pdf</v>
      </c>
      <c r="H2142" s="7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2142" s="1" t="s">
        <v>3406</v>
      </c>
      <c r="K2142" s="2" t="s">
        <v>3459</v>
      </c>
      <c r="L2142" s="2" t="s">
        <v>3408</v>
      </c>
      <c r="M2142" s="2" t="n">
        <v>5220</v>
      </c>
      <c r="O2142" s="2" t="s">
        <v>3460</v>
      </c>
      <c r="P2142" s="2" t="s">
        <v>3410</v>
      </c>
      <c r="S2142" s="2" t="n">
        <v>881</v>
      </c>
      <c r="T2142" s="2" t="n">
        <v>216</v>
      </c>
    </row>
    <row r="2143" customFormat="false" ht="18.7" hidden="false" customHeight="true" outlineLevel="0" collapsed="false">
      <c r="A2143" s="1" t="n">
        <v>2142</v>
      </c>
      <c r="B2143" s="7" t="str">
        <f aca="false">HYPERLINK("https://mncourtfraud.com/file/27-CR-22-8126.pdf","27-CR-22-8126")</f>
        <v>27-CR-22-8126</v>
      </c>
      <c r="C2143" s="1" t="n">
        <v>1</v>
      </c>
      <c r="D2143" s="2" t="s">
        <v>12</v>
      </c>
      <c r="E2143" s="8" t="n">
        <v>45412</v>
      </c>
      <c r="F2143" s="2" t="s">
        <v>15</v>
      </c>
      <c r="G2143" s="7" t="str">
        <f aca="false">HYPERLINK("https://mncourtfraud.com/file/MCRO_27-CR-22-8126_Order-Evaluation for Competency to Proceed (Rule 20.01)_2024-04-30_20251126185722.pdf","MCRO_27-CR-22-8126_Order-Evaluation for Competency to Proceed (Rule 20.01)_2024-04-30_20251126185722.pdf")</f>
        <v>MCRO_27-CR-22-8126_Order-Evaluation for Competency to Proceed (Rule 20.01)_2024-04-30_20251126185722.pdf</v>
      </c>
      <c r="H2143" s="7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2143" s="1" t="s">
        <v>3406</v>
      </c>
      <c r="L2143" s="2" t="s">
        <v>3412</v>
      </c>
      <c r="M2143" s="2" t="n">
        <v>154549</v>
      </c>
      <c r="S2143" s="2" t="n">
        <v>2560</v>
      </c>
      <c r="T2143" s="2" t="n">
        <v>3300</v>
      </c>
    </row>
    <row r="2144" customFormat="false" ht="18.7" hidden="false" customHeight="true" outlineLevel="0" collapsed="false">
      <c r="A2144" s="1" t="n">
        <v>2143</v>
      </c>
      <c r="B2144" s="7" t="str">
        <f aca="false">HYPERLINK("https://mncourtfraud.com/file/27-CR-22-8126.pdf","27-CR-22-8126")</f>
        <v>27-CR-22-8126</v>
      </c>
      <c r="C2144" s="1" t="n">
        <v>1</v>
      </c>
      <c r="D2144" s="2" t="s">
        <v>12</v>
      </c>
      <c r="E2144" s="8" t="n">
        <v>45412</v>
      </c>
      <c r="F2144" s="2" t="s">
        <v>15</v>
      </c>
      <c r="G2144" s="7" t="str">
        <f aca="false">HYPERLINK("https://mncourtfraud.com/file/MCRO_27-CR-22-8126_Order-Evaluation for Competency to Proceed (Rule 20.01)_2024-04-30_20251126185722.pdf","MCRO_27-CR-22-8126_Order-Evaluation for Competency to Proceed (Rule 20.01)_2024-04-30_20251126185722.pdf")</f>
        <v>MCRO_27-CR-22-8126_Order-Evaluation for Competency to Proceed (Rule 20.01)_2024-04-30_20251126185722.pdf</v>
      </c>
      <c r="H2144" s="7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2144" s="1" t="s">
        <v>3406</v>
      </c>
      <c r="L2144" s="2" t="s">
        <v>3412</v>
      </c>
      <c r="M2144" s="2" t="n">
        <v>180051</v>
      </c>
      <c r="S2144" s="2" t="n">
        <v>2560</v>
      </c>
      <c r="T2144" s="2" t="n">
        <v>3300</v>
      </c>
    </row>
    <row r="2145" customFormat="false" ht="18.7" hidden="false" customHeight="true" outlineLevel="0" collapsed="false">
      <c r="A2145" s="1" t="n">
        <v>2144</v>
      </c>
      <c r="B2145" s="7" t="str">
        <f aca="false">HYPERLINK("https://mncourtfraud.com/file/27-CR-22-8126.pdf","27-CR-22-8126")</f>
        <v>27-CR-22-8126</v>
      </c>
      <c r="C2145" s="1" t="n">
        <v>1</v>
      </c>
      <c r="D2145" s="2" t="s">
        <v>12</v>
      </c>
      <c r="E2145" s="8" t="n">
        <v>45412</v>
      </c>
      <c r="F2145" s="2" t="s">
        <v>24</v>
      </c>
      <c r="G2145" s="7" t="str">
        <f aca="false">HYPERLINK("https://mncourtfraud.com/file/MCRO_27-CR-22-8126_Order for Conditional Release_2024-04-30_20251126185651.pdf","MCRO_27-CR-22-8126_Order for Conditional Release_2024-04-30_20251126185651.pdf")</f>
        <v>MCRO_27-CR-22-8126_Order for Conditional Release_2024-04-30_20251126185651.pdf</v>
      </c>
      <c r="H2145" s="7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2145" s="1" t="s">
        <v>3406</v>
      </c>
      <c r="L2145" s="2" t="s">
        <v>3412</v>
      </c>
      <c r="M2145" s="2" t="n">
        <v>38726</v>
      </c>
      <c r="S2145" s="2" t="n">
        <v>2560</v>
      </c>
      <c r="T2145" s="2" t="n">
        <v>3300</v>
      </c>
    </row>
    <row r="2146" customFormat="false" ht="18.7" hidden="false" customHeight="true" outlineLevel="0" collapsed="false">
      <c r="A2146" s="1" t="n">
        <v>2145</v>
      </c>
      <c r="B2146" s="7" t="str">
        <f aca="false">HYPERLINK("https://mncourtfraud.com/file/27-CR-22-8126.pdf","27-CR-22-8126")</f>
        <v>27-CR-22-8126</v>
      </c>
      <c r="C2146" s="1" t="n">
        <v>1</v>
      </c>
      <c r="D2146" s="2" t="s">
        <v>12</v>
      </c>
      <c r="E2146" s="8" t="n">
        <v>45412</v>
      </c>
      <c r="F2146" s="2" t="s">
        <v>15</v>
      </c>
      <c r="G2146" s="7" t="str">
        <f aca="false">HYPERLINK("https://mncourtfraud.com/file/MCRO_27-CR-22-8126_Order-Evaluation for Competency to Proceed (Rule 20.01)_2024-04-30_20251126185722.pdf","MCRO_27-CR-22-8126_Order-Evaluation for Competency to Proceed (Rule 20.01)_2024-04-30_20251126185722.pdf")</f>
        <v>MCRO_27-CR-22-8126_Order-Evaluation for Competency to Proceed (Rule 20.01)_2024-04-30_20251126185722.pdf</v>
      </c>
      <c r="H2146" s="7" t="str">
        <f aca="false">HYPERLINK("https://mncourtfraud.com/file/4db7d2599119dc45c08adba3b9b2ba67e6a3d697261d3f95ca4c5b01777bcfbe.ttf","4db7d2599119dc45c08adba3b9b2ba67e6a3d697261d3f95ca4c5b01777bcfbe")</f>
        <v>4db7d2599119dc45c08adba3b9b2ba67e6a3d697261d3f95ca4c5b01777bcfbe</v>
      </c>
      <c r="I2146" s="1" t="s">
        <v>3413</v>
      </c>
      <c r="L2146" s="2" t="s">
        <v>3415</v>
      </c>
      <c r="M2146" s="2" t="n">
        <v>333576</v>
      </c>
    </row>
    <row r="2147" customFormat="false" ht="18.7" hidden="false" customHeight="true" outlineLevel="0" collapsed="false">
      <c r="A2147" s="1" t="n">
        <v>2146</v>
      </c>
      <c r="B2147" s="7" t="str">
        <f aca="false">HYPERLINK("https://mncourtfraud.com/file/27-CR-22-8126.pdf","27-CR-22-8126")</f>
        <v>27-CR-22-8126</v>
      </c>
      <c r="C2147" s="1" t="n">
        <v>1</v>
      </c>
      <c r="D2147" s="2" t="s">
        <v>12</v>
      </c>
      <c r="E2147" s="8" t="n">
        <v>45412</v>
      </c>
      <c r="F2147" s="2" t="s">
        <v>15</v>
      </c>
      <c r="G2147" s="7" t="str">
        <f aca="false">HYPERLINK("https://mncourtfraud.com/file/MCRO_27-CR-22-8126_Order-Evaluation for Competency to Proceed (Rule 20.01)_2024-04-30_20251126185722.pdf","MCRO_27-CR-22-8126_Order-Evaluation for Competency to Proceed (Rule 20.01)_2024-04-30_20251126185722.pdf")</f>
        <v>MCRO_27-CR-22-8126_Order-Evaluation for Competency to Proceed (Rule 20.01)_2024-04-30_20251126185722.pdf</v>
      </c>
      <c r="H2147" s="7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2147" s="1" t="s">
        <v>3406</v>
      </c>
      <c r="L2147" s="2" t="s">
        <v>3412</v>
      </c>
      <c r="M2147" s="2" t="n">
        <v>71271</v>
      </c>
      <c r="S2147" s="2" t="n">
        <v>2560</v>
      </c>
      <c r="T2147" s="2" t="n">
        <v>3300</v>
      </c>
    </row>
    <row r="2148" customFormat="false" ht="18.7" hidden="false" customHeight="true" outlineLevel="0" collapsed="false">
      <c r="A2148" s="1" t="n">
        <v>2147</v>
      </c>
      <c r="B2148" s="7" t="str">
        <f aca="false">HYPERLINK("https://mncourtfraud.com/file/27-CR-22-8126.pdf","27-CR-22-8126")</f>
        <v>27-CR-22-8126</v>
      </c>
      <c r="C2148" s="1" t="n">
        <v>1</v>
      </c>
      <c r="D2148" s="2" t="s">
        <v>12</v>
      </c>
      <c r="E2148" s="8" t="n">
        <v>45412</v>
      </c>
      <c r="F2148" s="2" t="s">
        <v>24</v>
      </c>
      <c r="G2148" s="7" t="str">
        <f aca="false">HYPERLINK("https://mncourtfraud.com/file/MCRO_27-CR-22-8126_Order for Conditional Release_2024-04-30_20251126185651.pdf","MCRO_27-CR-22-8126_Order for Conditional Release_2024-04-30_20251126185651.pdf")</f>
        <v>MCRO_27-CR-22-8126_Order for Conditional Release_2024-04-30_20251126185651.pdf</v>
      </c>
      <c r="H2148" s="7" t="str">
        <f aca="false">HYPERLINK("https://mncourtfraud.com/file/d5cf4f06aaee8f372e6af86dab12d75d131a3ba68ba6baeac4b7b514ef3e0b85.ttf","d5cf4f06aaee8f372e6af86dab12d75d131a3ba68ba6baeac4b7b514ef3e0b85")</f>
        <v>d5cf4f06aaee8f372e6af86dab12d75d131a3ba68ba6baeac4b7b514ef3e0b85</v>
      </c>
      <c r="I2148" s="1" t="s">
        <v>3413</v>
      </c>
      <c r="L2148" s="2" t="s">
        <v>3415</v>
      </c>
      <c r="M2148" s="2" t="n">
        <v>333576</v>
      </c>
    </row>
    <row r="2149" customFormat="false" ht="18.7" hidden="false" customHeight="true" outlineLevel="0" collapsed="false">
      <c r="A2149" s="1" t="n">
        <v>2148</v>
      </c>
      <c r="B2149" s="7" t="str">
        <f aca="false">HYPERLINK("https://mncourtfraud.com/file/27-CR-22-8126.pdf","27-CR-22-8126")</f>
        <v>27-CR-22-8126</v>
      </c>
      <c r="C2149" s="1" t="n">
        <v>1</v>
      </c>
      <c r="D2149" s="2" t="s">
        <v>12</v>
      </c>
      <c r="E2149" s="8" t="n">
        <v>45412</v>
      </c>
      <c r="F2149" s="2" t="s">
        <v>24</v>
      </c>
      <c r="G2149" s="7" t="str">
        <f aca="false">HYPERLINK("https://mncourtfraud.com/file/MCRO_27-CR-22-8126_Order for Conditional Release_2024-04-30_20251126185651.pdf","MCRO_27-CR-22-8126_Order for Conditional Release_2024-04-30_20251126185651.pdf")</f>
        <v>MCRO_27-CR-22-8126_Order for Conditional Release_2024-04-30_20251126185651.pdf</v>
      </c>
      <c r="H2149" s="7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2149" s="1" t="s">
        <v>3406</v>
      </c>
      <c r="L2149" s="2" t="s">
        <v>3412</v>
      </c>
      <c r="M2149" s="2" t="n">
        <v>195018</v>
      </c>
      <c r="S2149" s="2" t="n">
        <v>2560</v>
      </c>
      <c r="T2149" s="2" t="n">
        <v>3300</v>
      </c>
    </row>
    <row r="2150" customFormat="false" ht="18.7" hidden="false" customHeight="true" outlineLevel="0" collapsed="false">
      <c r="A2150" s="1" t="n">
        <v>2149</v>
      </c>
      <c r="B2150" s="7" t="str">
        <f aca="false">HYPERLINK("https://mncourtfraud.com/file/27-CR-22-8226.pdf","27-CR-22-8226")</f>
        <v>27-CR-22-8226</v>
      </c>
      <c r="C2150" s="1" t="n">
        <v>5</v>
      </c>
      <c r="D2150" s="2" t="s">
        <v>267</v>
      </c>
      <c r="E2150" s="8" t="n">
        <v>44837</v>
      </c>
      <c r="F2150" s="2" t="s">
        <v>17</v>
      </c>
      <c r="G2150" s="7" t="str">
        <f aca="false">HYPERLINK("https://mncourtfraud.com/file/MCRO_27-CR-22-8226_Returned Mail_2022-10-03_20251126170634.pdf","MCRO_27-CR-22-8226_Returned Mail_2022-10-03_20251126170634.pdf")</f>
        <v>MCRO_27-CR-22-8226_Returned Mail_2022-10-03_20251126170634.pdf</v>
      </c>
      <c r="H2150" s="7" t="str">
        <f aca="false">HYPERLINK("https://mncourtfraud.com/file/237d5516e0c716146a65e7b2daf746fb6188c66f833317ba27cb286332d42dea.jpg","237d5516e0c716146a65e7b2daf746fb6188c66f833317ba27cb286332d42dea")</f>
        <v>237d5516e0c716146a65e7b2daf746fb6188c66f833317ba27cb286332d42dea</v>
      </c>
      <c r="I2150" s="1" t="s">
        <v>3417</v>
      </c>
      <c r="L2150" s="2" t="s">
        <v>3419</v>
      </c>
      <c r="M2150" s="2" t="n">
        <v>318425</v>
      </c>
      <c r="S2150" s="2" t="n">
        <v>2550</v>
      </c>
      <c r="T2150" s="2" t="n">
        <v>3300</v>
      </c>
    </row>
    <row r="2151" customFormat="false" ht="18.7" hidden="false" customHeight="true" outlineLevel="0" collapsed="false">
      <c r="A2151" s="1" t="n">
        <v>2150</v>
      </c>
      <c r="B2151" s="7" t="str">
        <f aca="false">HYPERLINK("https://mncourtfraud.com/file/27-CR-22-8226.pdf","27-CR-22-8226")</f>
        <v>27-CR-22-8226</v>
      </c>
      <c r="C2151" s="1" t="n">
        <v>5</v>
      </c>
      <c r="D2151" s="2" t="s">
        <v>267</v>
      </c>
      <c r="E2151" s="8" t="n">
        <v>44837</v>
      </c>
      <c r="F2151" s="2" t="s">
        <v>17</v>
      </c>
      <c r="G2151" s="7" t="str">
        <f aca="false">HYPERLINK("https://mncourtfraud.com/file/MCRO_27-CR-22-8226_Returned Mail_2022-10-03_20251126170634.pdf","MCRO_27-CR-22-8226_Returned Mail_2022-10-03_20251126170634.pdf")</f>
        <v>MCRO_27-CR-22-8226_Returned Mail_2022-10-03_20251126170634.pdf</v>
      </c>
      <c r="H2151" s="7" t="str">
        <f aca="false">HYPERLINK("https://mncourtfraud.com/file/a5e5c392eb46244eb2f6cb58ac26cd8ceafb56d6f16b754ee26ba4f3c1b3b729.ttf","a5e5c392eb46244eb2f6cb58ac26cd8ceafb56d6f16b754ee26ba4f3c1b3b729")</f>
        <v>a5e5c392eb46244eb2f6cb58ac26cd8ceafb56d6f16b754ee26ba4f3c1b3b729</v>
      </c>
      <c r="I2151" s="1" t="s">
        <v>3413</v>
      </c>
      <c r="L2151" s="2" t="s">
        <v>3415</v>
      </c>
      <c r="M2151" s="2" t="n">
        <v>333584</v>
      </c>
    </row>
    <row r="2152" customFormat="false" ht="18.7" hidden="false" customHeight="true" outlineLevel="0" collapsed="false">
      <c r="A2152" s="1" t="n">
        <v>2151</v>
      </c>
      <c r="B2152" s="7" t="str">
        <f aca="false">HYPERLINK("https://mncourtfraud.com/file/27-CR-22-8226.pdf","27-CR-22-8226")</f>
        <v>27-CR-22-8226</v>
      </c>
      <c r="C2152" s="1" t="n">
        <v>5</v>
      </c>
      <c r="D2152" s="2" t="s">
        <v>267</v>
      </c>
      <c r="E2152" s="8" t="n">
        <v>44873</v>
      </c>
      <c r="F2152" s="2" t="s">
        <v>15</v>
      </c>
      <c r="G2152" s="7" t="str">
        <f aca="false">HYPERLINK("https://mncourtfraud.com/file/MCRO_27-CR-22-8226_Order-Evaluation for Competency to Proceed (Rule 20.01)_2022-11-08_20251126170603.pdf","MCRO_27-CR-22-8226_Order-Evaluation for Competency to Proceed (Rule 20.01)_2022-11-08_20251126170603.pdf")</f>
        <v>MCRO_27-CR-22-8226_Order-Evaluation for Competency to Proceed (Rule 20.01)_2022-11-08_20251126170603.pdf</v>
      </c>
      <c r="H2152" s="7" t="str">
        <f aca="false">HYPERLINK("https://mncourtfraud.com/file/082f387ba4835f1cae3d2529d7afa13cbb922baebe03519ee43d2c14358c2398.jpg","082f387ba4835f1cae3d2529d7afa13cbb922baebe03519ee43d2c14358c2398")</f>
        <v>082f387ba4835f1cae3d2529d7afa13cbb922baebe03519ee43d2c14358c2398</v>
      </c>
      <c r="I2152" s="1" t="s">
        <v>3417</v>
      </c>
      <c r="L2152" s="2" t="s">
        <v>3418</v>
      </c>
      <c r="M2152" s="2" t="n">
        <v>300734</v>
      </c>
      <c r="S2152" s="2" t="n">
        <v>1700</v>
      </c>
      <c r="T2152" s="2" t="n">
        <v>2200</v>
      </c>
    </row>
    <row r="2153" customFormat="false" ht="18.7" hidden="false" customHeight="true" outlineLevel="0" collapsed="false">
      <c r="A2153" s="1" t="n">
        <v>2152</v>
      </c>
      <c r="B2153" s="7" t="str">
        <f aca="false">HYPERLINK("https://mncourtfraud.com/file/27-CR-22-8226.pdf","27-CR-22-8226")</f>
        <v>27-CR-22-8226</v>
      </c>
      <c r="C2153" s="1" t="n">
        <v>5</v>
      </c>
      <c r="D2153" s="2" t="s">
        <v>267</v>
      </c>
      <c r="E2153" s="8" t="n">
        <v>44873</v>
      </c>
      <c r="F2153" s="2" t="s">
        <v>15</v>
      </c>
      <c r="G2153" s="7" t="str">
        <f aca="false">HYPERLINK("https://mncourtfraud.com/file/MCRO_27-CR-22-8226_Order-Evaluation for Competency to Proceed (Rule 20.01)_2022-11-08_20251126170603.pdf","MCRO_27-CR-22-8226_Order-Evaluation for Competency to Proceed (Rule 20.01)_2022-11-08_20251126170603.pdf")</f>
        <v>MCRO_27-CR-22-8226_Order-Evaluation for Competency to Proceed (Rule 20.01)_2022-11-08_20251126170603.pdf</v>
      </c>
      <c r="H2153" s="7" t="str">
        <f aca="false">HYPERLINK("https://mncourtfraud.com/file/5ec6a5633be2d5f7201fcc405ec826928f8ebd9d0f347fee056c3ff04cd3e3d7.ttf","5ec6a5633be2d5f7201fcc405ec826928f8ebd9d0f347fee056c3ff04cd3e3d7")</f>
        <v>5ec6a5633be2d5f7201fcc405ec826928f8ebd9d0f347fee056c3ff04cd3e3d7</v>
      </c>
      <c r="I2153" s="1" t="s">
        <v>3413</v>
      </c>
      <c r="L2153" s="2" t="s">
        <v>3415</v>
      </c>
      <c r="M2153" s="2" t="n">
        <v>333576</v>
      </c>
    </row>
    <row r="2154" customFormat="false" ht="18.7" hidden="false" customHeight="true" outlineLevel="0" collapsed="false">
      <c r="A2154" s="1" t="n">
        <v>2153</v>
      </c>
      <c r="B2154" s="7" t="str">
        <f aca="false">HYPERLINK("https://mncourtfraud.com/file/27-CR-22-8226.pdf","27-CR-22-8226")</f>
        <v>27-CR-22-8226</v>
      </c>
      <c r="C2154" s="1" t="n">
        <v>5</v>
      </c>
      <c r="D2154" s="2" t="s">
        <v>267</v>
      </c>
      <c r="E2154" s="8" t="n">
        <v>44873</v>
      </c>
      <c r="F2154" s="2" t="s">
        <v>15</v>
      </c>
      <c r="G2154" s="7" t="str">
        <f aca="false">HYPERLINK("https://mncourtfraud.com/file/MCRO_27-CR-22-8226_Order-Evaluation for Competency to Proceed (Rule 20.01)_2022-11-08_20251126170603.pdf","MCRO_27-CR-22-8226_Order-Evaluation for Competency to Proceed (Rule 20.01)_2022-11-08_20251126170603.pdf")</f>
        <v>MCRO_27-CR-22-8226_Order-Evaluation for Competency to Proceed (Rule 20.01)_2022-11-08_20251126170603.pdf</v>
      </c>
      <c r="H2154" s="7" t="str">
        <f aca="false">HYPERLINK("https://mncourtfraud.com/file/6efe5689334238d45a24a51d7cd932b18f0bce47806d862dbcc29a63132d5402.jpg","6efe5689334238d45a24a51d7cd932b18f0bce47806d862dbcc29a63132d5402")</f>
        <v>6efe5689334238d45a24a51d7cd932b18f0bce47806d862dbcc29a63132d5402</v>
      </c>
      <c r="I2154" s="1" t="s">
        <v>3417</v>
      </c>
      <c r="L2154" s="2" t="s">
        <v>3418</v>
      </c>
      <c r="M2154" s="2" t="n">
        <v>59609</v>
      </c>
      <c r="S2154" s="2" t="n">
        <v>1700</v>
      </c>
      <c r="T2154" s="2" t="n">
        <v>2200</v>
      </c>
    </row>
    <row r="2155" customFormat="false" ht="18.7" hidden="false" customHeight="true" outlineLevel="0" collapsed="false">
      <c r="A2155" s="1" t="n">
        <v>2154</v>
      </c>
      <c r="B2155" s="7" t="str">
        <f aca="false">HYPERLINK("https://mncourtfraud.com/file/27-CR-22-8226.pdf","27-CR-22-8226")</f>
        <v>27-CR-22-8226</v>
      </c>
      <c r="C2155" s="1" t="n">
        <v>5</v>
      </c>
      <c r="D2155" s="2" t="s">
        <v>267</v>
      </c>
      <c r="E2155" s="8" t="n">
        <v>44873</v>
      </c>
      <c r="F2155" s="2" t="s">
        <v>15</v>
      </c>
      <c r="G2155" s="7" t="str">
        <f aca="false">HYPERLINK("https://mncourtfraud.com/file/MCRO_27-CR-22-8226_Order-Evaluation for Competency to Proceed (Rule 20.01)_2022-11-08_20251126170603.pdf","MCRO_27-CR-22-8226_Order-Evaluation for Competency to Proceed (Rule 20.01)_2022-11-08_20251126170603.pdf")</f>
        <v>MCRO_27-CR-22-8226_Order-Evaluation for Competency to Proceed (Rule 20.01)_2022-11-08_20251126170603.pdf</v>
      </c>
      <c r="H2155" s="7" t="str">
        <f aca="false">HYPERLINK("https://mncourtfraud.com/file/fc4055f8addb8eece144843412a390d7992a7db6c5473e9a7648f1bd742f06a0.jpg","fc4055f8addb8eece144843412a390d7992a7db6c5473e9a7648f1bd742f06a0")</f>
        <v>fc4055f8addb8eece144843412a390d7992a7db6c5473e9a7648f1bd742f06a0</v>
      </c>
      <c r="I2155" s="1" t="s">
        <v>3417</v>
      </c>
      <c r="L2155" s="2" t="s">
        <v>3418</v>
      </c>
      <c r="M2155" s="2" t="n">
        <v>366016</v>
      </c>
      <c r="S2155" s="2" t="n">
        <v>1700</v>
      </c>
      <c r="T2155" s="2" t="n">
        <v>2200</v>
      </c>
    </row>
    <row r="2156" customFormat="false" ht="18.7" hidden="false" customHeight="true" outlineLevel="0" collapsed="false">
      <c r="A2156" s="1" t="n">
        <v>2155</v>
      </c>
      <c r="B2156" s="7" t="str">
        <f aca="false">HYPERLINK("https://mncourtfraud.com/file/27-CR-22-8226.pdf","27-CR-22-8226")</f>
        <v>27-CR-22-8226</v>
      </c>
      <c r="C2156" s="1" t="n">
        <v>5</v>
      </c>
      <c r="D2156" s="2" t="s">
        <v>267</v>
      </c>
      <c r="E2156" s="8" t="n">
        <v>45023</v>
      </c>
      <c r="F2156" s="2" t="s">
        <v>15</v>
      </c>
      <c r="G2156" s="7" t="str">
        <f aca="false">HYPERLINK("https://mncourtfraud.com/file/MCRO_27-CR-22-8226_Order-Evaluation for Competency to Proceed (Rule 20.01)_2023-04-07_20251126170613.pdf","MCRO_27-CR-22-8226_Order-Evaluation for Competency to Proceed (Rule 20.01)_2023-04-07_20251126170613.pdf")</f>
        <v>MCRO_27-CR-22-8226_Order-Evaluation for Competency to Proceed (Rule 20.01)_2023-04-07_20251126170613.pdf</v>
      </c>
      <c r="H2156" s="7" t="str">
        <f aca="false">HYPERLINK("https://mncourtfraud.com/file/6f5cd1c031660d5520fd4c3a15b7aef19046e0fc9527515bfd836ebb8dbf1a04.jpg","6f5cd1c031660d5520fd4c3a15b7aef19046e0fc9527515bfd836ebb8dbf1a04")</f>
        <v>6f5cd1c031660d5520fd4c3a15b7aef19046e0fc9527515bfd836ebb8dbf1a04</v>
      </c>
      <c r="I2156" s="1" t="s">
        <v>3417</v>
      </c>
      <c r="L2156" s="2" t="s">
        <v>3418</v>
      </c>
      <c r="M2156" s="2" t="n">
        <v>513540</v>
      </c>
      <c r="S2156" s="2" t="n">
        <v>2550</v>
      </c>
      <c r="T2156" s="2" t="n">
        <v>3300</v>
      </c>
    </row>
    <row r="2157" customFormat="false" ht="18.7" hidden="false" customHeight="true" outlineLevel="0" collapsed="false">
      <c r="A2157" s="1" t="n">
        <v>2156</v>
      </c>
      <c r="B2157" s="7" t="str">
        <f aca="false">HYPERLINK("https://mncourtfraud.com/file/27-CR-22-8226.pdf","27-CR-22-8226")</f>
        <v>27-CR-22-8226</v>
      </c>
      <c r="C2157" s="1" t="n">
        <v>5</v>
      </c>
      <c r="D2157" s="2" t="s">
        <v>267</v>
      </c>
      <c r="E2157" s="8" t="n">
        <v>45023</v>
      </c>
      <c r="F2157" s="2" t="s">
        <v>15</v>
      </c>
      <c r="G2157" s="7" t="str">
        <f aca="false">HYPERLINK("https://mncourtfraud.com/file/MCRO_27-CR-22-8226_Order-Evaluation for Competency to Proceed (Rule 20.01)_2023-04-07_20251126170613.pdf","MCRO_27-CR-22-8226_Order-Evaluation for Competency to Proceed (Rule 20.01)_2023-04-07_20251126170613.pdf")</f>
        <v>MCRO_27-CR-22-8226_Order-Evaluation for Competency to Proceed (Rule 20.01)_2023-04-07_20251126170613.pdf</v>
      </c>
      <c r="H2157" s="7" t="str">
        <f aca="false">HYPERLINK("https://mncourtfraud.com/file/997eca2413b177eb8c50849c05c51699b52520afb66cbefa807596614678ece7.jpg","997eca2413b177eb8c50849c05c51699b52520afb66cbefa807596614678ece7")</f>
        <v>997eca2413b177eb8c50849c05c51699b52520afb66cbefa807596614678ece7</v>
      </c>
      <c r="I2157" s="1" t="s">
        <v>3417</v>
      </c>
      <c r="L2157" s="2" t="s">
        <v>3418</v>
      </c>
      <c r="M2157" s="2" t="n">
        <v>645040</v>
      </c>
      <c r="S2157" s="2" t="n">
        <v>2550</v>
      </c>
      <c r="T2157" s="2" t="n">
        <v>3300</v>
      </c>
    </row>
    <row r="2158" customFormat="false" ht="18.7" hidden="false" customHeight="true" outlineLevel="0" collapsed="false">
      <c r="A2158" s="1" t="n">
        <v>2157</v>
      </c>
      <c r="B2158" s="7" t="str">
        <f aca="false">HYPERLINK("https://mncourtfraud.com/file/27-CR-22-8226.pdf","27-CR-22-8226")</f>
        <v>27-CR-22-8226</v>
      </c>
      <c r="C2158" s="1" t="n">
        <v>5</v>
      </c>
      <c r="D2158" s="2" t="s">
        <v>267</v>
      </c>
      <c r="E2158" s="8" t="n">
        <v>45023</v>
      </c>
      <c r="F2158" s="2" t="s">
        <v>15</v>
      </c>
      <c r="G2158" s="7" t="str">
        <f aca="false">HYPERLINK("https://mncourtfraud.com/file/MCRO_27-CR-22-8226_Order-Evaluation for Competency to Proceed (Rule 20.01)_2023-04-07_20251126170613.pdf","MCRO_27-CR-22-8226_Order-Evaluation for Competency to Proceed (Rule 20.01)_2023-04-07_20251126170613.pdf")</f>
        <v>MCRO_27-CR-22-8226_Order-Evaluation for Competency to Proceed (Rule 20.01)_2023-04-07_20251126170613.pdf</v>
      </c>
      <c r="H2158" s="7" t="str">
        <f aca="false">HYPERLINK("https://mncourtfraud.com/file/ea9af736a80d31de41ae5b0e7b3523dc9a6bd705b59262f58302b40163572f25.ttf","ea9af736a80d31de41ae5b0e7b3523dc9a6bd705b59262f58302b40163572f25")</f>
        <v>ea9af736a80d31de41ae5b0e7b3523dc9a6bd705b59262f58302b40163572f25</v>
      </c>
      <c r="I2158" s="1" t="s">
        <v>3413</v>
      </c>
      <c r="L2158" s="2" t="s">
        <v>3415</v>
      </c>
      <c r="M2158" s="2" t="n">
        <v>8688</v>
      </c>
    </row>
    <row r="2159" customFormat="false" ht="18.7" hidden="false" customHeight="true" outlineLevel="0" collapsed="false">
      <c r="A2159" s="1" t="n">
        <v>2158</v>
      </c>
      <c r="B2159" s="7" t="str">
        <f aca="false">HYPERLINK("https://mncourtfraud.com/file/27-CR-22-8226.pdf","27-CR-22-8226")</f>
        <v>27-CR-22-8226</v>
      </c>
      <c r="C2159" s="1" t="n">
        <v>5</v>
      </c>
      <c r="D2159" s="2" t="s">
        <v>267</v>
      </c>
      <c r="E2159" s="8" t="n">
        <v>45194</v>
      </c>
      <c r="F2159" s="2" t="s">
        <v>15</v>
      </c>
      <c r="G2159" s="7" t="str">
        <f aca="false">HYPERLINK("https://mncourtfraud.com/file/MCRO_27-CR-22-8226_Order-Evaluation for Competency to Proceed (Rule 20.01)_2023-09-25_20251126170623.pdf","MCRO_27-CR-22-8226_Order-Evaluation for Competency to Proceed (Rule 20.01)_2023-09-25_20251126170623.pdf")</f>
        <v>MCRO_27-CR-22-8226_Order-Evaluation for Competency to Proceed (Rule 20.01)_2023-09-25_20251126170623.pdf</v>
      </c>
      <c r="H2159" s="7" t="str">
        <f aca="false">HYPERLINK("https://mncourtfraud.com/file/4c385f7ae8b1b78bc4ac3302e35eeaeb47e175305fd776c018ad0582a082d2f1.png","4c385f7ae8b1b78bc4ac3302e35eeaeb47e175305fd776c018ad0582a082d2f1")</f>
        <v>4c385f7ae8b1b78bc4ac3302e35eeaeb47e175305fd776c018ad0582a082d2f1</v>
      </c>
      <c r="I2159" s="1" t="s">
        <v>3406</v>
      </c>
      <c r="L2159" s="2" t="s">
        <v>3412</v>
      </c>
      <c r="M2159" s="2" t="n">
        <v>162309</v>
      </c>
      <c r="S2159" s="2" t="n">
        <v>2560</v>
      </c>
      <c r="T2159" s="2" t="n">
        <v>3300</v>
      </c>
    </row>
    <row r="2160" customFormat="false" ht="18.7" hidden="false" customHeight="true" outlineLevel="0" collapsed="false">
      <c r="A2160" s="1" t="n">
        <v>2159</v>
      </c>
      <c r="B2160" s="7" t="str">
        <f aca="false">HYPERLINK("https://mncourtfraud.com/file/27-CR-22-8226.pdf","27-CR-22-8226")</f>
        <v>27-CR-22-8226</v>
      </c>
      <c r="C2160" s="1" t="n">
        <v>5</v>
      </c>
      <c r="D2160" s="2" t="s">
        <v>267</v>
      </c>
      <c r="E2160" s="8" t="n">
        <v>45194</v>
      </c>
      <c r="F2160" s="2" t="s">
        <v>15</v>
      </c>
      <c r="G2160" s="7" t="str">
        <f aca="false">HYPERLINK("https://mncourtfraud.com/file/MCRO_27-CR-22-8226_Order-Evaluation for Competency to Proceed (Rule 20.01)_2023-09-25_20251126170623.pdf","MCRO_27-CR-22-8226_Order-Evaluation for Competency to Proceed (Rule 20.01)_2023-09-25_20251126170623.pdf")</f>
        <v>MCRO_27-CR-22-8226_Order-Evaluation for Competency to Proceed (Rule 20.01)_2023-09-25_20251126170623.pdf</v>
      </c>
      <c r="H2160" s="7" t="str">
        <f aca="false">HYPERLINK("https://mncourtfraud.com/file/9f61d1c86b92a1cfe4c2425ebe7c20689b4132fc43316fa8ae4829c07f8dccd6.ttf","9f61d1c86b92a1cfe4c2425ebe7c20689b4132fc43316fa8ae4829c07f8dccd6")</f>
        <v>9f61d1c86b92a1cfe4c2425ebe7c20689b4132fc43316fa8ae4829c07f8dccd6</v>
      </c>
      <c r="I2160" s="1" t="s">
        <v>3413</v>
      </c>
      <c r="L2160" s="2" t="s">
        <v>3415</v>
      </c>
      <c r="M2160" s="2" t="n">
        <v>333576</v>
      </c>
    </row>
    <row r="2161" customFormat="false" ht="18.7" hidden="false" customHeight="true" outlineLevel="0" collapsed="false">
      <c r="A2161" s="1" t="n">
        <v>2160</v>
      </c>
      <c r="B2161" s="7" t="str">
        <f aca="false">HYPERLINK("https://mncourtfraud.com/file/27-CR-22-8226.pdf","27-CR-22-8226")</f>
        <v>27-CR-22-8226</v>
      </c>
      <c r="C2161" s="1" t="n">
        <v>5</v>
      </c>
      <c r="D2161" s="2" t="s">
        <v>267</v>
      </c>
      <c r="E2161" s="8" t="n">
        <v>45194</v>
      </c>
      <c r="F2161" s="2" t="s">
        <v>15</v>
      </c>
      <c r="G2161" s="7" t="str">
        <f aca="false">HYPERLINK("https://mncourtfraud.com/file/MCRO_27-CR-22-8226_Order-Evaluation for Competency to Proceed (Rule 20.01)_2023-09-25_20251126170623.pdf","MCRO_27-CR-22-8226_Order-Evaluation for Competency to Proceed (Rule 20.01)_2023-09-25_20251126170623.pdf")</f>
        <v>MCRO_27-CR-22-8226_Order-Evaluation for Competency to Proceed (Rule 20.01)_2023-09-25_20251126170623.pdf</v>
      </c>
      <c r="H2161" s="7" t="str">
        <f aca="false">HYPERLINK("https://mncourtfraud.com/file/e8ec090484db08b3be9daaa10e2fef35a99135ae0a2f234de7613cfacc2f6cac.png","e8ec090484db08b3be9daaa10e2fef35a99135ae0a2f234de7613cfacc2f6cac")</f>
        <v>e8ec090484db08b3be9daaa10e2fef35a99135ae0a2f234de7613cfacc2f6cac</v>
      </c>
      <c r="I2161" s="1" t="s">
        <v>3406</v>
      </c>
      <c r="L2161" s="2" t="s">
        <v>3412</v>
      </c>
      <c r="M2161" s="2" t="n">
        <v>133015</v>
      </c>
      <c r="S2161" s="2" t="n">
        <v>2560</v>
      </c>
      <c r="T2161" s="2" t="n">
        <v>3300</v>
      </c>
    </row>
    <row r="2162" customFormat="false" ht="18.7" hidden="false" customHeight="true" outlineLevel="0" collapsed="false">
      <c r="A2162" s="1" t="n">
        <v>2161</v>
      </c>
      <c r="B2162" s="7" t="str">
        <f aca="false">HYPERLINK("https://mncourtfraud.com/file/27-CR-22-8378.pdf","27-CR-22-8378")</f>
        <v>27-CR-22-8378</v>
      </c>
      <c r="C2162" s="1" t="n">
        <v>1</v>
      </c>
      <c r="D2162" s="2" t="s">
        <v>12</v>
      </c>
      <c r="E2162" s="8" t="n">
        <v>44761</v>
      </c>
      <c r="F2162" s="2" t="s">
        <v>15</v>
      </c>
      <c r="G2162" s="7" t="str">
        <f aca="false">HYPERLINK("https://mncourtfraud.com/file/MCRO_27-CR-22-8378_Order-Evaluation for Competency to Proceed (Rule 20.01)_2022-07-19_20251126185857.pdf","MCRO_27-CR-22-8378_Order-Evaluation for Competency to Proceed (Rule 20.01)_2022-07-19_20251126185857.pdf")</f>
        <v>MCRO_27-CR-22-8378_Order-Evaluation for Competency to Proceed (Rule 20.01)_2022-07-19_20251126185857.pdf</v>
      </c>
      <c r="H2162" s="7" t="str">
        <f aca="false">HYPERLINK("https://mncourtfraud.com/file/0d99ce1c86766d567d8765a4d807f3834791715457034c8ac17c745755a0ee2e.png","0d99ce1c86766d567d8765a4d807f3834791715457034c8ac17c745755a0ee2e")</f>
        <v>0d99ce1c86766d567d8765a4d807f3834791715457034c8ac17c745755a0ee2e</v>
      </c>
      <c r="I2162" s="1" t="s">
        <v>3406</v>
      </c>
      <c r="L2162" s="2" t="s">
        <v>3412</v>
      </c>
      <c r="M2162" s="2" t="n">
        <v>181526</v>
      </c>
      <c r="S2162" s="2" t="n">
        <v>3304</v>
      </c>
      <c r="T2162" s="2" t="n">
        <v>2550</v>
      </c>
    </row>
    <row r="2163" customFormat="false" ht="18.7" hidden="false" customHeight="true" outlineLevel="0" collapsed="false">
      <c r="A2163" s="1" t="n">
        <v>2162</v>
      </c>
      <c r="B2163" s="7" t="str">
        <f aca="false">HYPERLINK("https://mncourtfraud.com/file/27-CR-22-8378.pdf","27-CR-22-8378")</f>
        <v>27-CR-22-8378</v>
      </c>
      <c r="C2163" s="1" t="n">
        <v>1</v>
      </c>
      <c r="D2163" s="2" t="s">
        <v>12</v>
      </c>
      <c r="E2163" s="8" t="n">
        <v>44761</v>
      </c>
      <c r="F2163" s="2" t="s">
        <v>15</v>
      </c>
      <c r="G2163" s="7" t="str">
        <f aca="false">HYPERLINK("https://mncourtfraud.com/file/MCRO_27-CR-22-8378_Order-Evaluation for Competency to Proceed (Rule 20.01)_2022-07-19_20251126185857.pdf","MCRO_27-CR-22-8378_Order-Evaluation for Competency to Proceed (Rule 20.01)_2022-07-19_20251126185857.pdf")</f>
        <v>MCRO_27-CR-22-8378_Order-Evaluation for Competency to Proceed (Rule 20.01)_2022-07-19_20251126185857.pdf</v>
      </c>
      <c r="H2163" s="7" t="str">
        <f aca="false">HYPERLINK("https://mncourtfraud.com/file/c98c8baad1022c0211ad064c25bbedf4625c04b2297a7c839ba647c6660d1293.png","c98c8baad1022c0211ad064c25bbedf4625c04b2297a7c839ba647c6660d1293")</f>
        <v>c98c8baad1022c0211ad064c25bbedf4625c04b2297a7c839ba647c6660d1293</v>
      </c>
      <c r="I2163" s="1" t="s">
        <v>3406</v>
      </c>
      <c r="L2163" s="2" t="s">
        <v>3412</v>
      </c>
      <c r="M2163" s="2" t="n">
        <v>198067</v>
      </c>
      <c r="S2163" s="2" t="n">
        <v>3304</v>
      </c>
      <c r="T2163" s="2" t="n">
        <v>2550</v>
      </c>
    </row>
    <row r="2164" customFormat="false" ht="18.7" hidden="false" customHeight="true" outlineLevel="0" collapsed="false">
      <c r="A2164" s="1" t="n">
        <v>2163</v>
      </c>
      <c r="B2164" s="7" t="str">
        <f aca="false">HYPERLINK("https://mncourtfraud.com/file/27-CR-22-8378.pdf","27-CR-22-8378")</f>
        <v>27-CR-22-8378</v>
      </c>
      <c r="C2164" s="1" t="n">
        <v>1</v>
      </c>
      <c r="D2164" s="2" t="s">
        <v>12</v>
      </c>
      <c r="E2164" s="8" t="n">
        <v>44761</v>
      </c>
      <c r="F2164" s="2" t="s">
        <v>15</v>
      </c>
      <c r="G2164" s="7" t="str">
        <f aca="false">HYPERLINK("https://mncourtfraud.com/file/MCRO_27-CR-22-8378_Order-Evaluation for Competency to Proceed (Rule 20.01)_2022-07-19_20251126185857.pdf","MCRO_27-CR-22-8378_Order-Evaluation for Competency to Proceed (Rule 20.01)_2022-07-19_20251126185857.pdf")</f>
        <v>MCRO_27-CR-22-8378_Order-Evaluation for Competency to Proceed (Rule 20.01)_2022-07-19_20251126185857.pdf</v>
      </c>
      <c r="H2164" s="7" t="str">
        <f aca="false">HYPERLINK("https://mncourtfraud.com/file/ce3a09c5b18e46a7d95bc30202f29439160107f42bca0ad59c55ddd16135b47f.ttf","ce3a09c5b18e46a7d95bc30202f29439160107f42bca0ad59c55ddd16135b47f")</f>
        <v>ce3a09c5b18e46a7d95bc30202f29439160107f42bca0ad59c55ddd16135b47f</v>
      </c>
      <c r="I2164" s="1" t="s">
        <v>3413</v>
      </c>
      <c r="L2164" s="2" t="s">
        <v>3415</v>
      </c>
      <c r="M2164" s="2" t="n">
        <v>333576</v>
      </c>
    </row>
    <row r="2165" customFormat="false" ht="18.7" hidden="false" customHeight="true" outlineLevel="0" collapsed="false">
      <c r="A2165" s="1" t="n">
        <v>2164</v>
      </c>
      <c r="B2165" s="7" t="str">
        <f aca="false">HYPERLINK("https://mncourtfraud.com/file/27-CR-22-8378.pdf","27-CR-22-8378")</f>
        <v>27-CR-22-8378</v>
      </c>
      <c r="C2165" s="1" t="n">
        <v>1</v>
      </c>
      <c r="D2165" s="2" t="s">
        <v>12</v>
      </c>
      <c r="E2165" s="8" t="n">
        <v>44895</v>
      </c>
      <c r="F2165" s="2" t="s">
        <v>15</v>
      </c>
      <c r="G2165" s="7" t="str">
        <f aca="false">HYPERLINK("https://mncourtfraud.com/file/MCRO_27-CR-22-8378_Order-Evaluation for Competency to Proceed (Rule 20.01)_2022-11-30_20251126185908.pdf","MCRO_27-CR-22-8378_Order-Evaluation for Competency to Proceed (Rule 20.01)_2022-11-30_20251126185908.pdf")</f>
        <v>MCRO_27-CR-22-8378_Order-Evaluation for Competency to Proceed (Rule 20.01)_2022-11-30_20251126185908.pdf</v>
      </c>
      <c r="H2165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2165" s="1" t="s">
        <v>3413</v>
      </c>
      <c r="J2165" s="2" t="s">
        <v>3423</v>
      </c>
      <c r="K2165" s="2" t="s">
        <v>3423</v>
      </c>
      <c r="L2165" s="2" t="s">
        <v>3415</v>
      </c>
      <c r="M2165" s="2" t="n">
        <v>11088</v>
      </c>
    </row>
    <row r="2166" customFormat="false" ht="18.7" hidden="false" customHeight="true" outlineLevel="0" collapsed="false">
      <c r="A2166" s="1" t="n">
        <v>2165</v>
      </c>
      <c r="B2166" s="7" t="str">
        <f aca="false">HYPERLINK("https://mncourtfraud.com/file/27-CR-22-8378.pdf","27-CR-22-8378")</f>
        <v>27-CR-22-8378</v>
      </c>
      <c r="C2166" s="1" t="n">
        <v>1</v>
      </c>
      <c r="D2166" s="2" t="s">
        <v>12</v>
      </c>
      <c r="E2166" s="8" t="n">
        <v>44895</v>
      </c>
      <c r="F2166" s="2" t="s">
        <v>15</v>
      </c>
      <c r="G2166" s="7" t="str">
        <f aca="false">HYPERLINK("https://mncourtfraud.com/file/MCRO_27-CR-22-8378_Order-Evaluation for Competency to Proceed (Rule 20.01)_2022-11-30_20251126185908.pdf","MCRO_27-CR-22-8378_Order-Evaluation for Competency to Proceed (Rule 20.01)_2022-11-30_20251126185908.pdf")</f>
        <v>MCRO_27-CR-22-8378_Order-Evaluation for Competency to Proceed (Rule 20.01)_2022-11-30_20251126185908.pdf</v>
      </c>
      <c r="H2166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2166" s="1" t="s">
        <v>3413</v>
      </c>
      <c r="J2166" s="2" t="s">
        <v>3446</v>
      </c>
      <c r="K2166" s="2" t="s">
        <v>3446</v>
      </c>
      <c r="L2166" s="2" t="s">
        <v>3415</v>
      </c>
      <c r="M2166" s="2" t="n">
        <v>55072</v>
      </c>
      <c r="N2166" s="2" t="s">
        <v>3447</v>
      </c>
    </row>
    <row r="2167" customFormat="false" ht="18.7" hidden="false" customHeight="true" outlineLevel="0" collapsed="false">
      <c r="A2167" s="1" t="n">
        <v>2166</v>
      </c>
      <c r="B2167" s="7" t="str">
        <f aca="false">HYPERLINK("https://mncourtfraud.com/file/27-CR-22-8378.pdf","27-CR-22-8378")</f>
        <v>27-CR-22-8378</v>
      </c>
      <c r="C2167" s="1" t="n">
        <v>1</v>
      </c>
      <c r="D2167" s="2" t="s">
        <v>12</v>
      </c>
      <c r="E2167" s="8" t="n">
        <v>44895</v>
      </c>
      <c r="F2167" s="2" t="s">
        <v>15</v>
      </c>
      <c r="G2167" s="7" t="str">
        <f aca="false">HYPERLINK("https://mncourtfraud.com/file/MCRO_27-CR-22-8378_Order-Evaluation for Competency to Proceed (Rule 20.01)_2022-11-30_20251126185908.pdf","MCRO_27-CR-22-8378_Order-Evaluation for Competency to Proceed (Rule 20.01)_2022-11-30_20251126185908.pdf")</f>
        <v>MCRO_27-CR-22-8378_Order-Evaluation for Competency to Proceed (Rule 20.01)_2022-11-30_20251126185908.pdf</v>
      </c>
      <c r="H2167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2167" s="1" t="s">
        <v>3413</v>
      </c>
      <c r="J2167" s="2" t="s">
        <v>3424</v>
      </c>
      <c r="K2167" s="2" t="s">
        <v>3424</v>
      </c>
      <c r="L2167" s="2" t="s">
        <v>3415</v>
      </c>
      <c r="M2167" s="2" t="n">
        <v>14252</v>
      </c>
    </row>
    <row r="2168" customFormat="false" ht="18.7" hidden="false" customHeight="true" outlineLevel="0" collapsed="false">
      <c r="A2168" s="1" t="n">
        <v>2167</v>
      </c>
      <c r="B2168" s="7" t="str">
        <f aca="false">HYPERLINK("https://mncourtfraud.com/file/27-CR-22-8378.pdf","27-CR-22-8378")</f>
        <v>27-CR-22-8378</v>
      </c>
      <c r="C2168" s="1" t="n">
        <v>1</v>
      </c>
      <c r="D2168" s="2" t="s">
        <v>12</v>
      </c>
      <c r="E2168" s="8" t="n">
        <v>44895</v>
      </c>
      <c r="F2168" s="2" t="s">
        <v>15</v>
      </c>
      <c r="G2168" s="7" t="str">
        <f aca="false">HYPERLINK("https://mncourtfraud.com/file/MCRO_27-CR-22-8378_Order-Evaluation for Competency to Proceed (Rule 20.01)_2022-11-30_20251126185908.pdf","MCRO_27-CR-22-8378_Order-Evaluation for Competency to Proceed (Rule 20.01)_2022-11-30_20251126185908.pdf")</f>
        <v>MCRO_27-CR-22-8378_Order-Evaluation for Competency to Proceed (Rule 20.01)_2022-11-30_20251126185908.pdf</v>
      </c>
      <c r="H2168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2168" s="1" t="s">
        <v>3406</v>
      </c>
      <c r="K2168" s="2" t="s">
        <v>3420</v>
      </c>
      <c r="L2168" s="2" t="s">
        <v>3408</v>
      </c>
      <c r="M2168" s="2" t="n">
        <v>7306</v>
      </c>
      <c r="O2168" s="2" t="s">
        <v>3409</v>
      </c>
      <c r="P2168" s="2" t="s">
        <v>3410</v>
      </c>
      <c r="S2168" s="2" t="n">
        <v>319</v>
      </c>
      <c r="T2168" s="2" t="n">
        <v>105</v>
      </c>
    </row>
    <row r="2169" customFormat="false" ht="18.7" hidden="false" customHeight="true" outlineLevel="0" collapsed="false">
      <c r="A2169" s="1" t="n">
        <v>2168</v>
      </c>
      <c r="B2169" s="7" t="str">
        <f aca="false">HYPERLINK("https://mncourtfraud.com/file/27-CR-22-8378.pdf","27-CR-22-8378")</f>
        <v>27-CR-22-8378</v>
      </c>
      <c r="C2169" s="1" t="n">
        <v>1</v>
      </c>
      <c r="D2169" s="2" t="s">
        <v>12</v>
      </c>
      <c r="E2169" s="8" t="n">
        <v>44895</v>
      </c>
      <c r="F2169" s="2" t="s">
        <v>15</v>
      </c>
      <c r="G2169" s="7" t="str">
        <f aca="false">HYPERLINK("https://mncourtfraud.com/file/MCRO_27-CR-22-8378_Order-Evaluation for Competency to Proceed (Rule 20.01)_2022-11-30_20251126185908.pdf","MCRO_27-CR-22-8378_Order-Evaluation for Competency to Proceed (Rule 20.01)_2022-11-30_20251126185908.pdf")</f>
        <v>MCRO_27-CR-22-8378_Order-Evaluation for Competency to Proceed (Rule 20.01)_2022-11-30_20251126185908.pdf</v>
      </c>
      <c r="H2169" s="7" t="str">
        <f aca="false">HYPERLINK("https://mncourtfraud.com/file/677e52a3b8403ce87e338b0a2e31e6f8e5ddf03fb0ca7043a341135cf0255eaa.ttf","677e52a3b8403ce87e338b0a2e31e6f8e5ddf03fb0ca7043a341135cf0255eaa")</f>
        <v>677e52a3b8403ce87e338b0a2e31e6f8e5ddf03fb0ca7043a341135cf0255eaa</v>
      </c>
      <c r="I2169" s="1" t="s">
        <v>3413</v>
      </c>
      <c r="J2169" s="2" t="s">
        <v>3422</v>
      </c>
      <c r="K2169" s="2" t="s">
        <v>3422</v>
      </c>
      <c r="L2169" s="2" t="s">
        <v>3415</v>
      </c>
      <c r="M2169" s="2" t="n">
        <v>149960</v>
      </c>
    </row>
    <row r="2170" customFormat="false" ht="18.7" hidden="false" customHeight="true" outlineLevel="0" collapsed="false">
      <c r="A2170" s="1" t="n">
        <v>2169</v>
      </c>
      <c r="B2170" s="7" t="str">
        <f aca="false">HYPERLINK("https://mncourtfraud.com/file/27-CR-22-8378.pdf","27-CR-22-8378")</f>
        <v>27-CR-22-8378</v>
      </c>
      <c r="C2170" s="1" t="n">
        <v>1</v>
      </c>
      <c r="D2170" s="2" t="s">
        <v>12</v>
      </c>
      <c r="E2170" s="8" t="n">
        <v>44895</v>
      </c>
      <c r="F2170" s="2" t="s">
        <v>15</v>
      </c>
      <c r="G2170" s="7" t="str">
        <f aca="false">HYPERLINK("https://mncourtfraud.com/file/MCRO_27-CR-22-8378_Order-Evaluation for Competency to Proceed (Rule 20.01)_2022-11-30_20251126185908.pdf","MCRO_27-CR-22-8378_Order-Evaluation for Competency to Proceed (Rule 20.01)_2022-11-30_20251126185908.pdf")</f>
        <v>MCRO_27-CR-22-8378_Order-Evaluation for Competency to Proceed (Rule 20.01)_2022-11-30_20251126185908.pdf</v>
      </c>
      <c r="H2170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2170" s="1" t="s">
        <v>3413</v>
      </c>
      <c r="J2170" s="2" t="s">
        <v>3448</v>
      </c>
      <c r="K2170" s="2" t="s">
        <v>3448</v>
      </c>
      <c r="L2170" s="2" t="s">
        <v>3415</v>
      </c>
      <c r="M2170" s="2" t="n">
        <v>916684</v>
      </c>
    </row>
    <row r="2171" customFormat="false" ht="18.7" hidden="false" customHeight="true" outlineLevel="0" collapsed="false">
      <c r="A2171" s="1" t="n">
        <v>2170</v>
      </c>
      <c r="B2171" s="7" t="str">
        <f aca="false">HYPERLINK("https://mncourtfraud.com/file/27-CR-22-8378.pdf","27-CR-22-8378")</f>
        <v>27-CR-22-8378</v>
      </c>
      <c r="C2171" s="1" t="n">
        <v>1</v>
      </c>
      <c r="D2171" s="2" t="s">
        <v>12</v>
      </c>
      <c r="E2171" s="8" t="n">
        <v>44895</v>
      </c>
      <c r="F2171" s="2" t="s">
        <v>15</v>
      </c>
      <c r="G2171" s="7" t="str">
        <f aca="false">HYPERLINK("https://mncourtfraud.com/file/MCRO_27-CR-22-8378_Order-Evaluation for Competency to Proceed (Rule 20.01)_2022-11-30_20251126185908.pdf","MCRO_27-CR-22-8378_Order-Evaluation for Competency to Proceed (Rule 20.01)_2022-11-30_20251126185908.pdf")</f>
        <v>MCRO_27-CR-22-8378_Order-Evaluation for Competency to Proceed (Rule 20.01)_2022-11-30_20251126185908.pdf</v>
      </c>
      <c r="H2171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2171" s="1" t="s">
        <v>3406</v>
      </c>
      <c r="K2171" s="2" t="s">
        <v>3425</v>
      </c>
      <c r="L2171" s="2" t="s">
        <v>3408</v>
      </c>
      <c r="M2171" s="2" t="n">
        <v>21225</v>
      </c>
      <c r="O2171" s="2" t="s">
        <v>3409</v>
      </c>
      <c r="P2171" s="2" t="s">
        <v>3410</v>
      </c>
      <c r="S2171" s="2" t="n">
        <v>319</v>
      </c>
      <c r="T2171" s="2" t="n">
        <v>105</v>
      </c>
    </row>
    <row r="2172" customFormat="false" ht="18.7" hidden="false" customHeight="true" outlineLevel="0" collapsed="false">
      <c r="A2172" s="1" t="n">
        <v>2171</v>
      </c>
      <c r="B2172" s="7" t="str">
        <f aca="false">HYPERLINK("https://mncourtfraud.com/file/27-CR-22-8378.pdf","27-CR-22-8378")</f>
        <v>27-CR-22-8378</v>
      </c>
      <c r="C2172" s="1" t="n">
        <v>1</v>
      </c>
      <c r="D2172" s="2" t="s">
        <v>12</v>
      </c>
      <c r="E2172" s="8" t="n">
        <v>44895</v>
      </c>
      <c r="F2172" s="2" t="s">
        <v>15</v>
      </c>
      <c r="G2172" s="7" t="str">
        <f aca="false">HYPERLINK("https://mncourtfraud.com/file/MCRO_27-CR-22-8378_Order-Evaluation for Competency to Proceed (Rule 20.01)_2022-11-30_20251126185908.pdf","MCRO_27-CR-22-8378_Order-Evaluation for Competency to Proceed (Rule 20.01)_2022-11-30_20251126185908.pdf")</f>
        <v>MCRO_27-CR-22-8378_Order-Evaluation for Competency to Proceed (Rule 20.01)_2022-11-30_20251126185908.pdf</v>
      </c>
      <c r="H2172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2172" s="1" t="s">
        <v>3413</v>
      </c>
      <c r="J2172" s="2" t="s">
        <v>3449</v>
      </c>
      <c r="K2172" s="2" t="s">
        <v>3449</v>
      </c>
      <c r="L2172" s="2" t="s">
        <v>3415</v>
      </c>
      <c r="M2172" s="2" t="n">
        <v>124664</v>
      </c>
    </row>
    <row r="2173" customFormat="false" ht="18.7" hidden="false" customHeight="true" outlineLevel="0" collapsed="false">
      <c r="A2173" s="1" t="n">
        <v>2172</v>
      </c>
      <c r="B2173" s="7" t="str">
        <f aca="false">HYPERLINK("https://mncourtfraud.com/file/27-CR-22-8378.pdf","27-CR-22-8378")</f>
        <v>27-CR-22-8378</v>
      </c>
      <c r="C2173" s="1" t="n">
        <v>1</v>
      </c>
      <c r="D2173" s="2" t="s">
        <v>12</v>
      </c>
      <c r="E2173" s="8" t="n">
        <v>44895</v>
      </c>
      <c r="F2173" s="2" t="s">
        <v>15</v>
      </c>
      <c r="G2173" s="7" t="str">
        <f aca="false">HYPERLINK("https://mncourtfraud.com/file/MCRO_27-CR-22-8378_Order-Evaluation for Competency to Proceed (Rule 20.01)_2022-11-30_20251126185908.pdf","MCRO_27-CR-22-8378_Order-Evaluation for Competency to Proceed (Rule 20.01)_2022-11-30_20251126185908.pdf")</f>
        <v>MCRO_27-CR-22-8378_Order-Evaluation for Competency to Proceed (Rule 20.01)_2022-11-30_20251126185908.pdf</v>
      </c>
      <c r="H2173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2173" s="1" t="s">
        <v>3413</v>
      </c>
      <c r="J2173" s="2" t="s">
        <v>3449</v>
      </c>
      <c r="K2173" s="2" t="s">
        <v>3449</v>
      </c>
      <c r="L2173" s="2" t="s">
        <v>3415</v>
      </c>
      <c r="M2173" s="2" t="n">
        <v>124664</v>
      </c>
    </row>
    <row r="2174" customFormat="false" ht="18.7" hidden="false" customHeight="true" outlineLevel="0" collapsed="false">
      <c r="A2174" s="1" t="n">
        <v>2173</v>
      </c>
      <c r="B2174" s="7" t="str">
        <f aca="false">HYPERLINK("https://mncourtfraud.com/file/27-CR-22-8378.pdf","27-CR-22-8378")</f>
        <v>27-CR-22-8378</v>
      </c>
      <c r="C2174" s="1" t="n">
        <v>1</v>
      </c>
      <c r="D2174" s="2" t="s">
        <v>12</v>
      </c>
      <c r="E2174" s="8" t="n">
        <v>45048</v>
      </c>
      <c r="F2174" s="2" t="s">
        <v>80</v>
      </c>
      <c r="G2174" s="7" t="str">
        <f aca="false">HYPERLINK("https://mncourtfraud.com/file/MCRO_27-CR-22-8378_Finding of Incompetency and Order_2023-05-02_20251126185812.pdf","MCRO_27-CR-22-8378_Finding of Incompetency and Order_2023-05-02_20251126185812.pdf")</f>
        <v>MCRO_27-CR-22-8378_Finding of Incompetency and Order_2023-05-02_20251126185812.pdf</v>
      </c>
      <c r="H2174" s="7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174" s="1" t="s">
        <v>3406</v>
      </c>
      <c r="L2174" s="2" t="s">
        <v>3412</v>
      </c>
      <c r="M2174" s="2" t="n">
        <v>3506</v>
      </c>
      <c r="S2174" s="2" t="n">
        <v>1410</v>
      </c>
      <c r="T2174" s="2" t="n">
        <v>150</v>
      </c>
    </row>
    <row r="2175" customFormat="false" ht="18.7" hidden="false" customHeight="true" outlineLevel="0" collapsed="false">
      <c r="A2175" s="1" t="n">
        <v>2174</v>
      </c>
      <c r="B2175" s="7" t="str">
        <f aca="false">HYPERLINK("https://mncourtfraud.com/file/27-CR-22-8378.pdf","27-CR-22-8378")</f>
        <v>27-CR-22-8378</v>
      </c>
      <c r="C2175" s="1" t="n">
        <v>1</v>
      </c>
      <c r="D2175" s="2" t="s">
        <v>12</v>
      </c>
      <c r="E2175" s="8" t="n">
        <v>45048</v>
      </c>
      <c r="F2175" s="2" t="s">
        <v>80</v>
      </c>
      <c r="G2175" s="7" t="str">
        <f aca="false">HYPERLINK("https://mncourtfraud.com/file/MCRO_27-CR-22-8378_Finding of Incompetency and Order_2023-05-02_20251126185812.pdf","MCRO_27-CR-22-8378_Finding of Incompetency and Order_2023-05-02_20251126185812.pdf")</f>
        <v>MCRO_27-CR-22-8378_Finding of Incompetency and Order_2023-05-02_20251126185812.pdf</v>
      </c>
      <c r="H2175" s="7" t="str">
        <f aca="false">HYPERLINK("https://mncourtfraud.com/file/18befca089509ee2fbaddf9c5b79bf5988523b22d2369743ed9a591b9fc3bdb6.ttf","18befca089509ee2fbaddf9c5b79bf5988523b22d2369743ed9a591b9fc3bdb6")</f>
        <v>18befca089509ee2fbaddf9c5b79bf5988523b22d2369743ed9a591b9fc3bdb6</v>
      </c>
      <c r="I2175" s="1" t="s">
        <v>3413</v>
      </c>
      <c r="J2175" s="2" t="s">
        <v>3421</v>
      </c>
      <c r="K2175" s="2" t="s">
        <v>3450</v>
      </c>
      <c r="L2175" s="2" t="s">
        <v>3415</v>
      </c>
      <c r="M2175" s="2" t="n">
        <v>115928</v>
      </c>
    </row>
    <row r="2176" customFormat="false" ht="18.7" hidden="false" customHeight="true" outlineLevel="0" collapsed="false">
      <c r="A2176" s="1" t="n">
        <v>2175</v>
      </c>
      <c r="B2176" s="7" t="str">
        <f aca="false">HYPERLINK("https://mncourtfraud.com/file/27-CR-22-8378.pdf","27-CR-22-8378")</f>
        <v>27-CR-22-8378</v>
      </c>
      <c r="C2176" s="1" t="n">
        <v>1</v>
      </c>
      <c r="D2176" s="2" t="s">
        <v>12</v>
      </c>
      <c r="E2176" s="8" t="n">
        <v>45048</v>
      </c>
      <c r="F2176" s="2" t="s">
        <v>80</v>
      </c>
      <c r="G2176" s="7" t="str">
        <f aca="false">HYPERLINK("https://mncourtfraud.com/file/MCRO_27-CR-22-8378_Finding of Incompetency and Order_2023-05-02_20251126185812.pdf","MCRO_27-CR-22-8378_Finding of Incompetency and Order_2023-05-02_20251126185812.pdf")</f>
        <v>MCRO_27-CR-22-8378_Finding of Incompetency and Order_2023-05-02_20251126185812.pdf</v>
      </c>
      <c r="H2176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2176" s="1" t="s">
        <v>3413</v>
      </c>
      <c r="J2176" s="2" t="s">
        <v>3446</v>
      </c>
      <c r="K2176" s="2" t="s">
        <v>3446</v>
      </c>
      <c r="L2176" s="2" t="s">
        <v>3415</v>
      </c>
      <c r="M2176" s="2" t="n">
        <v>55072</v>
      </c>
      <c r="N2176" s="2" t="s">
        <v>3447</v>
      </c>
    </row>
    <row r="2177" customFormat="false" ht="18.7" hidden="false" customHeight="true" outlineLevel="0" collapsed="false">
      <c r="A2177" s="1" t="n">
        <v>2176</v>
      </c>
      <c r="B2177" s="7" t="str">
        <f aca="false">HYPERLINK("https://mncourtfraud.com/file/27-CR-22-8378.pdf","27-CR-22-8378")</f>
        <v>27-CR-22-8378</v>
      </c>
      <c r="C2177" s="1" t="n">
        <v>1</v>
      </c>
      <c r="D2177" s="2" t="s">
        <v>12</v>
      </c>
      <c r="E2177" s="8" t="n">
        <v>45048</v>
      </c>
      <c r="F2177" s="2" t="s">
        <v>80</v>
      </c>
      <c r="G2177" s="7" t="str">
        <f aca="false">HYPERLINK("https://mncourtfraud.com/file/MCRO_27-CR-22-8378_Finding of Incompetency and Order_2023-05-02_20251126185812.pdf","MCRO_27-CR-22-8378_Finding of Incompetency and Order_2023-05-02_20251126185812.pdf")</f>
        <v>MCRO_27-CR-22-8378_Finding of Incompetency and Order_2023-05-02_20251126185812.pdf</v>
      </c>
      <c r="H2177" s="7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177" s="1" t="s">
        <v>3406</v>
      </c>
      <c r="K2177" s="2" t="s">
        <v>3451</v>
      </c>
      <c r="L2177" s="2" t="s">
        <v>3408</v>
      </c>
      <c r="M2177" s="2" t="n">
        <v>5295</v>
      </c>
      <c r="O2177" s="2" t="s">
        <v>3452</v>
      </c>
      <c r="P2177" s="2" t="s">
        <v>3410</v>
      </c>
      <c r="S2177" s="2" t="n">
        <v>833</v>
      </c>
      <c r="T2177" s="2" t="n">
        <v>186</v>
      </c>
    </row>
    <row r="2178" customFormat="false" ht="18.7" hidden="false" customHeight="true" outlineLevel="0" collapsed="false">
      <c r="A2178" s="1" t="n">
        <v>2177</v>
      </c>
      <c r="B2178" s="7" t="str">
        <f aca="false">HYPERLINK("https://mncourtfraud.com/file/27-CR-22-8378.pdf","27-CR-22-8378")</f>
        <v>27-CR-22-8378</v>
      </c>
      <c r="C2178" s="1" t="n">
        <v>1</v>
      </c>
      <c r="D2178" s="2" t="s">
        <v>12</v>
      </c>
      <c r="E2178" s="8" t="n">
        <v>45048</v>
      </c>
      <c r="F2178" s="2" t="s">
        <v>80</v>
      </c>
      <c r="G2178" s="7" t="str">
        <f aca="false">HYPERLINK("https://mncourtfraud.com/file/MCRO_27-CR-22-8378_Finding of Incompetency and Order_2023-05-02_20251126185812.pdf","MCRO_27-CR-22-8378_Finding of Incompetency and Order_2023-05-02_20251126185812.pdf")</f>
        <v>MCRO_27-CR-22-8378_Finding of Incompetency and Order_2023-05-02_20251126185812.pdf</v>
      </c>
      <c r="H2178" s="7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178" s="1" t="s">
        <v>3406</v>
      </c>
      <c r="K2178" s="2" t="s">
        <v>3453</v>
      </c>
      <c r="L2178" s="2" t="s">
        <v>3408</v>
      </c>
      <c r="M2178" s="2" t="n">
        <v>3442</v>
      </c>
      <c r="O2178" s="2" t="s">
        <v>3454</v>
      </c>
      <c r="P2178" s="2" t="s">
        <v>3410</v>
      </c>
      <c r="S2178" s="2" t="n">
        <v>857</v>
      </c>
      <c r="T2178" s="2" t="n">
        <v>184</v>
      </c>
    </row>
    <row r="2179" customFormat="false" ht="18.7" hidden="false" customHeight="true" outlineLevel="0" collapsed="false">
      <c r="A2179" s="1" t="n">
        <v>2178</v>
      </c>
      <c r="B2179" s="7" t="str">
        <f aca="false">HYPERLINK("https://mncourtfraud.com/file/27-CR-22-8378.pdf","27-CR-22-8378")</f>
        <v>27-CR-22-8378</v>
      </c>
      <c r="C2179" s="1" t="n">
        <v>1</v>
      </c>
      <c r="D2179" s="2" t="s">
        <v>12</v>
      </c>
      <c r="E2179" s="8" t="n">
        <v>45048</v>
      </c>
      <c r="F2179" s="2" t="s">
        <v>80</v>
      </c>
      <c r="G2179" s="7" t="str">
        <f aca="false">HYPERLINK("https://mncourtfraud.com/file/MCRO_27-CR-22-8378_Finding of Incompetency and Order_2023-05-02_20251126185812.pdf","MCRO_27-CR-22-8378_Finding of Incompetency and Order_2023-05-02_20251126185812.pdf")</f>
        <v>MCRO_27-CR-22-8378_Finding of Incompetency and Order_2023-05-02_20251126185812.pdf</v>
      </c>
      <c r="H2179" s="7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2179" s="1" t="s">
        <v>3406</v>
      </c>
      <c r="L2179" s="2" t="s">
        <v>3412</v>
      </c>
      <c r="M2179" s="2" t="n">
        <v>3824</v>
      </c>
      <c r="S2179" s="2" t="n">
        <v>1850</v>
      </c>
      <c r="T2179" s="2" t="n">
        <v>160</v>
      </c>
    </row>
    <row r="2180" customFormat="false" ht="18.7" hidden="false" customHeight="true" outlineLevel="0" collapsed="false">
      <c r="A2180" s="1" t="n">
        <v>2179</v>
      </c>
      <c r="B2180" s="7" t="str">
        <f aca="false">HYPERLINK("https://mncourtfraud.com/file/27-CR-22-8378.pdf","27-CR-22-8378")</f>
        <v>27-CR-22-8378</v>
      </c>
      <c r="C2180" s="1" t="n">
        <v>1</v>
      </c>
      <c r="D2180" s="2" t="s">
        <v>12</v>
      </c>
      <c r="E2180" s="8" t="n">
        <v>45048</v>
      </c>
      <c r="F2180" s="2" t="s">
        <v>80</v>
      </c>
      <c r="G2180" s="7" t="str">
        <f aca="false">HYPERLINK("https://mncourtfraud.com/file/MCRO_27-CR-22-8378_Finding of Incompetency and Order_2023-05-02_20251126185812.pdf","MCRO_27-CR-22-8378_Finding of Incompetency and Order_2023-05-02_20251126185812.pdf")</f>
        <v>MCRO_27-CR-22-8378_Finding of Incompetency and Order_2023-05-02_20251126185812.pdf</v>
      </c>
      <c r="H2180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2180" s="1" t="s">
        <v>3413</v>
      </c>
      <c r="J2180" s="2" t="s">
        <v>3448</v>
      </c>
      <c r="K2180" s="2" t="s">
        <v>3448</v>
      </c>
      <c r="L2180" s="2" t="s">
        <v>3415</v>
      </c>
      <c r="M2180" s="2" t="n">
        <v>916684</v>
      </c>
    </row>
    <row r="2181" customFormat="false" ht="18.7" hidden="false" customHeight="true" outlineLevel="0" collapsed="false">
      <c r="A2181" s="1" t="n">
        <v>2180</v>
      </c>
      <c r="B2181" s="7" t="str">
        <f aca="false">HYPERLINK("https://mncourtfraud.com/file/27-CR-22-8378.pdf","27-CR-22-8378")</f>
        <v>27-CR-22-8378</v>
      </c>
      <c r="C2181" s="1" t="n">
        <v>1</v>
      </c>
      <c r="D2181" s="2" t="s">
        <v>12</v>
      </c>
      <c r="E2181" s="8" t="n">
        <v>45093</v>
      </c>
      <c r="F2181" s="2" t="s">
        <v>82</v>
      </c>
      <c r="G2181" s="7" t="str">
        <f aca="false">HYPERLINK("https://mncourtfraud.com/file/MCRO_27-CR-22-8378_Notice of Case Reassignment_2023-06-16_20251126185824.pdf","MCRO_27-CR-22-8378_Notice of Case Reassignment_2023-06-16_20251126185824.pdf")</f>
        <v>MCRO_27-CR-22-8378_Notice of Case Reassignment_2023-06-16_20251126185824.pdf</v>
      </c>
      <c r="H2181" s="7" t="str">
        <f aca="false">HYPERLINK("https://mncourtfraud.com/file/1fd1136a5ae69c0e5068fedf111533c283fb06da71a1aebe96b41cad9a15bb33.ttf","1fd1136a5ae69c0e5068fedf111533c283fb06da71a1aebe96b41cad9a15bb33")</f>
        <v>1fd1136a5ae69c0e5068fedf111533c283fb06da71a1aebe96b41cad9a15bb33</v>
      </c>
      <c r="I2181" s="1" t="s">
        <v>3413</v>
      </c>
      <c r="J2181" s="2" t="s">
        <v>3455</v>
      </c>
      <c r="K2181" s="2" t="s">
        <v>3455</v>
      </c>
      <c r="L2181" s="2" t="s">
        <v>3415</v>
      </c>
      <c r="M2181" s="2" t="n">
        <v>96348</v>
      </c>
      <c r="N2181" s="2" t="s">
        <v>3456</v>
      </c>
    </row>
    <row r="2182" customFormat="false" ht="18.7" hidden="false" customHeight="true" outlineLevel="0" collapsed="false">
      <c r="A2182" s="1" t="n">
        <v>2181</v>
      </c>
      <c r="B2182" s="7" t="str">
        <f aca="false">HYPERLINK("https://mncourtfraud.com/file/27-CR-22-8378.pdf","27-CR-22-8378")</f>
        <v>27-CR-22-8378</v>
      </c>
      <c r="C2182" s="1" t="n">
        <v>1</v>
      </c>
      <c r="D2182" s="2" t="s">
        <v>12</v>
      </c>
      <c r="E2182" s="8" t="n">
        <v>45093</v>
      </c>
      <c r="F2182" s="2" t="s">
        <v>82</v>
      </c>
      <c r="G2182" s="7" t="str">
        <f aca="false">HYPERLINK("https://mncourtfraud.com/file/MCRO_27-CR-22-8378_Notice of Case Reassignment_2023-06-16_20251126185824.pdf","MCRO_27-CR-22-8378_Notice of Case Reassignment_2023-06-16_20251126185824.pdf")</f>
        <v>MCRO_27-CR-22-8378_Notice of Case Reassignment_2023-06-16_20251126185824.pdf</v>
      </c>
      <c r="H2182" s="7" t="str">
        <f aca="false">HYPERLINK("https://mncourtfraud.com/file/4b0b043cb476134a2e47a5f4c233d3d0f7a52a3b063b8831356383f89fcd1118.ttf","4b0b043cb476134a2e47a5f4c233d3d0f7a52a3b063b8831356383f89fcd1118")</f>
        <v>4b0b043cb476134a2e47a5f4c233d3d0f7a52a3b063b8831356383f89fcd1118</v>
      </c>
      <c r="I2182" s="1" t="s">
        <v>3413</v>
      </c>
      <c r="J2182" s="2" t="s">
        <v>3457</v>
      </c>
      <c r="K2182" s="2" t="s">
        <v>3457</v>
      </c>
      <c r="L2182" s="2" t="s">
        <v>3415</v>
      </c>
      <c r="M2182" s="2" t="n">
        <v>79764</v>
      </c>
      <c r="N2182" s="2" t="s">
        <v>3458</v>
      </c>
    </row>
    <row r="2183" customFormat="false" ht="18.7" hidden="false" customHeight="true" outlineLevel="0" collapsed="false">
      <c r="A2183" s="1" t="n">
        <v>2182</v>
      </c>
      <c r="B2183" s="7" t="str">
        <f aca="false">HYPERLINK("https://mncourtfraud.com/file/27-CR-22-8378.pdf","27-CR-22-8378")</f>
        <v>27-CR-22-8378</v>
      </c>
      <c r="C2183" s="1" t="n">
        <v>1</v>
      </c>
      <c r="D2183" s="2" t="s">
        <v>12</v>
      </c>
      <c r="E2183" s="8" t="n">
        <v>45160</v>
      </c>
      <c r="F2183" s="2" t="s">
        <v>15</v>
      </c>
      <c r="G2183" s="7" t="str">
        <f aca="false">HYPERLINK("https://mncourtfraud.com/file/MCRO_27-CR-22-8378_Order-Evaluation for Competency to Proceed (Rule 20.01)_2023-08-22_20251126185920.pdf","MCRO_27-CR-22-8378_Order-Evaluation for Competency to Proceed (Rule 20.01)_2023-08-22_20251126185920.pdf")</f>
        <v>MCRO_27-CR-22-8378_Order-Evaluation for Competency to Proceed (Rule 20.01)_2023-08-22_20251126185920.pdf</v>
      </c>
      <c r="H2183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2183" s="1" t="s">
        <v>3413</v>
      </c>
      <c r="J2183" s="2" t="s">
        <v>3449</v>
      </c>
      <c r="K2183" s="2" t="s">
        <v>3449</v>
      </c>
      <c r="L2183" s="2" t="s">
        <v>3415</v>
      </c>
      <c r="M2183" s="2" t="n">
        <v>125504</v>
      </c>
    </row>
    <row r="2184" customFormat="false" ht="18.7" hidden="false" customHeight="true" outlineLevel="0" collapsed="false">
      <c r="A2184" s="1" t="n">
        <v>2183</v>
      </c>
      <c r="B2184" s="7" t="str">
        <f aca="false">HYPERLINK("https://mncourtfraud.com/file/27-CR-22-8378.pdf","27-CR-22-8378")</f>
        <v>27-CR-22-8378</v>
      </c>
      <c r="C2184" s="1" t="n">
        <v>1</v>
      </c>
      <c r="D2184" s="2" t="s">
        <v>12</v>
      </c>
      <c r="E2184" s="8" t="n">
        <v>45160</v>
      </c>
      <c r="F2184" s="2" t="s">
        <v>15</v>
      </c>
      <c r="G2184" s="7" t="str">
        <f aca="false">HYPERLINK("https://mncourtfraud.com/file/MCRO_27-CR-22-8378_Order-Evaluation for Competency to Proceed (Rule 20.01)_2023-08-22_20251126185920.pdf","MCRO_27-CR-22-8378_Order-Evaluation for Competency to Proceed (Rule 20.01)_2023-08-22_20251126185920.pdf")</f>
        <v>MCRO_27-CR-22-8378_Order-Evaluation for Competency to Proceed (Rule 20.01)_2023-08-22_20251126185920.pdf</v>
      </c>
      <c r="H2184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2184" s="1" t="s">
        <v>3413</v>
      </c>
      <c r="J2184" s="2" t="s">
        <v>3449</v>
      </c>
      <c r="K2184" s="2" t="s">
        <v>3449</v>
      </c>
      <c r="L2184" s="2" t="s">
        <v>3415</v>
      </c>
      <c r="M2184" s="2" t="n">
        <v>125504</v>
      </c>
    </row>
    <row r="2185" customFormat="false" ht="18.7" hidden="false" customHeight="true" outlineLevel="0" collapsed="false">
      <c r="A2185" s="1" t="n">
        <v>2184</v>
      </c>
      <c r="B2185" s="7" t="str">
        <f aca="false">HYPERLINK("https://mncourtfraud.com/file/27-CR-22-8378.pdf","27-CR-22-8378")</f>
        <v>27-CR-22-8378</v>
      </c>
      <c r="C2185" s="1" t="n">
        <v>1</v>
      </c>
      <c r="D2185" s="2" t="s">
        <v>12</v>
      </c>
      <c r="E2185" s="8" t="n">
        <v>45160</v>
      </c>
      <c r="F2185" s="2" t="s">
        <v>15</v>
      </c>
      <c r="G2185" s="7" t="str">
        <f aca="false">HYPERLINK("https://mncourtfraud.com/file/MCRO_27-CR-22-8378_Order-Evaluation for Competency to Proceed (Rule 20.01)_2023-08-22_20251126185920.pdf","MCRO_27-CR-22-8378_Order-Evaluation for Competency to Proceed (Rule 20.01)_2023-08-22_20251126185920.pdf")</f>
        <v>MCRO_27-CR-22-8378_Order-Evaluation for Competency to Proceed (Rule 20.01)_2023-08-22_20251126185920.pdf</v>
      </c>
      <c r="H2185" s="7" t="str">
        <f aca="false">HYPERLINK("https://mncourtfraud.com/file/0174a154b1dd2c8824c0108a525fa6ced84bf8b7d2fc9696a847700a4f83bb3b.ttf","0174a154b1dd2c8824c0108a525fa6ced84bf8b7d2fc9696a847700a4f83bb3b")</f>
        <v>0174a154b1dd2c8824c0108a525fa6ced84bf8b7d2fc9696a847700a4f83bb3b</v>
      </c>
      <c r="I2185" s="1" t="s">
        <v>3413</v>
      </c>
      <c r="J2185" s="2" t="s">
        <v>3422</v>
      </c>
      <c r="K2185" s="2" t="s">
        <v>3422</v>
      </c>
      <c r="L2185" s="2" t="s">
        <v>3415</v>
      </c>
      <c r="M2185" s="2" t="n">
        <v>101216</v>
      </c>
    </row>
    <row r="2186" customFormat="false" ht="18.7" hidden="false" customHeight="true" outlineLevel="0" collapsed="false">
      <c r="A2186" s="1" t="n">
        <v>2185</v>
      </c>
      <c r="B2186" s="7" t="str">
        <f aca="false">HYPERLINK("https://mncourtfraud.com/file/27-CR-22-8378.pdf","27-CR-22-8378")</f>
        <v>27-CR-22-8378</v>
      </c>
      <c r="C2186" s="1" t="n">
        <v>1</v>
      </c>
      <c r="D2186" s="2" t="s">
        <v>12</v>
      </c>
      <c r="E2186" s="8" t="n">
        <v>45160</v>
      </c>
      <c r="F2186" s="2" t="s">
        <v>15</v>
      </c>
      <c r="G2186" s="7" t="str">
        <f aca="false">HYPERLINK("https://mncourtfraud.com/file/MCRO_27-CR-22-8378_Order-Evaluation for Competency to Proceed (Rule 20.01)_2023-08-22_20251126185920.pdf","MCRO_27-CR-22-8378_Order-Evaluation for Competency to Proceed (Rule 20.01)_2023-08-22_20251126185920.pdf")</f>
        <v>MCRO_27-CR-22-8378_Order-Evaluation for Competency to Proceed (Rule 20.01)_2023-08-22_20251126185920.pdf</v>
      </c>
      <c r="H2186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2186" s="1" t="s">
        <v>3413</v>
      </c>
      <c r="J2186" s="2" t="s">
        <v>3423</v>
      </c>
      <c r="K2186" s="2" t="s">
        <v>3423</v>
      </c>
      <c r="L2186" s="2" t="s">
        <v>3415</v>
      </c>
      <c r="M2186" s="2" t="n">
        <v>11088</v>
      </c>
    </row>
    <row r="2187" customFormat="false" ht="18.7" hidden="false" customHeight="true" outlineLevel="0" collapsed="false">
      <c r="A2187" s="1" t="n">
        <v>2186</v>
      </c>
      <c r="B2187" s="7" t="str">
        <f aca="false">HYPERLINK("https://mncourtfraud.com/file/27-CR-22-8378.pdf","27-CR-22-8378")</f>
        <v>27-CR-22-8378</v>
      </c>
      <c r="C2187" s="1" t="n">
        <v>1</v>
      </c>
      <c r="D2187" s="2" t="s">
        <v>12</v>
      </c>
      <c r="E2187" s="8" t="n">
        <v>45160</v>
      </c>
      <c r="F2187" s="2" t="s">
        <v>15</v>
      </c>
      <c r="G2187" s="7" t="str">
        <f aca="false">HYPERLINK("https://mncourtfraud.com/file/MCRO_27-CR-22-8378_Order-Evaluation for Competency to Proceed (Rule 20.01)_2023-08-22_20251126185920.pdf","MCRO_27-CR-22-8378_Order-Evaluation for Competency to Proceed (Rule 20.01)_2023-08-22_20251126185920.pdf")</f>
        <v>MCRO_27-CR-22-8378_Order-Evaluation for Competency to Proceed (Rule 20.01)_2023-08-22_20251126185920.pdf</v>
      </c>
      <c r="H2187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2187" s="1" t="s">
        <v>3413</v>
      </c>
      <c r="J2187" s="2" t="s">
        <v>3446</v>
      </c>
      <c r="K2187" s="2" t="s">
        <v>3446</v>
      </c>
      <c r="L2187" s="2" t="s">
        <v>3415</v>
      </c>
      <c r="M2187" s="2" t="n">
        <v>55072</v>
      </c>
      <c r="N2187" s="2" t="s">
        <v>3447</v>
      </c>
    </row>
    <row r="2188" customFormat="false" ht="18.7" hidden="false" customHeight="true" outlineLevel="0" collapsed="false">
      <c r="A2188" s="1" t="n">
        <v>2187</v>
      </c>
      <c r="B2188" s="7" t="str">
        <f aca="false">HYPERLINK("https://mncourtfraud.com/file/27-CR-22-8378.pdf","27-CR-22-8378")</f>
        <v>27-CR-22-8378</v>
      </c>
      <c r="C2188" s="1" t="n">
        <v>1</v>
      </c>
      <c r="D2188" s="2" t="s">
        <v>12</v>
      </c>
      <c r="E2188" s="8" t="n">
        <v>45160</v>
      </c>
      <c r="F2188" s="2" t="s">
        <v>15</v>
      </c>
      <c r="G2188" s="7" t="str">
        <f aca="false">HYPERLINK("https://mncourtfraud.com/file/MCRO_27-CR-22-8378_Order-Evaluation for Competency to Proceed (Rule 20.01)_2023-08-22_20251126185920.pdf","MCRO_27-CR-22-8378_Order-Evaluation for Competency to Proceed (Rule 20.01)_2023-08-22_20251126185920.pdf")</f>
        <v>MCRO_27-CR-22-8378_Order-Evaluation for Competency to Proceed (Rule 20.01)_2023-08-22_20251126185920.pdf</v>
      </c>
      <c r="H2188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2188" s="1" t="s">
        <v>3413</v>
      </c>
      <c r="J2188" s="2" t="s">
        <v>3424</v>
      </c>
      <c r="K2188" s="2" t="s">
        <v>3424</v>
      </c>
      <c r="L2188" s="2" t="s">
        <v>3415</v>
      </c>
      <c r="M2188" s="2" t="n">
        <v>14252</v>
      </c>
    </row>
    <row r="2189" customFormat="false" ht="18.7" hidden="false" customHeight="true" outlineLevel="0" collapsed="false">
      <c r="A2189" s="1" t="n">
        <v>2188</v>
      </c>
      <c r="B2189" s="7" t="str">
        <f aca="false">HYPERLINK("https://mncourtfraud.com/file/27-CR-22-8378.pdf","27-CR-22-8378")</f>
        <v>27-CR-22-8378</v>
      </c>
      <c r="C2189" s="1" t="n">
        <v>1</v>
      </c>
      <c r="D2189" s="2" t="s">
        <v>12</v>
      </c>
      <c r="E2189" s="8" t="n">
        <v>45160</v>
      </c>
      <c r="F2189" s="2" t="s">
        <v>15</v>
      </c>
      <c r="G2189" s="7" t="str">
        <f aca="false">HYPERLINK("https://mncourtfraud.com/file/MCRO_27-CR-22-8378_Order-Evaluation for Competency to Proceed (Rule 20.01)_2023-08-22_20251126185920.pdf","MCRO_27-CR-22-8378_Order-Evaluation for Competency to Proceed (Rule 20.01)_2023-08-22_20251126185920.pdf")</f>
        <v>MCRO_27-CR-22-8378_Order-Evaluation for Competency to Proceed (Rule 20.01)_2023-08-22_20251126185920.pdf</v>
      </c>
      <c r="H2189" s="7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2189" s="1" t="s">
        <v>3406</v>
      </c>
      <c r="L2189" s="2" t="s">
        <v>3412</v>
      </c>
      <c r="M2189" s="2" t="n">
        <v>5012</v>
      </c>
      <c r="S2189" s="2" t="n">
        <v>2740</v>
      </c>
      <c r="T2189" s="2" t="n">
        <v>180</v>
      </c>
    </row>
    <row r="2190" customFormat="false" ht="18.7" hidden="false" customHeight="true" outlineLevel="0" collapsed="false">
      <c r="A2190" s="1" t="n">
        <v>2189</v>
      </c>
      <c r="B2190" s="7" t="str">
        <f aca="false">HYPERLINK("https://mncourtfraud.com/file/27-CR-22-8378.pdf","27-CR-22-8378")</f>
        <v>27-CR-22-8378</v>
      </c>
      <c r="C2190" s="1" t="n">
        <v>1</v>
      </c>
      <c r="D2190" s="2" t="s">
        <v>12</v>
      </c>
      <c r="E2190" s="8" t="n">
        <v>45160</v>
      </c>
      <c r="F2190" s="2" t="s">
        <v>15</v>
      </c>
      <c r="G2190" s="7" t="str">
        <f aca="false">HYPERLINK("https://mncourtfraud.com/file/MCRO_27-CR-22-8378_Order-Evaluation for Competency to Proceed (Rule 20.01)_2023-08-22_20251126185920.pdf","MCRO_27-CR-22-8378_Order-Evaluation for Competency to Proceed (Rule 20.01)_2023-08-22_20251126185920.pdf")</f>
        <v>MCRO_27-CR-22-8378_Order-Evaluation for Competency to Proceed (Rule 20.01)_2023-08-22_20251126185920.pdf</v>
      </c>
      <c r="H2190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2190" s="1" t="s">
        <v>3413</v>
      </c>
      <c r="J2190" s="2" t="s">
        <v>3448</v>
      </c>
      <c r="K2190" s="2" t="s">
        <v>3448</v>
      </c>
      <c r="L2190" s="2" t="s">
        <v>3415</v>
      </c>
      <c r="M2190" s="2" t="n">
        <v>916684</v>
      </c>
    </row>
    <row r="2191" customFormat="false" ht="18.7" hidden="false" customHeight="true" outlineLevel="0" collapsed="false">
      <c r="A2191" s="1" t="n">
        <v>2190</v>
      </c>
      <c r="B2191" s="7" t="str">
        <f aca="false">HYPERLINK("https://mncourtfraud.com/file/27-CR-22-8378.pdf","27-CR-22-8378")</f>
        <v>27-CR-22-8378</v>
      </c>
      <c r="C2191" s="1" t="n">
        <v>1</v>
      </c>
      <c r="D2191" s="2" t="s">
        <v>12</v>
      </c>
      <c r="E2191" s="8" t="n">
        <v>45160</v>
      </c>
      <c r="F2191" s="2" t="s">
        <v>15</v>
      </c>
      <c r="G2191" s="7" t="str">
        <f aca="false">HYPERLINK("https://mncourtfraud.com/file/MCRO_27-CR-22-8378_Order-Evaluation for Competency to Proceed (Rule 20.01)_2023-08-22_20251126185920.pdf","MCRO_27-CR-22-8378_Order-Evaluation for Competency to Proceed (Rule 20.01)_2023-08-22_20251126185920.pdf")</f>
        <v>MCRO_27-CR-22-8378_Order-Evaluation for Competency to Proceed (Rule 20.01)_2023-08-22_20251126185920.pdf</v>
      </c>
      <c r="H2191" s="7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2191" s="1" t="s">
        <v>3406</v>
      </c>
      <c r="K2191" s="2" t="s">
        <v>3459</v>
      </c>
      <c r="L2191" s="2" t="s">
        <v>3408</v>
      </c>
      <c r="M2191" s="2" t="n">
        <v>5220</v>
      </c>
      <c r="O2191" s="2" t="s">
        <v>3460</v>
      </c>
      <c r="P2191" s="2" t="s">
        <v>3410</v>
      </c>
      <c r="S2191" s="2" t="n">
        <v>881</v>
      </c>
      <c r="T2191" s="2" t="n">
        <v>216</v>
      </c>
    </row>
    <row r="2192" customFormat="false" ht="18.7" hidden="false" customHeight="true" outlineLevel="0" collapsed="false">
      <c r="A2192" s="1" t="n">
        <v>2191</v>
      </c>
      <c r="B2192" s="7" t="str">
        <f aca="false">HYPERLINK("https://mncourtfraud.com/file/27-CR-22-8378.pdf","27-CR-22-8378")</f>
        <v>27-CR-22-8378</v>
      </c>
      <c r="C2192" s="1" t="n">
        <v>1</v>
      </c>
      <c r="D2192" s="2" t="s">
        <v>12</v>
      </c>
      <c r="E2192" s="8" t="n">
        <v>45412</v>
      </c>
      <c r="F2192" s="2" t="s">
        <v>15</v>
      </c>
      <c r="G2192" s="7" t="str">
        <f aca="false">HYPERLINK("https://mncourtfraud.com/file/MCRO_27-CR-22-8378_Order-Evaluation for Competency to Proceed (Rule 20.01)_2024-04-30_20251126185849.pdf","MCRO_27-CR-22-8378_Order-Evaluation for Competency to Proceed (Rule 20.01)_2024-04-30_20251126185849.pdf")</f>
        <v>MCRO_27-CR-22-8378_Order-Evaluation for Competency to Proceed (Rule 20.01)_2024-04-30_20251126185849.pdf</v>
      </c>
      <c r="H2192" s="7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2192" s="1" t="s">
        <v>3406</v>
      </c>
      <c r="L2192" s="2" t="s">
        <v>3412</v>
      </c>
      <c r="M2192" s="2" t="n">
        <v>154549</v>
      </c>
      <c r="S2192" s="2" t="n">
        <v>2560</v>
      </c>
      <c r="T2192" s="2" t="n">
        <v>3300</v>
      </c>
    </row>
    <row r="2193" customFormat="false" ht="18.7" hidden="false" customHeight="true" outlineLevel="0" collapsed="false">
      <c r="A2193" s="1" t="n">
        <v>2192</v>
      </c>
      <c r="B2193" s="7" t="str">
        <f aca="false">HYPERLINK("https://mncourtfraud.com/file/27-CR-22-8378.pdf","27-CR-22-8378")</f>
        <v>27-CR-22-8378</v>
      </c>
      <c r="C2193" s="1" t="n">
        <v>1</v>
      </c>
      <c r="D2193" s="2" t="s">
        <v>12</v>
      </c>
      <c r="E2193" s="8" t="n">
        <v>45412</v>
      </c>
      <c r="F2193" s="2" t="s">
        <v>15</v>
      </c>
      <c r="G2193" s="7" t="str">
        <f aca="false">HYPERLINK("https://mncourtfraud.com/file/MCRO_27-CR-22-8378_Order-Evaluation for Competency to Proceed (Rule 20.01)_2024-04-30_20251126185849.pdf","MCRO_27-CR-22-8378_Order-Evaluation for Competency to Proceed (Rule 20.01)_2024-04-30_20251126185849.pdf")</f>
        <v>MCRO_27-CR-22-8378_Order-Evaluation for Competency to Proceed (Rule 20.01)_2024-04-30_20251126185849.pdf</v>
      </c>
      <c r="H2193" s="7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2193" s="1" t="s">
        <v>3406</v>
      </c>
      <c r="L2193" s="2" t="s">
        <v>3412</v>
      </c>
      <c r="M2193" s="2" t="n">
        <v>180051</v>
      </c>
      <c r="S2193" s="2" t="n">
        <v>2560</v>
      </c>
      <c r="T2193" s="2" t="n">
        <v>3300</v>
      </c>
    </row>
    <row r="2194" customFormat="false" ht="18.7" hidden="false" customHeight="true" outlineLevel="0" collapsed="false">
      <c r="A2194" s="1" t="n">
        <v>2193</v>
      </c>
      <c r="B2194" s="7" t="str">
        <f aca="false">HYPERLINK("https://mncourtfraud.com/file/27-CR-22-8378.pdf","27-CR-22-8378")</f>
        <v>27-CR-22-8378</v>
      </c>
      <c r="C2194" s="1" t="n">
        <v>1</v>
      </c>
      <c r="D2194" s="2" t="s">
        <v>12</v>
      </c>
      <c r="E2194" s="8" t="n">
        <v>45412</v>
      </c>
      <c r="F2194" s="2" t="s">
        <v>24</v>
      </c>
      <c r="G2194" s="7" t="str">
        <f aca="false">HYPERLINK("https://mncourtfraud.com/file/MCRO_27-CR-22-8378_Order for Conditional Release_2024-04-30_20251126185838.pdf","MCRO_27-CR-22-8378_Order for Conditional Release_2024-04-30_20251126185838.pdf")</f>
        <v>MCRO_27-CR-22-8378_Order for Conditional Release_2024-04-30_20251126185838.pdf</v>
      </c>
      <c r="H2194" s="7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2194" s="1" t="s">
        <v>3406</v>
      </c>
      <c r="L2194" s="2" t="s">
        <v>3412</v>
      </c>
      <c r="M2194" s="2" t="n">
        <v>38726</v>
      </c>
      <c r="S2194" s="2" t="n">
        <v>2560</v>
      </c>
      <c r="T2194" s="2" t="n">
        <v>3300</v>
      </c>
    </row>
    <row r="2195" customFormat="false" ht="18.7" hidden="false" customHeight="true" outlineLevel="0" collapsed="false">
      <c r="A2195" s="1" t="n">
        <v>2194</v>
      </c>
      <c r="B2195" s="7" t="str">
        <f aca="false">HYPERLINK("https://mncourtfraud.com/file/27-CR-22-8378.pdf","27-CR-22-8378")</f>
        <v>27-CR-22-8378</v>
      </c>
      <c r="C2195" s="1" t="n">
        <v>1</v>
      </c>
      <c r="D2195" s="2" t="s">
        <v>12</v>
      </c>
      <c r="E2195" s="8" t="n">
        <v>45412</v>
      </c>
      <c r="F2195" s="2" t="s">
        <v>15</v>
      </c>
      <c r="G2195" s="7" t="str">
        <f aca="false">HYPERLINK("https://mncourtfraud.com/file/MCRO_27-CR-22-8378_Order-Evaluation for Competency to Proceed (Rule 20.01)_2024-04-30_20251126185849.pdf","MCRO_27-CR-22-8378_Order-Evaluation for Competency to Proceed (Rule 20.01)_2024-04-30_20251126185849.pdf")</f>
        <v>MCRO_27-CR-22-8378_Order-Evaluation for Competency to Proceed (Rule 20.01)_2024-04-30_20251126185849.pdf</v>
      </c>
      <c r="H2195" s="7" t="str">
        <f aca="false">HYPERLINK("https://mncourtfraud.com/file/4db7d2599119dc45c08adba3b9b2ba67e6a3d697261d3f95ca4c5b01777bcfbe.ttf","4db7d2599119dc45c08adba3b9b2ba67e6a3d697261d3f95ca4c5b01777bcfbe")</f>
        <v>4db7d2599119dc45c08adba3b9b2ba67e6a3d697261d3f95ca4c5b01777bcfbe</v>
      </c>
      <c r="I2195" s="1" t="s">
        <v>3413</v>
      </c>
      <c r="L2195" s="2" t="s">
        <v>3415</v>
      </c>
      <c r="M2195" s="2" t="n">
        <v>333576</v>
      </c>
    </row>
    <row r="2196" customFormat="false" ht="18.7" hidden="false" customHeight="true" outlineLevel="0" collapsed="false">
      <c r="A2196" s="1" t="n">
        <v>2195</v>
      </c>
      <c r="B2196" s="7" t="str">
        <f aca="false">HYPERLINK("https://mncourtfraud.com/file/27-CR-22-8378.pdf","27-CR-22-8378")</f>
        <v>27-CR-22-8378</v>
      </c>
      <c r="C2196" s="1" t="n">
        <v>1</v>
      </c>
      <c r="D2196" s="2" t="s">
        <v>12</v>
      </c>
      <c r="E2196" s="8" t="n">
        <v>45412</v>
      </c>
      <c r="F2196" s="2" t="s">
        <v>15</v>
      </c>
      <c r="G2196" s="7" t="str">
        <f aca="false">HYPERLINK("https://mncourtfraud.com/file/MCRO_27-CR-22-8378_Order-Evaluation for Competency to Proceed (Rule 20.01)_2024-04-30_20251126185849.pdf","MCRO_27-CR-22-8378_Order-Evaluation for Competency to Proceed (Rule 20.01)_2024-04-30_20251126185849.pdf")</f>
        <v>MCRO_27-CR-22-8378_Order-Evaluation for Competency to Proceed (Rule 20.01)_2024-04-30_20251126185849.pdf</v>
      </c>
      <c r="H2196" s="7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2196" s="1" t="s">
        <v>3406</v>
      </c>
      <c r="L2196" s="2" t="s">
        <v>3412</v>
      </c>
      <c r="M2196" s="2" t="n">
        <v>71271</v>
      </c>
      <c r="S2196" s="2" t="n">
        <v>2560</v>
      </c>
      <c r="T2196" s="2" t="n">
        <v>3300</v>
      </c>
    </row>
    <row r="2197" customFormat="false" ht="18.7" hidden="false" customHeight="true" outlineLevel="0" collapsed="false">
      <c r="A2197" s="1" t="n">
        <v>2196</v>
      </c>
      <c r="B2197" s="7" t="str">
        <f aca="false">HYPERLINK("https://mncourtfraud.com/file/27-CR-22-8378.pdf","27-CR-22-8378")</f>
        <v>27-CR-22-8378</v>
      </c>
      <c r="C2197" s="1" t="n">
        <v>1</v>
      </c>
      <c r="D2197" s="2" t="s">
        <v>12</v>
      </c>
      <c r="E2197" s="8" t="n">
        <v>45412</v>
      </c>
      <c r="F2197" s="2" t="s">
        <v>24</v>
      </c>
      <c r="G2197" s="7" t="str">
        <f aca="false">HYPERLINK("https://mncourtfraud.com/file/MCRO_27-CR-22-8378_Order for Conditional Release_2024-04-30_20251126185838.pdf","MCRO_27-CR-22-8378_Order for Conditional Release_2024-04-30_20251126185838.pdf")</f>
        <v>MCRO_27-CR-22-8378_Order for Conditional Release_2024-04-30_20251126185838.pdf</v>
      </c>
      <c r="H2197" s="7" t="str">
        <f aca="false">HYPERLINK("https://mncourtfraud.com/file/d5cf4f06aaee8f372e6af86dab12d75d131a3ba68ba6baeac4b7b514ef3e0b85.ttf","d5cf4f06aaee8f372e6af86dab12d75d131a3ba68ba6baeac4b7b514ef3e0b85")</f>
        <v>d5cf4f06aaee8f372e6af86dab12d75d131a3ba68ba6baeac4b7b514ef3e0b85</v>
      </c>
      <c r="I2197" s="1" t="s">
        <v>3413</v>
      </c>
      <c r="L2197" s="2" t="s">
        <v>3415</v>
      </c>
      <c r="M2197" s="2" t="n">
        <v>333576</v>
      </c>
    </row>
    <row r="2198" customFormat="false" ht="18.7" hidden="false" customHeight="true" outlineLevel="0" collapsed="false">
      <c r="A2198" s="1" t="n">
        <v>2197</v>
      </c>
      <c r="B2198" s="7" t="str">
        <f aca="false">HYPERLINK("https://mncourtfraud.com/file/27-CR-22-8378.pdf","27-CR-22-8378")</f>
        <v>27-CR-22-8378</v>
      </c>
      <c r="C2198" s="1" t="n">
        <v>1</v>
      </c>
      <c r="D2198" s="2" t="s">
        <v>12</v>
      </c>
      <c r="E2198" s="8" t="n">
        <v>45412</v>
      </c>
      <c r="F2198" s="2" t="s">
        <v>24</v>
      </c>
      <c r="G2198" s="7" t="str">
        <f aca="false">HYPERLINK("https://mncourtfraud.com/file/MCRO_27-CR-22-8378_Order for Conditional Release_2024-04-30_20251126185838.pdf","MCRO_27-CR-22-8378_Order for Conditional Release_2024-04-30_20251126185838.pdf")</f>
        <v>MCRO_27-CR-22-8378_Order for Conditional Release_2024-04-30_20251126185838.pdf</v>
      </c>
      <c r="H2198" s="7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2198" s="1" t="s">
        <v>3406</v>
      </c>
      <c r="L2198" s="2" t="s">
        <v>3412</v>
      </c>
      <c r="M2198" s="2" t="n">
        <v>195018</v>
      </c>
      <c r="S2198" s="2" t="n">
        <v>2560</v>
      </c>
      <c r="T2198" s="2" t="n">
        <v>3300</v>
      </c>
    </row>
    <row r="2199" customFormat="false" ht="18.7" hidden="false" customHeight="true" outlineLevel="0" collapsed="false">
      <c r="A2199" s="1" t="n">
        <v>2198</v>
      </c>
      <c r="B2199" s="7" t="str">
        <f aca="false">HYPERLINK("https://mncourtfraud.com/file/27-CR-22-9930.pdf","27-CR-22-9930")</f>
        <v>27-CR-22-9930</v>
      </c>
      <c r="C2199" s="1" t="n">
        <v>1</v>
      </c>
      <c r="D2199" s="2" t="s">
        <v>12</v>
      </c>
      <c r="E2199" s="8" t="n">
        <v>44761</v>
      </c>
      <c r="F2199" s="2" t="s">
        <v>15</v>
      </c>
      <c r="G2199" s="7" t="str">
        <f aca="false">HYPERLINK("https://mncourtfraud.com/file/MCRO_27-CR-22-9930_Order-Evaluation for Competency to Proceed (Rule 20.01)_2022-07-19_20251126190007.pdf","MCRO_27-CR-22-9930_Order-Evaluation for Competency to Proceed (Rule 20.01)_2022-07-19_20251126190007.pdf")</f>
        <v>MCRO_27-CR-22-9930_Order-Evaluation for Competency to Proceed (Rule 20.01)_2022-07-19_20251126190007.pdf</v>
      </c>
      <c r="H2199" s="7" t="str">
        <f aca="false">HYPERLINK("https://mncourtfraud.com/file/0d99ce1c86766d567d8765a4d807f3834791715457034c8ac17c745755a0ee2e.png","0d99ce1c86766d567d8765a4d807f3834791715457034c8ac17c745755a0ee2e")</f>
        <v>0d99ce1c86766d567d8765a4d807f3834791715457034c8ac17c745755a0ee2e</v>
      </c>
      <c r="I2199" s="1" t="s">
        <v>3406</v>
      </c>
      <c r="L2199" s="2" t="s">
        <v>3412</v>
      </c>
      <c r="M2199" s="2" t="n">
        <v>181526</v>
      </c>
      <c r="S2199" s="2" t="n">
        <v>3304</v>
      </c>
      <c r="T2199" s="2" t="n">
        <v>2550</v>
      </c>
    </row>
    <row r="2200" customFormat="false" ht="18.7" hidden="false" customHeight="true" outlineLevel="0" collapsed="false">
      <c r="A2200" s="1" t="n">
        <v>2199</v>
      </c>
      <c r="B2200" s="7" t="str">
        <f aca="false">HYPERLINK("https://mncourtfraud.com/file/27-CR-22-9930.pdf","27-CR-22-9930")</f>
        <v>27-CR-22-9930</v>
      </c>
      <c r="C2200" s="1" t="n">
        <v>1</v>
      </c>
      <c r="D2200" s="2" t="s">
        <v>12</v>
      </c>
      <c r="E2200" s="8" t="n">
        <v>44761</v>
      </c>
      <c r="F2200" s="2" t="s">
        <v>15</v>
      </c>
      <c r="G2200" s="7" t="str">
        <f aca="false">HYPERLINK("https://mncourtfraud.com/file/MCRO_27-CR-22-9930_Order-Evaluation for Competency to Proceed (Rule 20.01)_2022-07-19_20251126190007.pdf","MCRO_27-CR-22-9930_Order-Evaluation for Competency to Proceed (Rule 20.01)_2022-07-19_20251126190007.pdf")</f>
        <v>MCRO_27-CR-22-9930_Order-Evaluation for Competency to Proceed (Rule 20.01)_2022-07-19_20251126190007.pdf</v>
      </c>
      <c r="H2200" s="7" t="str">
        <f aca="false">HYPERLINK("https://mncourtfraud.com/file/c98c8baad1022c0211ad064c25bbedf4625c04b2297a7c839ba647c6660d1293.png","c98c8baad1022c0211ad064c25bbedf4625c04b2297a7c839ba647c6660d1293")</f>
        <v>c98c8baad1022c0211ad064c25bbedf4625c04b2297a7c839ba647c6660d1293</v>
      </c>
      <c r="I2200" s="1" t="s">
        <v>3406</v>
      </c>
      <c r="L2200" s="2" t="s">
        <v>3412</v>
      </c>
      <c r="M2200" s="2" t="n">
        <v>198067</v>
      </c>
      <c r="S2200" s="2" t="n">
        <v>3304</v>
      </c>
      <c r="T2200" s="2" t="n">
        <v>2550</v>
      </c>
    </row>
    <row r="2201" customFormat="false" ht="18.7" hidden="false" customHeight="true" outlineLevel="0" collapsed="false">
      <c r="A2201" s="1" t="n">
        <v>2200</v>
      </c>
      <c r="B2201" s="7" t="str">
        <f aca="false">HYPERLINK("https://mncourtfraud.com/file/27-CR-22-9930.pdf","27-CR-22-9930")</f>
        <v>27-CR-22-9930</v>
      </c>
      <c r="C2201" s="1" t="n">
        <v>1</v>
      </c>
      <c r="D2201" s="2" t="s">
        <v>12</v>
      </c>
      <c r="E2201" s="8" t="n">
        <v>44761</v>
      </c>
      <c r="F2201" s="2" t="s">
        <v>15</v>
      </c>
      <c r="G2201" s="7" t="str">
        <f aca="false">HYPERLINK("https://mncourtfraud.com/file/MCRO_27-CR-22-9930_Order-Evaluation for Competency to Proceed (Rule 20.01)_2022-07-19_20251126190007.pdf","MCRO_27-CR-22-9930_Order-Evaluation for Competency to Proceed (Rule 20.01)_2022-07-19_20251126190007.pdf")</f>
        <v>MCRO_27-CR-22-9930_Order-Evaluation for Competency to Proceed (Rule 20.01)_2022-07-19_20251126190007.pdf</v>
      </c>
      <c r="H2201" s="7" t="str">
        <f aca="false">HYPERLINK("https://mncourtfraud.com/file/ce3a09c5b18e46a7d95bc30202f29439160107f42bca0ad59c55ddd16135b47f.ttf","ce3a09c5b18e46a7d95bc30202f29439160107f42bca0ad59c55ddd16135b47f")</f>
        <v>ce3a09c5b18e46a7d95bc30202f29439160107f42bca0ad59c55ddd16135b47f</v>
      </c>
      <c r="I2201" s="1" t="s">
        <v>3413</v>
      </c>
      <c r="L2201" s="2" t="s">
        <v>3415</v>
      </c>
      <c r="M2201" s="2" t="n">
        <v>333576</v>
      </c>
    </row>
    <row r="2202" customFormat="false" ht="18.7" hidden="false" customHeight="true" outlineLevel="0" collapsed="false">
      <c r="A2202" s="1" t="n">
        <v>2201</v>
      </c>
      <c r="B2202" s="7" t="str">
        <f aca="false">HYPERLINK("https://mncourtfraud.com/file/27-CR-22-9930.pdf","27-CR-22-9930")</f>
        <v>27-CR-22-9930</v>
      </c>
      <c r="C2202" s="1" t="n">
        <v>1</v>
      </c>
      <c r="D2202" s="2" t="s">
        <v>12</v>
      </c>
      <c r="E2202" s="8" t="n">
        <v>44895</v>
      </c>
      <c r="F2202" s="2" t="s">
        <v>15</v>
      </c>
      <c r="G2202" s="7" t="str">
        <f aca="false">HYPERLINK("https://mncourtfraud.com/file/MCRO_27-CR-22-9930_Order-Evaluation for Competency to Proceed (Rule 20.01)_2022-11-30_20251126185959.pdf","MCRO_27-CR-22-9930_Order-Evaluation for Competency to Proceed (Rule 20.01)_2022-11-30_20251126185959.pdf")</f>
        <v>MCRO_27-CR-22-9930_Order-Evaluation for Competency to Proceed (Rule 20.01)_2022-11-30_20251126185959.pdf</v>
      </c>
      <c r="H2202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2202" s="1" t="s">
        <v>3413</v>
      </c>
      <c r="J2202" s="2" t="s">
        <v>3423</v>
      </c>
      <c r="K2202" s="2" t="s">
        <v>3423</v>
      </c>
      <c r="L2202" s="2" t="s">
        <v>3415</v>
      </c>
      <c r="M2202" s="2" t="n">
        <v>11088</v>
      </c>
    </row>
    <row r="2203" customFormat="false" ht="18.7" hidden="false" customHeight="true" outlineLevel="0" collapsed="false">
      <c r="A2203" s="1" t="n">
        <v>2202</v>
      </c>
      <c r="B2203" s="7" t="str">
        <f aca="false">HYPERLINK("https://mncourtfraud.com/file/27-CR-22-9930.pdf","27-CR-22-9930")</f>
        <v>27-CR-22-9930</v>
      </c>
      <c r="C2203" s="1" t="n">
        <v>1</v>
      </c>
      <c r="D2203" s="2" t="s">
        <v>12</v>
      </c>
      <c r="E2203" s="8" t="n">
        <v>44895</v>
      </c>
      <c r="F2203" s="2" t="s">
        <v>15</v>
      </c>
      <c r="G2203" s="7" t="str">
        <f aca="false">HYPERLINK("https://mncourtfraud.com/file/MCRO_27-CR-22-9930_Order-Evaluation for Competency to Proceed (Rule 20.01)_2022-11-30_20251126185959.pdf","MCRO_27-CR-22-9930_Order-Evaluation for Competency to Proceed (Rule 20.01)_2022-11-30_20251126185959.pdf")</f>
        <v>MCRO_27-CR-22-9930_Order-Evaluation for Competency to Proceed (Rule 20.01)_2022-11-30_20251126185959.pdf</v>
      </c>
      <c r="H2203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2203" s="1" t="s">
        <v>3413</v>
      </c>
      <c r="J2203" s="2" t="s">
        <v>3446</v>
      </c>
      <c r="K2203" s="2" t="s">
        <v>3446</v>
      </c>
      <c r="L2203" s="2" t="s">
        <v>3415</v>
      </c>
      <c r="M2203" s="2" t="n">
        <v>55072</v>
      </c>
      <c r="N2203" s="2" t="s">
        <v>3447</v>
      </c>
    </row>
    <row r="2204" customFormat="false" ht="18.7" hidden="false" customHeight="true" outlineLevel="0" collapsed="false">
      <c r="A2204" s="1" t="n">
        <v>2203</v>
      </c>
      <c r="B2204" s="7" t="str">
        <f aca="false">HYPERLINK("https://mncourtfraud.com/file/27-CR-22-9930.pdf","27-CR-22-9930")</f>
        <v>27-CR-22-9930</v>
      </c>
      <c r="C2204" s="1" t="n">
        <v>1</v>
      </c>
      <c r="D2204" s="2" t="s">
        <v>12</v>
      </c>
      <c r="E2204" s="8" t="n">
        <v>44895</v>
      </c>
      <c r="F2204" s="2" t="s">
        <v>15</v>
      </c>
      <c r="G2204" s="7" t="str">
        <f aca="false">HYPERLINK("https://mncourtfraud.com/file/MCRO_27-CR-22-9930_Order-Evaluation for Competency to Proceed (Rule 20.01)_2022-11-30_20251126185959.pdf","MCRO_27-CR-22-9930_Order-Evaluation for Competency to Proceed (Rule 20.01)_2022-11-30_20251126185959.pdf")</f>
        <v>MCRO_27-CR-22-9930_Order-Evaluation for Competency to Proceed (Rule 20.01)_2022-11-30_20251126185959.pdf</v>
      </c>
      <c r="H2204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2204" s="1" t="s">
        <v>3413</v>
      </c>
      <c r="J2204" s="2" t="s">
        <v>3424</v>
      </c>
      <c r="K2204" s="2" t="s">
        <v>3424</v>
      </c>
      <c r="L2204" s="2" t="s">
        <v>3415</v>
      </c>
      <c r="M2204" s="2" t="n">
        <v>14252</v>
      </c>
    </row>
    <row r="2205" customFormat="false" ht="18.7" hidden="false" customHeight="true" outlineLevel="0" collapsed="false">
      <c r="A2205" s="1" t="n">
        <v>2204</v>
      </c>
      <c r="B2205" s="7" t="str">
        <f aca="false">HYPERLINK("https://mncourtfraud.com/file/27-CR-22-9930.pdf","27-CR-22-9930")</f>
        <v>27-CR-22-9930</v>
      </c>
      <c r="C2205" s="1" t="n">
        <v>1</v>
      </c>
      <c r="D2205" s="2" t="s">
        <v>12</v>
      </c>
      <c r="E2205" s="8" t="n">
        <v>44895</v>
      </c>
      <c r="F2205" s="2" t="s">
        <v>15</v>
      </c>
      <c r="G2205" s="7" t="str">
        <f aca="false">HYPERLINK("https://mncourtfraud.com/file/MCRO_27-CR-22-9930_Order-Evaluation for Competency to Proceed (Rule 20.01)_2022-11-30_20251126185959.pdf","MCRO_27-CR-22-9930_Order-Evaluation for Competency to Proceed (Rule 20.01)_2022-11-30_20251126185959.pdf")</f>
        <v>MCRO_27-CR-22-9930_Order-Evaluation for Competency to Proceed (Rule 20.01)_2022-11-30_20251126185959.pdf</v>
      </c>
      <c r="H2205" s="7" t="str">
        <f aca="false">HYPERLINK("https://mncourtfraud.com/file/3aeb71e9d4066abaa6c12334a2c865f23728198f66b18ec11e9d7d59198e5764.png","3aeb71e9d4066abaa6c12334a2c865f23728198f66b18ec11e9d7d59198e5764")</f>
        <v>3aeb71e9d4066abaa6c12334a2c865f23728198f66b18ec11e9d7d59198e5764</v>
      </c>
      <c r="I2205" s="1" t="s">
        <v>3406</v>
      </c>
      <c r="K2205" s="2" t="s">
        <v>3420</v>
      </c>
      <c r="L2205" s="2" t="s">
        <v>3408</v>
      </c>
      <c r="M2205" s="2" t="n">
        <v>7306</v>
      </c>
      <c r="O2205" s="2" t="s">
        <v>3409</v>
      </c>
      <c r="P2205" s="2" t="s">
        <v>3410</v>
      </c>
      <c r="S2205" s="2" t="n">
        <v>319</v>
      </c>
      <c r="T2205" s="2" t="n">
        <v>105</v>
      </c>
    </row>
    <row r="2206" customFormat="false" ht="18.7" hidden="false" customHeight="true" outlineLevel="0" collapsed="false">
      <c r="A2206" s="1" t="n">
        <v>2205</v>
      </c>
      <c r="B2206" s="7" t="str">
        <f aca="false">HYPERLINK("https://mncourtfraud.com/file/27-CR-22-9930.pdf","27-CR-22-9930")</f>
        <v>27-CR-22-9930</v>
      </c>
      <c r="C2206" s="1" t="n">
        <v>1</v>
      </c>
      <c r="D2206" s="2" t="s">
        <v>12</v>
      </c>
      <c r="E2206" s="8" t="n">
        <v>44895</v>
      </c>
      <c r="F2206" s="2" t="s">
        <v>15</v>
      </c>
      <c r="G2206" s="7" t="str">
        <f aca="false">HYPERLINK("https://mncourtfraud.com/file/MCRO_27-CR-22-9930_Order-Evaluation for Competency to Proceed (Rule 20.01)_2022-11-30_20251126185959.pdf","MCRO_27-CR-22-9930_Order-Evaluation for Competency to Proceed (Rule 20.01)_2022-11-30_20251126185959.pdf")</f>
        <v>MCRO_27-CR-22-9930_Order-Evaluation for Competency to Proceed (Rule 20.01)_2022-11-30_20251126185959.pdf</v>
      </c>
      <c r="H2206" s="7" t="str">
        <f aca="false">HYPERLINK("https://mncourtfraud.com/file/677e52a3b8403ce87e338b0a2e31e6f8e5ddf03fb0ca7043a341135cf0255eaa.ttf","677e52a3b8403ce87e338b0a2e31e6f8e5ddf03fb0ca7043a341135cf0255eaa")</f>
        <v>677e52a3b8403ce87e338b0a2e31e6f8e5ddf03fb0ca7043a341135cf0255eaa</v>
      </c>
      <c r="I2206" s="1" t="s">
        <v>3413</v>
      </c>
      <c r="J2206" s="2" t="s">
        <v>3422</v>
      </c>
      <c r="K2206" s="2" t="s">
        <v>3422</v>
      </c>
      <c r="L2206" s="2" t="s">
        <v>3415</v>
      </c>
      <c r="M2206" s="2" t="n">
        <v>149960</v>
      </c>
    </row>
    <row r="2207" customFormat="false" ht="18.7" hidden="false" customHeight="true" outlineLevel="0" collapsed="false">
      <c r="A2207" s="1" t="n">
        <v>2206</v>
      </c>
      <c r="B2207" s="7" t="str">
        <f aca="false">HYPERLINK("https://mncourtfraud.com/file/27-CR-22-9930.pdf","27-CR-22-9930")</f>
        <v>27-CR-22-9930</v>
      </c>
      <c r="C2207" s="1" t="n">
        <v>1</v>
      </c>
      <c r="D2207" s="2" t="s">
        <v>12</v>
      </c>
      <c r="E2207" s="8" t="n">
        <v>44895</v>
      </c>
      <c r="F2207" s="2" t="s">
        <v>15</v>
      </c>
      <c r="G2207" s="7" t="str">
        <f aca="false">HYPERLINK("https://mncourtfraud.com/file/MCRO_27-CR-22-9930_Order-Evaluation for Competency to Proceed (Rule 20.01)_2022-11-30_20251126185959.pdf","MCRO_27-CR-22-9930_Order-Evaluation for Competency to Proceed (Rule 20.01)_2022-11-30_20251126185959.pdf")</f>
        <v>MCRO_27-CR-22-9930_Order-Evaluation for Competency to Proceed (Rule 20.01)_2022-11-30_20251126185959.pdf</v>
      </c>
      <c r="H2207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2207" s="1" t="s">
        <v>3413</v>
      </c>
      <c r="J2207" s="2" t="s">
        <v>3448</v>
      </c>
      <c r="K2207" s="2" t="s">
        <v>3448</v>
      </c>
      <c r="L2207" s="2" t="s">
        <v>3415</v>
      </c>
      <c r="M2207" s="2" t="n">
        <v>916684</v>
      </c>
    </row>
    <row r="2208" customFormat="false" ht="18.7" hidden="false" customHeight="true" outlineLevel="0" collapsed="false">
      <c r="A2208" s="1" t="n">
        <v>2207</v>
      </c>
      <c r="B2208" s="7" t="str">
        <f aca="false">HYPERLINK("https://mncourtfraud.com/file/27-CR-22-9930.pdf","27-CR-22-9930")</f>
        <v>27-CR-22-9930</v>
      </c>
      <c r="C2208" s="1" t="n">
        <v>1</v>
      </c>
      <c r="D2208" s="2" t="s">
        <v>12</v>
      </c>
      <c r="E2208" s="8" t="n">
        <v>44895</v>
      </c>
      <c r="F2208" s="2" t="s">
        <v>15</v>
      </c>
      <c r="G2208" s="7" t="str">
        <f aca="false">HYPERLINK("https://mncourtfraud.com/file/MCRO_27-CR-22-9930_Order-Evaluation for Competency to Proceed (Rule 20.01)_2022-11-30_20251126185959.pdf","MCRO_27-CR-22-9930_Order-Evaluation for Competency to Proceed (Rule 20.01)_2022-11-30_20251126185959.pdf")</f>
        <v>MCRO_27-CR-22-9930_Order-Evaluation for Competency to Proceed (Rule 20.01)_2022-11-30_20251126185959.pdf</v>
      </c>
      <c r="H2208" s="7" t="str">
        <f aca="false">HYPERLINK("https://mncourtfraud.com/file/d8e2b12e2fcd82073a73976384151944fa6e965ced582280549d4991a1dda3d9.png","d8e2b12e2fcd82073a73976384151944fa6e965ced582280549d4991a1dda3d9")</f>
        <v>d8e2b12e2fcd82073a73976384151944fa6e965ced582280549d4991a1dda3d9</v>
      </c>
      <c r="I2208" s="1" t="s">
        <v>3406</v>
      </c>
      <c r="K2208" s="2" t="s">
        <v>3425</v>
      </c>
      <c r="L2208" s="2" t="s">
        <v>3408</v>
      </c>
      <c r="M2208" s="2" t="n">
        <v>21225</v>
      </c>
      <c r="O2208" s="2" t="s">
        <v>3409</v>
      </c>
      <c r="P2208" s="2" t="s">
        <v>3410</v>
      </c>
      <c r="S2208" s="2" t="n">
        <v>319</v>
      </c>
      <c r="T2208" s="2" t="n">
        <v>105</v>
      </c>
    </row>
    <row r="2209" customFormat="false" ht="18.7" hidden="false" customHeight="true" outlineLevel="0" collapsed="false">
      <c r="A2209" s="1" t="n">
        <v>2208</v>
      </c>
      <c r="B2209" s="7" t="str">
        <f aca="false">HYPERLINK("https://mncourtfraud.com/file/27-CR-22-9930.pdf","27-CR-22-9930")</f>
        <v>27-CR-22-9930</v>
      </c>
      <c r="C2209" s="1" t="n">
        <v>1</v>
      </c>
      <c r="D2209" s="2" t="s">
        <v>12</v>
      </c>
      <c r="E2209" s="8" t="n">
        <v>44895</v>
      </c>
      <c r="F2209" s="2" t="s">
        <v>15</v>
      </c>
      <c r="G2209" s="7" t="str">
        <f aca="false">HYPERLINK("https://mncourtfraud.com/file/MCRO_27-CR-22-9930_Order-Evaluation for Competency to Proceed (Rule 20.01)_2022-11-30_20251126185959.pdf","MCRO_27-CR-22-9930_Order-Evaluation for Competency to Proceed (Rule 20.01)_2022-11-30_20251126185959.pdf")</f>
        <v>MCRO_27-CR-22-9930_Order-Evaluation for Competency to Proceed (Rule 20.01)_2022-11-30_20251126185959.pdf</v>
      </c>
      <c r="H2209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2209" s="1" t="s">
        <v>3413</v>
      </c>
      <c r="J2209" s="2" t="s">
        <v>3449</v>
      </c>
      <c r="K2209" s="2" t="s">
        <v>3449</v>
      </c>
      <c r="L2209" s="2" t="s">
        <v>3415</v>
      </c>
      <c r="M2209" s="2" t="n">
        <v>124664</v>
      </c>
    </row>
    <row r="2210" customFormat="false" ht="18.7" hidden="false" customHeight="true" outlineLevel="0" collapsed="false">
      <c r="A2210" s="1" t="n">
        <v>2209</v>
      </c>
      <c r="B2210" s="7" t="str">
        <f aca="false">HYPERLINK("https://mncourtfraud.com/file/27-CR-22-9930.pdf","27-CR-22-9930")</f>
        <v>27-CR-22-9930</v>
      </c>
      <c r="C2210" s="1" t="n">
        <v>1</v>
      </c>
      <c r="D2210" s="2" t="s">
        <v>12</v>
      </c>
      <c r="E2210" s="8" t="n">
        <v>44895</v>
      </c>
      <c r="F2210" s="2" t="s">
        <v>15</v>
      </c>
      <c r="G2210" s="7" t="str">
        <f aca="false">HYPERLINK("https://mncourtfraud.com/file/MCRO_27-CR-22-9930_Order-Evaluation for Competency to Proceed (Rule 20.01)_2022-11-30_20251126185959.pdf","MCRO_27-CR-22-9930_Order-Evaluation for Competency to Proceed (Rule 20.01)_2022-11-30_20251126185959.pdf")</f>
        <v>MCRO_27-CR-22-9930_Order-Evaluation for Competency to Proceed (Rule 20.01)_2022-11-30_20251126185959.pdf</v>
      </c>
      <c r="H2210" s="7" t="str">
        <f aca="false">HYPERLINK("https://mncourtfraud.com/file/e0cc6535a3aab6b56cc4754d553700f4df26eb74b2fe024648e311d8321cd14d.ttf","e0cc6535a3aab6b56cc4754d553700f4df26eb74b2fe024648e311d8321cd14d")</f>
        <v>e0cc6535a3aab6b56cc4754d553700f4df26eb74b2fe024648e311d8321cd14d</v>
      </c>
      <c r="I2210" s="1" t="s">
        <v>3413</v>
      </c>
      <c r="J2210" s="2" t="s">
        <v>3449</v>
      </c>
      <c r="K2210" s="2" t="s">
        <v>3449</v>
      </c>
      <c r="L2210" s="2" t="s">
        <v>3415</v>
      </c>
      <c r="M2210" s="2" t="n">
        <v>124664</v>
      </c>
    </row>
    <row r="2211" customFormat="false" ht="18.7" hidden="false" customHeight="true" outlineLevel="0" collapsed="false">
      <c r="A2211" s="1" t="n">
        <v>2210</v>
      </c>
      <c r="B2211" s="7" t="str">
        <f aca="false">HYPERLINK("https://mncourtfraud.com/file/27-CR-22-9930.pdf","27-CR-22-9930")</f>
        <v>27-CR-22-9930</v>
      </c>
      <c r="C2211" s="1" t="n">
        <v>1</v>
      </c>
      <c r="D2211" s="2" t="s">
        <v>12</v>
      </c>
      <c r="E2211" s="8" t="n">
        <v>45048</v>
      </c>
      <c r="F2211" s="2" t="s">
        <v>80</v>
      </c>
      <c r="G2211" s="7" t="str">
        <f aca="false">HYPERLINK("https://mncourtfraud.com/file/MCRO_27-CR-22-9930_Finding of Incompetency and Order_2023-05-02_20251126185948.pdf","MCRO_27-CR-22-9930_Finding of Incompetency and Order_2023-05-02_20251126185948.pdf")</f>
        <v>MCRO_27-CR-22-9930_Finding of Incompetency and Order_2023-05-02_20251126185948.pdf</v>
      </c>
      <c r="H2211" s="7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211" s="1" t="s">
        <v>3406</v>
      </c>
      <c r="L2211" s="2" t="s">
        <v>3412</v>
      </c>
      <c r="M2211" s="2" t="n">
        <v>3506</v>
      </c>
      <c r="S2211" s="2" t="n">
        <v>1410</v>
      </c>
      <c r="T2211" s="2" t="n">
        <v>150</v>
      </c>
    </row>
    <row r="2212" customFormat="false" ht="18.7" hidden="false" customHeight="true" outlineLevel="0" collapsed="false">
      <c r="A2212" s="1" t="n">
        <v>2211</v>
      </c>
      <c r="B2212" s="7" t="str">
        <f aca="false">HYPERLINK("https://mncourtfraud.com/file/27-CR-22-9930.pdf","27-CR-22-9930")</f>
        <v>27-CR-22-9930</v>
      </c>
      <c r="C2212" s="1" t="n">
        <v>1</v>
      </c>
      <c r="D2212" s="2" t="s">
        <v>12</v>
      </c>
      <c r="E2212" s="8" t="n">
        <v>45048</v>
      </c>
      <c r="F2212" s="2" t="s">
        <v>80</v>
      </c>
      <c r="G2212" s="7" t="str">
        <f aca="false">HYPERLINK("https://mncourtfraud.com/file/MCRO_27-CR-22-9930_Finding of Incompetency and Order_2023-05-02_20251126185948.pdf","MCRO_27-CR-22-9930_Finding of Incompetency and Order_2023-05-02_20251126185948.pdf")</f>
        <v>MCRO_27-CR-22-9930_Finding of Incompetency and Order_2023-05-02_20251126185948.pdf</v>
      </c>
      <c r="H2212" s="7" t="str">
        <f aca="false">HYPERLINK("https://mncourtfraud.com/file/18befca089509ee2fbaddf9c5b79bf5988523b22d2369743ed9a591b9fc3bdb6.ttf","18befca089509ee2fbaddf9c5b79bf5988523b22d2369743ed9a591b9fc3bdb6")</f>
        <v>18befca089509ee2fbaddf9c5b79bf5988523b22d2369743ed9a591b9fc3bdb6</v>
      </c>
      <c r="I2212" s="1" t="s">
        <v>3413</v>
      </c>
      <c r="J2212" s="2" t="s">
        <v>3421</v>
      </c>
      <c r="K2212" s="2" t="s">
        <v>3450</v>
      </c>
      <c r="L2212" s="2" t="s">
        <v>3415</v>
      </c>
      <c r="M2212" s="2" t="n">
        <v>115928</v>
      </c>
    </row>
    <row r="2213" customFormat="false" ht="18.7" hidden="false" customHeight="true" outlineLevel="0" collapsed="false">
      <c r="A2213" s="1" t="n">
        <v>2212</v>
      </c>
      <c r="B2213" s="7" t="str">
        <f aca="false">HYPERLINK("https://mncourtfraud.com/file/27-CR-22-9930.pdf","27-CR-22-9930")</f>
        <v>27-CR-22-9930</v>
      </c>
      <c r="C2213" s="1" t="n">
        <v>1</v>
      </c>
      <c r="D2213" s="2" t="s">
        <v>12</v>
      </c>
      <c r="E2213" s="8" t="n">
        <v>45048</v>
      </c>
      <c r="F2213" s="2" t="s">
        <v>80</v>
      </c>
      <c r="G2213" s="7" t="str">
        <f aca="false">HYPERLINK("https://mncourtfraud.com/file/MCRO_27-CR-22-9930_Finding of Incompetency and Order_2023-05-02_20251126185948.pdf","MCRO_27-CR-22-9930_Finding of Incompetency and Order_2023-05-02_20251126185948.pdf")</f>
        <v>MCRO_27-CR-22-9930_Finding of Incompetency and Order_2023-05-02_20251126185948.pdf</v>
      </c>
      <c r="H2213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2213" s="1" t="s">
        <v>3413</v>
      </c>
      <c r="J2213" s="2" t="s">
        <v>3446</v>
      </c>
      <c r="K2213" s="2" t="s">
        <v>3446</v>
      </c>
      <c r="L2213" s="2" t="s">
        <v>3415</v>
      </c>
      <c r="M2213" s="2" t="n">
        <v>55072</v>
      </c>
      <c r="N2213" s="2" t="s">
        <v>3447</v>
      </c>
    </row>
    <row r="2214" customFormat="false" ht="18.7" hidden="false" customHeight="true" outlineLevel="0" collapsed="false">
      <c r="A2214" s="1" t="n">
        <v>2213</v>
      </c>
      <c r="B2214" s="7" t="str">
        <f aca="false">HYPERLINK("https://mncourtfraud.com/file/27-CR-22-9930.pdf","27-CR-22-9930")</f>
        <v>27-CR-22-9930</v>
      </c>
      <c r="C2214" s="1" t="n">
        <v>1</v>
      </c>
      <c r="D2214" s="2" t="s">
        <v>12</v>
      </c>
      <c r="E2214" s="8" t="n">
        <v>45048</v>
      </c>
      <c r="F2214" s="2" t="s">
        <v>80</v>
      </c>
      <c r="G2214" s="7" t="str">
        <f aca="false">HYPERLINK("https://mncourtfraud.com/file/MCRO_27-CR-22-9930_Finding of Incompetency and Order_2023-05-02_20251126185948.pdf","MCRO_27-CR-22-9930_Finding of Incompetency and Order_2023-05-02_20251126185948.pdf")</f>
        <v>MCRO_27-CR-22-9930_Finding of Incompetency and Order_2023-05-02_20251126185948.pdf</v>
      </c>
      <c r="H2214" s="7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214" s="1" t="s">
        <v>3406</v>
      </c>
      <c r="K2214" s="2" t="s">
        <v>3451</v>
      </c>
      <c r="L2214" s="2" t="s">
        <v>3408</v>
      </c>
      <c r="M2214" s="2" t="n">
        <v>5295</v>
      </c>
      <c r="O2214" s="2" t="s">
        <v>3452</v>
      </c>
      <c r="P2214" s="2" t="s">
        <v>3410</v>
      </c>
      <c r="S2214" s="2" t="n">
        <v>833</v>
      </c>
      <c r="T2214" s="2" t="n">
        <v>186</v>
      </c>
    </row>
    <row r="2215" customFormat="false" ht="18.7" hidden="false" customHeight="true" outlineLevel="0" collapsed="false">
      <c r="A2215" s="1" t="n">
        <v>2214</v>
      </c>
      <c r="B2215" s="7" t="str">
        <f aca="false">HYPERLINK("https://mncourtfraud.com/file/27-CR-22-9930.pdf","27-CR-22-9930")</f>
        <v>27-CR-22-9930</v>
      </c>
      <c r="C2215" s="1" t="n">
        <v>1</v>
      </c>
      <c r="D2215" s="2" t="s">
        <v>12</v>
      </c>
      <c r="E2215" s="8" t="n">
        <v>45048</v>
      </c>
      <c r="F2215" s="2" t="s">
        <v>80</v>
      </c>
      <c r="G2215" s="7" t="str">
        <f aca="false">HYPERLINK("https://mncourtfraud.com/file/MCRO_27-CR-22-9930_Finding of Incompetency and Order_2023-05-02_20251126185948.pdf","MCRO_27-CR-22-9930_Finding of Incompetency and Order_2023-05-02_20251126185948.pdf")</f>
        <v>MCRO_27-CR-22-9930_Finding of Incompetency and Order_2023-05-02_20251126185948.pdf</v>
      </c>
      <c r="H2215" s="7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215" s="1" t="s">
        <v>3406</v>
      </c>
      <c r="K2215" s="2" t="s">
        <v>3453</v>
      </c>
      <c r="L2215" s="2" t="s">
        <v>3408</v>
      </c>
      <c r="M2215" s="2" t="n">
        <v>3442</v>
      </c>
      <c r="O2215" s="2" t="s">
        <v>3454</v>
      </c>
      <c r="P2215" s="2" t="s">
        <v>3410</v>
      </c>
      <c r="S2215" s="2" t="n">
        <v>857</v>
      </c>
      <c r="T2215" s="2" t="n">
        <v>184</v>
      </c>
    </row>
    <row r="2216" customFormat="false" ht="18.7" hidden="false" customHeight="true" outlineLevel="0" collapsed="false">
      <c r="A2216" s="1" t="n">
        <v>2215</v>
      </c>
      <c r="B2216" s="7" t="str">
        <f aca="false">HYPERLINK("https://mncourtfraud.com/file/27-CR-22-9930.pdf","27-CR-22-9930")</f>
        <v>27-CR-22-9930</v>
      </c>
      <c r="C2216" s="1" t="n">
        <v>1</v>
      </c>
      <c r="D2216" s="2" t="s">
        <v>12</v>
      </c>
      <c r="E2216" s="8" t="n">
        <v>45048</v>
      </c>
      <c r="F2216" s="2" t="s">
        <v>80</v>
      </c>
      <c r="G2216" s="7" t="str">
        <f aca="false">HYPERLINK("https://mncourtfraud.com/file/MCRO_27-CR-22-9930_Finding of Incompetency and Order_2023-05-02_20251126185948.pdf","MCRO_27-CR-22-9930_Finding of Incompetency and Order_2023-05-02_20251126185948.pdf")</f>
        <v>MCRO_27-CR-22-9930_Finding of Incompetency and Order_2023-05-02_20251126185948.pdf</v>
      </c>
      <c r="H2216" s="7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2216" s="1" t="s">
        <v>3406</v>
      </c>
      <c r="L2216" s="2" t="s">
        <v>3412</v>
      </c>
      <c r="M2216" s="2" t="n">
        <v>3824</v>
      </c>
      <c r="S2216" s="2" t="n">
        <v>1850</v>
      </c>
      <c r="T2216" s="2" t="n">
        <v>160</v>
      </c>
    </row>
    <row r="2217" customFormat="false" ht="18.7" hidden="false" customHeight="true" outlineLevel="0" collapsed="false">
      <c r="A2217" s="1" t="n">
        <v>2216</v>
      </c>
      <c r="B2217" s="7" t="str">
        <f aca="false">HYPERLINK("https://mncourtfraud.com/file/27-CR-22-9930.pdf","27-CR-22-9930")</f>
        <v>27-CR-22-9930</v>
      </c>
      <c r="C2217" s="1" t="n">
        <v>1</v>
      </c>
      <c r="D2217" s="2" t="s">
        <v>12</v>
      </c>
      <c r="E2217" s="8" t="n">
        <v>45048</v>
      </c>
      <c r="F2217" s="2" t="s">
        <v>80</v>
      </c>
      <c r="G2217" s="7" t="str">
        <f aca="false">HYPERLINK("https://mncourtfraud.com/file/MCRO_27-CR-22-9930_Finding of Incompetency and Order_2023-05-02_20251126185948.pdf","MCRO_27-CR-22-9930_Finding of Incompetency and Order_2023-05-02_20251126185948.pdf")</f>
        <v>MCRO_27-CR-22-9930_Finding of Incompetency and Order_2023-05-02_20251126185948.pdf</v>
      </c>
      <c r="H2217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2217" s="1" t="s">
        <v>3413</v>
      </c>
      <c r="J2217" s="2" t="s">
        <v>3448</v>
      </c>
      <c r="K2217" s="2" t="s">
        <v>3448</v>
      </c>
      <c r="L2217" s="2" t="s">
        <v>3415</v>
      </c>
      <c r="M2217" s="2" t="n">
        <v>916684</v>
      </c>
    </row>
    <row r="2218" customFormat="false" ht="18.7" hidden="false" customHeight="true" outlineLevel="0" collapsed="false">
      <c r="A2218" s="1" t="n">
        <v>2217</v>
      </c>
      <c r="B2218" s="7" t="str">
        <f aca="false">HYPERLINK("https://mncourtfraud.com/file/27-CR-23-1583.pdf","27-CR-23-1583")</f>
        <v>27-CR-23-1583</v>
      </c>
      <c r="C2218" s="1" t="n">
        <v>1</v>
      </c>
      <c r="D2218" s="2" t="s">
        <v>12</v>
      </c>
      <c r="E2218" s="8" t="n">
        <v>45048</v>
      </c>
      <c r="F2218" s="2" t="s">
        <v>80</v>
      </c>
      <c r="G2218" s="7" t="str">
        <f aca="false">HYPERLINK("https://mncourtfraud.com/file/MCRO_27-CR-23-1583_Finding of Incompetency and Order_2023-05-02_20251126190033.pdf","MCRO_27-CR-23-1583_Finding of Incompetency and Order_2023-05-02_20251126190033.pdf")</f>
        <v>MCRO_27-CR-23-1583_Finding of Incompetency and Order_2023-05-02_20251126190033.pdf</v>
      </c>
      <c r="H2218" s="7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218" s="1" t="s">
        <v>3406</v>
      </c>
      <c r="L2218" s="2" t="s">
        <v>3412</v>
      </c>
      <c r="M2218" s="2" t="n">
        <v>3506</v>
      </c>
      <c r="S2218" s="2" t="n">
        <v>1410</v>
      </c>
      <c r="T2218" s="2" t="n">
        <v>150</v>
      </c>
    </row>
    <row r="2219" customFormat="false" ht="18.7" hidden="false" customHeight="true" outlineLevel="0" collapsed="false">
      <c r="A2219" s="1" t="n">
        <v>2218</v>
      </c>
      <c r="B2219" s="7" t="str">
        <f aca="false">HYPERLINK("https://mncourtfraud.com/file/27-CR-23-1583.pdf","27-CR-23-1583")</f>
        <v>27-CR-23-1583</v>
      </c>
      <c r="C2219" s="1" t="n">
        <v>1</v>
      </c>
      <c r="D2219" s="2" t="s">
        <v>12</v>
      </c>
      <c r="E2219" s="8" t="n">
        <v>45048</v>
      </c>
      <c r="F2219" s="2" t="s">
        <v>80</v>
      </c>
      <c r="G2219" s="7" t="str">
        <f aca="false">HYPERLINK("https://mncourtfraud.com/file/MCRO_27-CR-23-1583_Finding of Incompetency and Order_2023-05-02_20251126190033.pdf","MCRO_27-CR-23-1583_Finding of Incompetency and Order_2023-05-02_20251126190033.pdf")</f>
        <v>MCRO_27-CR-23-1583_Finding of Incompetency and Order_2023-05-02_20251126190033.pdf</v>
      </c>
      <c r="H2219" s="7" t="str">
        <f aca="false">HYPERLINK("https://mncourtfraud.com/file/18befca089509ee2fbaddf9c5b79bf5988523b22d2369743ed9a591b9fc3bdb6.ttf","18befca089509ee2fbaddf9c5b79bf5988523b22d2369743ed9a591b9fc3bdb6")</f>
        <v>18befca089509ee2fbaddf9c5b79bf5988523b22d2369743ed9a591b9fc3bdb6</v>
      </c>
      <c r="I2219" s="1" t="s">
        <v>3413</v>
      </c>
      <c r="J2219" s="2" t="s">
        <v>3421</v>
      </c>
      <c r="K2219" s="2" t="s">
        <v>3450</v>
      </c>
      <c r="L2219" s="2" t="s">
        <v>3415</v>
      </c>
      <c r="M2219" s="2" t="n">
        <v>115928</v>
      </c>
    </row>
    <row r="2220" customFormat="false" ht="18.7" hidden="false" customHeight="true" outlineLevel="0" collapsed="false">
      <c r="A2220" s="1" t="n">
        <v>2219</v>
      </c>
      <c r="B2220" s="7" t="str">
        <f aca="false">HYPERLINK("https://mncourtfraud.com/file/27-CR-23-1583.pdf","27-CR-23-1583")</f>
        <v>27-CR-23-1583</v>
      </c>
      <c r="C2220" s="1" t="n">
        <v>1</v>
      </c>
      <c r="D2220" s="2" t="s">
        <v>12</v>
      </c>
      <c r="E2220" s="8" t="n">
        <v>45048</v>
      </c>
      <c r="F2220" s="2" t="s">
        <v>80</v>
      </c>
      <c r="G2220" s="7" t="str">
        <f aca="false">HYPERLINK("https://mncourtfraud.com/file/MCRO_27-CR-23-1583_Finding of Incompetency and Order_2023-05-02_20251126190033.pdf","MCRO_27-CR-23-1583_Finding of Incompetency and Order_2023-05-02_20251126190033.pdf")</f>
        <v>MCRO_27-CR-23-1583_Finding of Incompetency and Order_2023-05-02_20251126190033.pdf</v>
      </c>
      <c r="H2220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2220" s="1" t="s">
        <v>3413</v>
      </c>
      <c r="J2220" s="2" t="s">
        <v>3446</v>
      </c>
      <c r="K2220" s="2" t="s">
        <v>3446</v>
      </c>
      <c r="L2220" s="2" t="s">
        <v>3415</v>
      </c>
      <c r="M2220" s="2" t="n">
        <v>55072</v>
      </c>
      <c r="N2220" s="2" t="s">
        <v>3447</v>
      </c>
    </row>
    <row r="2221" customFormat="false" ht="18.7" hidden="false" customHeight="true" outlineLevel="0" collapsed="false">
      <c r="A2221" s="1" t="n">
        <v>2220</v>
      </c>
      <c r="B2221" s="7" t="str">
        <f aca="false">HYPERLINK("https://mncourtfraud.com/file/27-CR-23-1583.pdf","27-CR-23-1583")</f>
        <v>27-CR-23-1583</v>
      </c>
      <c r="C2221" s="1" t="n">
        <v>1</v>
      </c>
      <c r="D2221" s="2" t="s">
        <v>12</v>
      </c>
      <c r="E2221" s="8" t="n">
        <v>45048</v>
      </c>
      <c r="F2221" s="2" t="s">
        <v>80</v>
      </c>
      <c r="G2221" s="7" t="str">
        <f aca="false">HYPERLINK("https://mncourtfraud.com/file/MCRO_27-CR-23-1583_Finding of Incompetency and Order_2023-05-02_20251126190033.pdf","MCRO_27-CR-23-1583_Finding of Incompetency and Order_2023-05-02_20251126190033.pdf")</f>
        <v>MCRO_27-CR-23-1583_Finding of Incompetency and Order_2023-05-02_20251126190033.pdf</v>
      </c>
      <c r="H2221" s="7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221" s="1" t="s">
        <v>3406</v>
      </c>
      <c r="K2221" s="2" t="s">
        <v>3451</v>
      </c>
      <c r="L2221" s="2" t="s">
        <v>3408</v>
      </c>
      <c r="M2221" s="2" t="n">
        <v>5295</v>
      </c>
      <c r="O2221" s="2" t="s">
        <v>3452</v>
      </c>
      <c r="P2221" s="2" t="s">
        <v>3410</v>
      </c>
      <c r="S2221" s="2" t="n">
        <v>833</v>
      </c>
      <c r="T2221" s="2" t="n">
        <v>186</v>
      </c>
    </row>
    <row r="2222" customFormat="false" ht="18.7" hidden="false" customHeight="true" outlineLevel="0" collapsed="false">
      <c r="A2222" s="1" t="n">
        <v>2221</v>
      </c>
      <c r="B2222" s="7" t="str">
        <f aca="false">HYPERLINK("https://mncourtfraud.com/file/27-CR-23-1583.pdf","27-CR-23-1583")</f>
        <v>27-CR-23-1583</v>
      </c>
      <c r="C2222" s="1" t="n">
        <v>1</v>
      </c>
      <c r="D2222" s="2" t="s">
        <v>12</v>
      </c>
      <c r="E2222" s="8" t="n">
        <v>45048</v>
      </c>
      <c r="F2222" s="2" t="s">
        <v>80</v>
      </c>
      <c r="G2222" s="7" t="str">
        <f aca="false">HYPERLINK("https://mncourtfraud.com/file/MCRO_27-CR-23-1583_Finding of Incompetency and Order_2023-05-02_20251126190033.pdf","MCRO_27-CR-23-1583_Finding of Incompetency and Order_2023-05-02_20251126190033.pdf")</f>
        <v>MCRO_27-CR-23-1583_Finding of Incompetency and Order_2023-05-02_20251126190033.pdf</v>
      </c>
      <c r="H2222" s="7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222" s="1" t="s">
        <v>3406</v>
      </c>
      <c r="K2222" s="2" t="s">
        <v>3453</v>
      </c>
      <c r="L2222" s="2" t="s">
        <v>3408</v>
      </c>
      <c r="M2222" s="2" t="n">
        <v>3442</v>
      </c>
      <c r="O2222" s="2" t="s">
        <v>3454</v>
      </c>
      <c r="P2222" s="2" t="s">
        <v>3410</v>
      </c>
      <c r="S2222" s="2" t="n">
        <v>857</v>
      </c>
      <c r="T2222" s="2" t="n">
        <v>184</v>
      </c>
    </row>
    <row r="2223" customFormat="false" ht="18.7" hidden="false" customHeight="true" outlineLevel="0" collapsed="false">
      <c r="A2223" s="1" t="n">
        <v>2222</v>
      </c>
      <c r="B2223" s="7" t="str">
        <f aca="false">HYPERLINK("https://mncourtfraud.com/file/27-CR-23-1583.pdf","27-CR-23-1583")</f>
        <v>27-CR-23-1583</v>
      </c>
      <c r="C2223" s="1" t="n">
        <v>1</v>
      </c>
      <c r="D2223" s="2" t="s">
        <v>12</v>
      </c>
      <c r="E2223" s="8" t="n">
        <v>45048</v>
      </c>
      <c r="F2223" s="2" t="s">
        <v>80</v>
      </c>
      <c r="G2223" s="7" t="str">
        <f aca="false">HYPERLINK("https://mncourtfraud.com/file/MCRO_27-CR-23-1583_Finding of Incompetency and Order_2023-05-02_20251126190033.pdf","MCRO_27-CR-23-1583_Finding of Incompetency and Order_2023-05-02_20251126190033.pdf")</f>
        <v>MCRO_27-CR-23-1583_Finding of Incompetency and Order_2023-05-02_20251126190033.pdf</v>
      </c>
      <c r="H2223" s="7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2223" s="1" t="s">
        <v>3406</v>
      </c>
      <c r="L2223" s="2" t="s">
        <v>3412</v>
      </c>
      <c r="M2223" s="2" t="n">
        <v>3824</v>
      </c>
      <c r="S2223" s="2" t="n">
        <v>1850</v>
      </c>
      <c r="T2223" s="2" t="n">
        <v>160</v>
      </c>
    </row>
    <row r="2224" customFormat="false" ht="18.7" hidden="false" customHeight="true" outlineLevel="0" collapsed="false">
      <c r="A2224" s="1" t="n">
        <v>2223</v>
      </c>
      <c r="B2224" s="7" t="str">
        <f aca="false">HYPERLINK("https://mncourtfraud.com/file/27-CR-23-1583.pdf","27-CR-23-1583")</f>
        <v>27-CR-23-1583</v>
      </c>
      <c r="C2224" s="1" t="n">
        <v>1</v>
      </c>
      <c r="D2224" s="2" t="s">
        <v>12</v>
      </c>
      <c r="E2224" s="8" t="n">
        <v>45048</v>
      </c>
      <c r="F2224" s="2" t="s">
        <v>80</v>
      </c>
      <c r="G2224" s="7" t="str">
        <f aca="false">HYPERLINK("https://mncourtfraud.com/file/MCRO_27-CR-23-1583_Finding of Incompetency and Order_2023-05-02_20251126190033.pdf","MCRO_27-CR-23-1583_Finding of Incompetency and Order_2023-05-02_20251126190033.pdf")</f>
        <v>MCRO_27-CR-23-1583_Finding of Incompetency and Order_2023-05-02_20251126190033.pdf</v>
      </c>
      <c r="H2224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2224" s="1" t="s">
        <v>3413</v>
      </c>
      <c r="J2224" s="2" t="s">
        <v>3448</v>
      </c>
      <c r="K2224" s="2" t="s">
        <v>3448</v>
      </c>
      <c r="L2224" s="2" t="s">
        <v>3415</v>
      </c>
      <c r="M2224" s="2" t="n">
        <v>916684</v>
      </c>
    </row>
    <row r="2225" customFormat="false" ht="18.7" hidden="false" customHeight="true" outlineLevel="0" collapsed="false">
      <c r="A2225" s="1" t="n">
        <v>2224</v>
      </c>
      <c r="B2225" s="7" t="str">
        <f aca="false">HYPERLINK("https://mncourtfraud.com/file/27-CR-23-1583.pdf","27-CR-23-1583")</f>
        <v>27-CR-23-1583</v>
      </c>
      <c r="C2225" s="1" t="n">
        <v>1</v>
      </c>
      <c r="D2225" s="2" t="s">
        <v>12</v>
      </c>
      <c r="E2225" s="8" t="n">
        <v>45093</v>
      </c>
      <c r="F2225" s="2" t="s">
        <v>82</v>
      </c>
      <c r="G2225" s="7" t="str">
        <f aca="false">HYPERLINK("https://mncourtfraud.com/file/MCRO_27-CR-23-1583_Notice of Case Reassignment_2023-06-16_20251126190045.pdf","MCRO_27-CR-23-1583_Notice of Case Reassignment_2023-06-16_20251126190045.pdf")</f>
        <v>MCRO_27-CR-23-1583_Notice of Case Reassignment_2023-06-16_20251126190045.pdf</v>
      </c>
      <c r="H2225" s="7" t="str">
        <f aca="false">HYPERLINK("https://mncourtfraud.com/file/1fd1136a5ae69c0e5068fedf111533c283fb06da71a1aebe96b41cad9a15bb33.ttf","1fd1136a5ae69c0e5068fedf111533c283fb06da71a1aebe96b41cad9a15bb33")</f>
        <v>1fd1136a5ae69c0e5068fedf111533c283fb06da71a1aebe96b41cad9a15bb33</v>
      </c>
      <c r="I2225" s="1" t="s">
        <v>3413</v>
      </c>
      <c r="J2225" s="2" t="s">
        <v>3455</v>
      </c>
      <c r="K2225" s="2" t="s">
        <v>3455</v>
      </c>
      <c r="L2225" s="2" t="s">
        <v>3415</v>
      </c>
      <c r="M2225" s="2" t="n">
        <v>96348</v>
      </c>
      <c r="N2225" s="2" t="s">
        <v>3456</v>
      </c>
    </row>
    <row r="2226" customFormat="false" ht="18.7" hidden="false" customHeight="true" outlineLevel="0" collapsed="false">
      <c r="A2226" s="1" t="n">
        <v>2225</v>
      </c>
      <c r="B2226" s="7" t="str">
        <f aca="false">HYPERLINK("https://mncourtfraud.com/file/27-CR-23-1583.pdf","27-CR-23-1583")</f>
        <v>27-CR-23-1583</v>
      </c>
      <c r="C2226" s="1" t="n">
        <v>1</v>
      </c>
      <c r="D2226" s="2" t="s">
        <v>12</v>
      </c>
      <c r="E2226" s="8" t="n">
        <v>45093</v>
      </c>
      <c r="F2226" s="2" t="s">
        <v>82</v>
      </c>
      <c r="G2226" s="7" t="str">
        <f aca="false">HYPERLINK("https://mncourtfraud.com/file/MCRO_27-CR-23-1583_Notice of Case Reassignment_2023-06-16_20251126190045.pdf","MCRO_27-CR-23-1583_Notice of Case Reassignment_2023-06-16_20251126190045.pdf")</f>
        <v>MCRO_27-CR-23-1583_Notice of Case Reassignment_2023-06-16_20251126190045.pdf</v>
      </c>
      <c r="H2226" s="7" t="str">
        <f aca="false">HYPERLINK("https://mncourtfraud.com/file/4b0b043cb476134a2e47a5f4c233d3d0f7a52a3b063b8831356383f89fcd1118.ttf","4b0b043cb476134a2e47a5f4c233d3d0f7a52a3b063b8831356383f89fcd1118")</f>
        <v>4b0b043cb476134a2e47a5f4c233d3d0f7a52a3b063b8831356383f89fcd1118</v>
      </c>
      <c r="I2226" s="1" t="s">
        <v>3413</v>
      </c>
      <c r="J2226" s="2" t="s">
        <v>3457</v>
      </c>
      <c r="K2226" s="2" t="s">
        <v>3457</v>
      </c>
      <c r="L2226" s="2" t="s">
        <v>3415</v>
      </c>
      <c r="M2226" s="2" t="n">
        <v>79764</v>
      </c>
      <c r="N2226" s="2" t="s">
        <v>3458</v>
      </c>
    </row>
    <row r="2227" customFormat="false" ht="18.7" hidden="false" customHeight="true" outlineLevel="0" collapsed="false">
      <c r="A2227" s="1" t="n">
        <v>2226</v>
      </c>
      <c r="B2227" s="7" t="str">
        <f aca="false">HYPERLINK("https://mncourtfraud.com/file/27-CR-23-1583.pdf","27-CR-23-1583")</f>
        <v>27-CR-23-1583</v>
      </c>
      <c r="C2227" s="1" t="n">
        <v>1</v>
      </c>
      <c r="D2227" s="2" t="s">
        <v>12</v>
      </c>
      <c r="E2227" s="8" t="n">
        <v>45160</v>
      </c>
      <c r="F2227" s="2" t="s">
        <v>15</v>
      </c>
      <c r="G2227" s="7" t="str">
        <f aca="false">HYPERLINK("https://mncourtfraud.com/file/MCRO_27-CR-23-1583_Order-Evaluation for Competency to Proceed (Rule 20.01)_2023-08-22_20251126190123.pdf","MCRO_27-CR-23-1583_Order-Evaluation for Competency to Proceed (Rule 20.01)_2023-08-22_20251126190123.pdf")</f>
        <v>MCRO_27-CR-23-1583_Order-Evaluation for Competency to Proceed (Rule 20.01)_2023-08-22_20251126190123.pdf</v>
      </c>
      <c r="H2227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2227" s="1" t="s">
        <v>3413</v>
      </c>
      <c r="J2227" s="2" t="s">
        <v>3449</v>
      </c>
      <c r="K2227" s="2" t="s">
        <v>3449</v>
      </c>
      <c r="L2227" s="2" t="s">
        <v>3415</v>
      </c>
      <c r="M2227" s="2" t="n">
        <v>125504</v>
      </c>
    </row>
    <row r="2228" customFormat="false" ht="18.7" hidden="false" customHeight="true" outlineLevel="0" collapsed="false">
      <c r="A2228" s="1" t="n">
        <v>2227</v>
      </c>
      <c r="B2228" s="7" t="str">
        <f aca="false">HYPERLINK("https://mncourtfraud.com/file/27-CR-23-1583.pdf","27-CR-23-1583")</f>
        <v>27-CR-23-1583</v>
      </c>
      <c r="C2228" s="1" t="n">
        <v>1</v>
      </c>
      <c r="D2228" s="2" t="s">
        <v>12</v>
      </c>
      <c r="E2228" s="8" t="n">
        <v>45160</v>
      </c>
      <c r="F2228" s="2" t="s">
        <v>15</v>
      </c>
      <c r="G2228" s="7" t="str">
        <f aca="false">HYPERLINK("https://mncourtfraud.com/file/MCRO_27-CR-23-1583_Order-Evaluation for Competency to Proceed (Rule 20.01)_2023-08-22_20251126190123.pdf","MCRO_27-CR-23-1583_Order-Evaluation for Competency to Proceed (Rule 20.01)_2023-08-22_20251126190123.pdf")</f>
        <v>MCRO_27-CR-23-1583_Order-Evaluation for Competency to Proceed (Rule 20.01)_2023-08-22_20251126190123.pdf</v>
      </c>
      <c r="H2228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2228" s="1" t="s">
        <v>3413</v>
      </c>
      <c r="J2228" s="2" t="s">
        <v>3449</v>
      </c>
      <c r="K2228" s="2" t="s">
        <v>3449</v>
      </c>
      <c r="L2228" s="2" t="s">
        <v>3415</v>
      </c>
      <c r="M2228" s="2" t="n">
        <v>125504</v>
      </c>
    </row>
    <row r="2229" customFormat="false" ht="18.7" hidden="false" customHeight="true" outlineLevel="0" collapsed="false">
      <c r="A2229" s="1" t="n">
        <v>2228</v>
      </c>
      <c r="B2229" s="7" t="str">
        <f aca="false">HYPERLINK("https://mncourtfraud.com/file/27-CR-23-1583.pdf","27-CR-23-1583")</f>
        <v>27-CR-23-1583</v>
      </c>
      <c r="C2229" s="1" t="n">
        <v>1</v>
      </c>
      <c r="D2229" s="2" t="s">
        <v>12</v>
      </c>
      <c r="E2229" s="8" t="n">
        <v>45160</v>
      </c>
      <c r="F2229" s="2" t="s">
        <v>15</v>
      </c>
      <c r="G2229" s="7" t="str">
        <f aca="false">HYPERLINK("https://mncourtfraud.com/file/MCRO_27-CR-23-1583_Order-Evaluation for Competency to Proceed (Rule 20.01)_2023-08-22_20251126190123.pdf","MCRO_27-CR-23-1583_Order-Evaluation for Competency to Proceed (Rule 20.01)_2023-08-22_20251126190123.pdf")</f>
        <v>MCRO_27-CR-23-1583_Order-Evaluation for Competency to Proceed (Rule 20.01)_2023-08-22_20251126190123.pdf</v>
      </c>
      <c r="H2229" s="7" t="str">
        <f aca="false">HYPERLINK("https://mncourtfraud.com/file/0174a154b1dd2c8824c0108a525fa6ced84bf8b7d2fc9696a847700a4f83bb3b.ttf","0174a154b1dd2c8824c0108a525fa6ced84bf8b7d2fc9696a847700a4f83bb3b")</f>
        <v>0174a154b1dd2c8824c0108a525fa6ced84bf8b7d2fc9696a847700a4f83bb3b</v>
      </c>
      <c r="I2229" s="1" t="s">
        <v>3413</v>
      </c>
      <c r="J2229" s="2" t="s">
        <v>3422</v>
      </c>
      <c r="K2229" s="2" t="s">
        <v>3422</v>
      </c>
      <c r="L2229" s="2" t="s">
        <v>3415</v>
      </c>
      <c r="M2229" s="2" t="n">
        <v>101216</v>
      </c>
    </row>
    <row r="2230" customFormat="false" ht="18.7" hidden="false" customHeight="true" outlineLevel="0" collapsed="false">
      <c r="A2230" s="1" t="n">
        <v>2229</v>
      </c>
      <c r="B2230" s="7" t="str">
        <f aca="false">HYPERLINK("https://mncourtfraud.com/file/27-CR-23-1583.pdf","27-CR-23-1583")</f>
        <v>27-CR-23-1583</v>
      </c>
      <c r="C2230" s="1" t="n">
        <v>1</v>
      </c>
      <c r="D2230" s="2" t="s">
        <v>12</v>
      </c>
      <c r="E2230" s="8" t="n">
        <v>45160</v>
      </c>
      <c r="F2230" s="2" t="s">
        <v>15</v>
      </c>
      <c r="G2230" s="7" t="str">
        <f aca="false">HYPERLINK("https://mncourtfraud.com/file/MCRO_27-CR-23-1583_Order-Evaluation for Competency to Proceed (Rule 20.01)_2023-08-22_20251126190123.pdf","MCRO_27-CR-23-1583_Order-Evaluation for Competency to Proceed (Rule 20.01)_2023-08-22_20251126190123.pdf")</f>
        <v>MCRO_27-CR-23-1583_Order-Evaluation for Competency to Proceed (Rule 20.01)_2023-08-22_20251126190123.pdf</v>
      </c>
      <c r="H2230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2230" s="1" t="s">
        <v>3413</v>
      </c>
      <c r="J2230" s="2" t="s">
        <v>3423</v>
      </c>
      <c r="K2230" s="2" t="s">
        <v>3423</v>
      </c>
      <c r="L2230" s="2" t="s">
        <v>3415</v>
      </c>
      <c r="M2230" s="2" t="n">
        <v>11088</v>
      </c>
    </row>
    <row r="2231" customFormat="false" ht="18.7" hidden="false" customHeight="true" outlineLevel="0" collapsed="false">
      <c r="A2231" s="1" t="n">
        <v>2230</v>
      </c>
      <c r="B2231" s="7" t="str">
        <f aca="false">HYPERLINK("https://mncourtfraud.com/file/27-CR-23-1583.pdf","27-CR-23-1583")</f>
        <v>27-CR-23-1583</v>
      </c>
      <c r="C2231" s="1" t="n">
        <v>1</v>
      </c>
      <c r="D2231" s="2" t="s">
        <v>12</v>
      </c>
      <c r="E2231" s="8" t="n">
        <v>45160</v>
      </c>
      <c r="F2231" s="2" t="s">
        <v>15</v>
      </c>
      <c r="G2231" s="7" t="str">
        <f aca="false">HYPERLINK("https://mncourtfraud.com/file/MCRO_27-CR-23-1583_Order-Evaluation for Competency to Proceed (Rule 20.01)_2023-08-22_20251126190123.pdf","MCRO_27-CR-23-1583_Order-Evaluation for Competency to Proceed (Rule 20.01)_2023-08-22_20251126190123.pdf")</f>
        <v>MCRO_27-CR-23-1583_Order-Evaluation for Competency to Proceed (Rule 20.01)_2023-08-22_20251126190123.pdf</v>
      </c>
      <c r="H2231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2231" s="1" t="s">
        <v>3413</v>
      </c>
      <c r="J2231" s="2" t="s">
        <v>3446</v>
      </c>
      <c r="K2231" s="2" t="s">
        <v>3446</v>
      </c>
      <c r="L2231" s="2" t="s">
        <v>3415</v>
      </c>
      <c r="M2231" s="2" t="n">
        <v>55072</v>
      </c>
      <c r="N2231" s="2" t="s">
        <v>3447</v>
      </c>
    </row>
    <row r="2232" customFormat="false" ht="18.7" hidden="false" customHeight="true" outlineLevel="0" collapsed="false">
      <c r="A2232" s="1" t="n">
        <v>2231</v>
      </c>
      <c r="B2232" s="7" t="str">
        <f aca="false">HYPERLINK("https://mncourtfraud.com/file/27-CR-23-1583.pdf","27-CR-23-1583")</f>
        <v>27-CR-23-1583</v>
      </c>
      <c r="C2232" s="1" t="n">
        <v>1</v>
      </c>
      <c r="D2232" s="2" t="s">
        <v>12</v>
      </c>
      <c r="E2232" s="8" t="n">
        <v>45160</v>
      </c>
      <c r="F2232" s="2" t="s">
        <v>15</v>
      </c>
      <c r="G2232" s="7" t="str">
        <f aca="false">HYPERLINK("https://mncourtfraud.com/file/MCRO_27-CR-23-1583_Order-Evaluation for Competency to Proceed (Rule 20.01)_2023-08-22_20251126190123.pdf","MCRO_27-CR-23-1583_Order-Evaluation for Competency to Proceed (Rule 20.01)_2023-08-22_20251126190123.pdf")</f>
        <v>MCRO_27-CR-23-1583_Order-Evaluation for Competency to Proceed (Rule 20.01)_2023-08-22_20251126190123.pdf</v>
      </c>
      <c r="H2232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2232" s="1" t="s">
        <v>3413</v>
      </c>
      <c r="J2232" s="2" t="s">
        <v>3424</v>
      </c>
      <c r="K2232" s="2" t="s">
        <v>3424</v>
      </c>
      <c r="L2232" s="2" t="s">
        <v>3415</v>
      </c>
      <c r="M2232" s="2" t="n">
        <v>14252</v>
      </c>
    </row>
    <row r="2233" customFormat="false" ht="18.7" hidden="false" customHeight="true" outlineLevel="0" collapsed="false">
      <c r="A2233" s="1" t="n">
        <v>2232</v>
      </c>
      <c r="B2233" s="7" t="str">
        <f aca="false">HYPERLINK("https://mncourtfraud.com/file/27-CR-23-1583.pdf","27-CR-23-1583")</f>
        <v>27-CR-23-1583</v>
      </c>
      <c r="C2233" s="1" t="n">
        <v>1</v>
      </c>
      <c r="D2233" s="2" t="s">
        <v>12</v>
      </c>
      <c r="E2233" s="8" t="n">
        <v>45160</v>
      </c>
      <c r="F2233" s="2" t="s">
        <v>15</v>
      </c>
      <c r="G2233" s="7" t="str">
        <f aca="false">HYPERLINK("https://mncourtfraud.com/file/MCRO_27-CR-23-1583_Order-Evaluation for Competency to Proceed (Rule 20.01)_2023-08-22_20251126190123.pdf","MCRO_27-CR-23-1583_Order-Evaluation for Competency to Proceed (Rule 20.01)_2023-08-22_20251126190123.pdf")</f>
        <v>MCRO_27-CR-23-1583_Order-Evaluation for Competency to Proceed (Rule 20.01)_2023-08-22_20251126190123.pdf</v>
      </c>
      <c r="H2233" s="7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2233" s="1" t="s">
        <v>3406</v>
      </c>
      <c r="L2233" s="2" t="s">
        <v>3412</v>
      </c>
      <c r="M2233" s="2" t="n">
        <v>5012</v>
      </c>
      <c r="S2233" s="2" t="n">
        <v>2740</v>
      </c>
      <c r="T2233" s="2" t="n">
        <v>180</v>
      </c>
    </row>
    <row r="2234" customFormat="false" ht="18.7" hidden="false" customHeight="true" outlineLevel="0" collapsed="false">
      <c r="A2234" s="1" t="n">
        <v>2233</v>
      </c>
      <c r="B2234" s="7" t="str">
        <f aca="false">HYPERLINK("https://mncourtfraud.com/file/27-CR-23-1583.pdf","27-CR-23-1583")</f>
        <v>27-CR-23-1583</v>
      </c>
      <c r="C2234" s="1" t="n">
        <v>1</v>
      </c>
      <c r="D2234" s="2" t="s">
        <v>12</v>
      </c>
      <c r="E2234" s="8" t="n">
        <v>45160</v>
      </c>
      <c r="F2234" s="2" t="s">
        <v>15</v>
      </c>
      <c r="G2234" s="7" t="str">
        <f aca="false">HYPERLINK("https://mncourtfraud.com/file/MCRO_27-CR-23-1583_Order-Evaluation for Competency to Proceed (Rule 20.01)_2023-08-22_20251126190123.pdf","MCRO_27-CR-23-1583_Order-Evaluation for Competency to Proceed (Rule 20.01)_2023-08-22_20251126190123.pdf")</f>
        <v>MCRO_27-CR-23-1583_Order-Evaluation for Competency to Proceed (Rule 20.01)_2023-08-22_20251126190123.pdf</v>
      </c>
      <c r="H2234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2234" s="1" t="s">
        <v>3413</v>
      </c>
      <c r="J2234" s="2" t="s">
        <v>3448</v>
      </c>
      <c r="K2234" s="2" t="s">
        <v>3448</v>
      </c>
      <c r="L2234" s="2" t="s">
        <v>3415</v>
      </c>
      <c r="M2234" s="2" t="n">
        <v>916684</v>
      </c>
    </row>
    <row r="2235" customFormat="false" ht="18.7" hidden="false" customHeight="true" outlineLevel="0" collapsed="false">
      <c r="A2235" s="1" t="n">
        <v>2234</v>
      </c>
      <c r="B2235" s="7" t="str">
        <f aca="false">HYPERLINK("https://mncourtfraud.com/file/27-CR-23-1583.pdf","27-CR-23-1583")</f>
        <v>27-CR-23-1583</v>
      </c>
      <c r="C2235" s="1" t="n">
        <v>1</v>
      </c>
      <c r="D2235" s="2" t="s">
        <v>12</v>
      </c>
      <c r="E2235" s="8" t="n">
        <v>45160</v>
      </c>
      <c r="F2235" s="2" t="s">
        <v>15</v>
      </c>
      <c r="G2235" s="7" t="str">
        <f aca="false">HYPERLINK("https://mncourtfraud.com/file/MCRO_27-CR-23-1583_Order-Evaluation for Competency to Proceed (Rule 20.01)_2023-08-22_20251126190123.pdf","MCRO_27-CR-23-1583_Order-Evaluation for Competency to Proceed (Rule 20.01)_2023-08-22_20251126190123.pdf")</f>
        <v>MCRO_27-CR-23-1583_Order-Evaluation for Competency to Proceed (Rule 20.01)_2023-08-22_20251126190123.pdf</v>
      </c>
      <c r="H2235" s="7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2235" s="1" t="s">
        <v>3406</v>
      </c>
      <c r="K2235" s="2" t="s">
        <v>3459</v>
      </c>
      <c r="L2235" s="2" t="s">
        <v>3408</v>
      </c>
      <c r="M2235" s="2" t="n">
        <v>5220</v>
      </c>
      <c r="O2235" s="2" t="s">
        <v>3460</v>
      </c>
      <c r="P2235" s="2" t="s">
        <v>3410</v>
      </c>
      <c r="S2235" s="2" t="n">
        <v>881</v>
      </c>
      <c r="T2235" s="2" t="n">
        <v>216</v>
      </c>
    </row>
    <row r="2236" customFormat="false" ht="18.7" hidden="false" customHeight="true" outlineLevel="0" collapsed="false">
      <c r="A2236" s="1" t="n">
        <v>2235</v>
      </c>
      <c r="B2236" s="7" t="str">
        <f aca="false">HYPERLINK("https://mncourtfraud.com/file/27-CR-23-1583.pdf","27-CR-23-1583")</f>
        <v>27-CR-23-1583</v>
      </c>
      <c r="C2236" s="1" t="n">
        <v>1</v>
      </c>
      <c r="D2236" s="2" t="s">
        <v>12</v>
      </c>
      <c r="E2236" s="8" t="n">
        <v>45412</v>
      </c>
      <c r="F2236" s="2" t="s">
        <v>15</v>
      </c>
      <c r="G2236" s="7" t="str">
        <f aca="false">HYPERLINK("https://mncourtfraud.com/file/MCRO_27-CR-23-1583_Order-Evaluation for Competency to Proceed (Rule 20.01)_2024-04-30_20251126190111.pdf","MCRO_27-CR-23-1583_Order-Evaluation for Competency to Proceed (Rule 20.01)_2024-04-30_20251126190111.pdf")</f>
        <v>MCRO_27-CR-23-1583_Order-Evaluation for Competency to Proceed (Rule 20.01)_2024-04-30_20251126190111.pdf</v>
      </c>
      <c r="H2236" s="7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2236" s="1" t="s">
        <v>3406</v>
      </c>
      <c r="L2236" s="2" t="s">
        <v>3412</v>
      </c>
      <c r="M2236" s="2" t="n">
        <v>154549</v>
      </c>
      <c r="S2236" s="2" t="n">
        <v>2560</v>
      </c>
      <c r="T2236" s="2" t="n">
        <v>3300</v>
      </c>
    </row>
    <row r="2237" customFormat="false" ht="18.7" hidden="false" customHeight="true" outlineLevel="0" collapsed="false">
      <c r="A2237" s="1" t="n">
        <v>2236</v>
      </c>
      <c r="B2237" s="7" t="str">
        <f aca="false">HYPERLINK("https://mncourtfraud.com/file/27-CR-23-1583.pdf","27-CR-23-1583")</f>
        <v>27-CR-23-1583</v>
      </c>
      <c r="C2237" s="1" t="n">
        <v>1</v>
      </c>
      <c r="D2237" s="2" t="s">
        <v>12</v>
      </c>
      <c r="E2237" s="8" t="n">
        <v>45412</v>
      </c>
      <c r="F2237" s="2" t="s">
        <v>15</v>
      </c>
      <c r="G2237" s="7" t="str">
        <f aca="false">HYPERLINK("https://mncourtfraud.com/file/MCRO_27-CR-23-1583_Order-Evaluation for Competency to Proceed (Rule 20.01)_2024-04-30_20251126190111.pdf","MCRO_27-CR-23-1583_Order-Evaluation for Competency to Proceed (Rule 20.01)_2024-04-30_20251126190111.pdf")</f>
        <v>MCRO_27-CR-23-1583_Order-Evaluation for Competency to Proceed (Rule 20.01)_2024-04-30_20251126190111.pdf</v>
      </c>
      <c r="H2237" s="7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2237" s="1" t="s">
        <v>3406</v>
      </c>
      <c r="L2237" s="2" t="s">
        <v>3412</v>
      </c>
      <c r="M2237" s="2" t="n">
        <v>180051</v>
      </c>
      <c r="S2237" s="2" t="n">
        <v>2560</v>
      </c>
      <c r="T2237" s="2" t="n">
        <v>3300</v>
      </c>
    </row>
    <row r="2238" customFormat="false" ht="18.7" hidden="false" customHeight="true" outlineLevel="0" collapsed="false">
      <c r="A2238" s="1" t="n">
        <v>2237</v>
      </c>
      <c r="B2238" s="7" t="str">
        <f aca="false">HYPERLINK("https://mncourtfraud.com/file/27-CR-23-1583.pdf","27-CR-23-1583")</f>
        <v>27-CR-23-1583</v>
      </c>
      <c r="C2238" s="1" t="n">
        <v>1</v>
      </c>
      <c r="D2238" s="2" t="s">
        <v>12</v>
      </c>
      <c r="E2238" s="8" t="n">
        <v>45412</v>
      </c>
      <c r="F2238" s="2" t="s">
        <v>24</v>
      </c>
      <c r="G2238" s="7" t="str">
        <f aca="false">HYPERLINK("https://mncourtfraud.com/file/MCRO_27-CR-23-1583_Order for Conditional Release_2024-04-30_20251126190100.pdf","MCRO_27-CR-23-1583_Order for Conditional Release_2024-04-30_20251126190100.pdf")</f>
        <v>MCRO_27-CR-23-1583_Order for Conditional Release_2024-04-30_20251126190100.pdf</v>
      </c>
      <c r="H2238" s="7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2238" s="1" t="s">
        <v>3406</v>
      </c>
      <c r="L2238" s="2" t="s">
        <v>3412</v>
      </c>
      <c r="M2238" s="2" t="n">
        <v>38726</v>
      </c>
      <c r="S2238" s="2" t="n">
        <v>2560</v>
      </c>
      <c r="T2238" s="2" t="n">
        <v>3300</v>
      </c>
    </row>
    <row r="2239" customFormat="false" ht="18.7" hidden="false" customHeight="true" outlineLevel="0" collapsed="false">
      <c r="A2239" s="1" t="n">
        <v>2238</v>
      </c>
      <c r="B2239" s="7" t="str">
        <f aca="false">HYPERLINK("https://mncourtfraud.com/file/27-CR-23-1583.pdf","27-CR-23-1583")</f>
        <v>27-CR-23-1583</v>
      </c>
      <c r="C2239" s="1" t="n">
        <v>1</v>
      </c>
      <c r="D2239" s="2" t="s">
        <v>12</v>
      </c>
      <c r="E2239" s="8" t="n">
        <v>45412</v>
      </c>
      <c r="F2239" s="2" t="s">
        <v>15</v>
      </c>
      <c r="G2239" s="7" t="str">
        <f aca="false">HYPERLINK("https://mncourtfraud.com/file/MCRO_27-CR-23-1583_Order-Evaluation for Competency to Proceed (Rule 20.01)_2024-04-30_20251126190111.pdf","MCRO_27-CR-23-1583_Order-Evaluation for Competency to Proceed (Rule 20.01)_2024-04-30_20251126190111.pdf")</f>
        <v>MCRO_27-CR-23-1583_Order-Evaluation for Competency to Proceed (Rule 20.01)_2024-04-30_20251126190111.pdf</v>
      </c>
      <c r="H2239" s="7" t="str">
        <f aca="false">HYPERLINK("https://mncourtfraud.com/file/4db7d2599119dc45c08adba3b9b2ba67e6a3d697261d3f95ca4c5b01777bcfbe.ttf","4db7d2599119dc45c08adba3b9b2ba67e6a3d697261d3f95ca4c5b01777bcfbe")</f>
        <v>4db7d2599119dc45c08adba3b9b2ba67e6a3d697261d3f95ca4c5b01777bcfbe</v>
      </c>
      <c r="I2239" s="1" t="s">
        <v>3413</v>
      </c>
      <c r="L2239" s="2" t="s">
        <v>3415</v>
      </c>
      <c r="M2239" s="2" t="n">
        <v>333576</v>
      </c>
    </row>
    <row r="2240" customFormat="false" ht="18.7" hidden="false" customHeight="true" outlineLevel="0" collapsed="false">
      <c r="A2240" s="1" t="n">
        <v>2239</v>
      </c>
      <c r="B2240" s="7" t="str">
        <f aca="false">HYPERLINK("https://mncourtfraud.com/file/27-CR-23-1583.pdf","27-CR-23-1583")</f>
        <v>27-CR-23-1583</v>
      </c>
      <c r="C2240" s="1" t="n">
        <v>1</v>
      </c>
      <c r="D2240" s="2" t="s">
        <v>12</v>
      </c>
      <c r="E2240" s="8" t="n">
        <v>45412</v>
      </c>
      <c r="F2240" s="2" t="s">
        <v>15</v>
      </c>
      <c r="G2240" s="7" t="str">
        <f aca="false">HYPERLINK("https://mncourtfraud.com/file/MCRO_27-CR-23-1583_Order-Evaluation for Competency to Proceed (Rule 20.01)_2024-04-30_20251126190111.pdf","MCRO_27-CR-23-1583_Order-Evaluation for Competency to Proceed (Rule 20.01)_2024-04-30_20251126190111.pdf")</f>
        <v>MCRO_27-CR-23-1583_Order-Evaluation for Competency to Proceed (Rule 20.01)_2024-04-30_20251126190111.pdf</v>
      </c>
      <c r="H2240" s="7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2240" s="1" t="s">
        <v>3406</v>
      </c>
      <c r="L2240" s="2" t="s">
        <v>3412</v>
      </c>
      <c r="M2240" s="2" t="n">
        <v>71271</v>
      </c>
      <c r="S2240" s="2" t="n">
        <v>2560</v>
      </c>
      <c r="T2240" s="2" t="n">
        <v>3300</v>
      </c>
    </row>
    <row r="2241" customFormat="false" ht="18.7" hidden="false" customHeight="true" outlineLevel="0" collapsed="false">
      <c r="A2241" s="1" t="n">
        <v>2240</v>
      </c>
      <c r="B2241" s="7" t="str">
        <f aca="false">HYPERLINK("https://mncourtfraud.com/file/27-CR-23-1583.pdf","27-CR-23-1583")</f>
        <v>27-CR-23-1583</v>
      </c>
      <c r="C2241" s="1" t="n">
        <v>1</v>
      </c>
      <c r="D2241" s="2" t="s">
        <v>12</v>
      </c>
      <c r="E2241" s="8" t="n">
        <v>45412</v>
      </c>
      <c r="F2241" s="2" t="s">
        <v>24</v>
      </c>
      <c r="G2241" s="7" t="str">
        <f aca="false">HYPERLINK("https://mncourtfraud.com/file/MCRO_27-CR-23-1583_Order for Conditional Release_2024-04-30_20251126190100.pdf","MCRO_27-CR-23-1583_Order for Conditional Release_2024-04-30_20251126190100.pdf")</f>
        <v>MCRO_27-CR-23-1583_Order for Conditional Release_2024-04-30_20251126190100.pdf</v>
      </c>
      <c r="H2241" s="7" t="str">
        <f aca="false">HYPERLINK("https://mncourtfraud.com/file/d5cf4f06aaee8f372e6af86dab12d75d131a3ba68ba6baeac4b7b514ef3e0b85.ttf","d5cf4f06aaee8f372e6af86dab12d75d131a3ba68ba6baeac4b7b514ef3e0b85")</f>
        <v>d5cf4f06aaee8f372e6af86dab12d75d131a3ba68ba6baeac4b7b514ef3e0b85</v>
      </c>
      <c r="I2241" s="1" t="s">
        <v>3413</v>
      </c>
      <c r="L2241" s="2" t="s">
        <v>3415</v>
      </c>
      <c r="M2241" s="2" t="n">
        <v>333576</v>
      </c>
    </row>
    <row r="2242" customFormat="false" ht="18.7" hidden="false" customHeight="true" outlineLevel="0" collapsed="false">
      <c r="A2242" s="1" t="n">
        <v>2241</v>
      </c>
      <c r="B2242" s="7" t="str">
        <f aca="false">HYPERLINK("https://mncourtfraud.com/file/27-CR-23-1583.pdf","27-CR-23-1583")</f>
        <v>27-CR-23-1583</v>
      </c>
      <c r="C2242" s="1" t="n">
        <v>1</v>
      </c>
      <c r="D2242" s="2" t="s">
        <v>12</v>
      </c>
      <c r="E2242" s="8" t="n">
        <v>45412</v>
      </c>
      <c r="F2242" s="2" t="s">
        <v>24</v>
      </c>
      <c r="G2242" s="7" t="str">
        <f aca="false">HYPERLINK("https://mncourtfraud.com/file/MCRO_27-CR-23-1583_Order for Conditional Release_2024-04-30_20251126190100.pdf","MCRO_27-CR-23-1583_Order for Conditional Release_2024-04-30_20251126190100.pdf")</f>
        <v>MCRO_27-CR-23-1583_Order for Conditional Release_2024-04-30_20251126190100.pdf</v>
      </c>
      <c r="H2242" s="7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2242" s="1" t="s">
        <v>3406</v>
      </c>
      <c r="L2242" s="2" t="s">
        <v>3412</v>
      </c>
      <c r="M2242" s="2" t="n">
        <v>195018</v>
      </c>
      <c r="S2242" s="2" t="n">
        <v>2560</v>
      </c>
      <c r="T2242" s="2" t="n">
        <v>3300</v>
      </c>
    </row>
    <row r="2243" customFormat="false" ht="18.7" hidden="false" customHeight="true" outlineLevel="0" collapsed="false">
      <c r="A2243" s="1" t="n">
        <v>2242</v>
      </c>
      <c r="B2243" s="7" t="str">
        <f aca="false">HYPERLINK("https://mncourtfraud.com/file/27-CR-23-4900.pdf","27-CR-23-4900")</f>
        <v>27-CR-23-4900</v>
      </c>
      <c r="C2243" s="1" t="n">
        <v>1</v>
      </c>
      <c r="D2243" s="2" t="s">
        <v>12</v>
      </c>
      <c r="E2243" s="8" t="n">
        <v>45048</v>
      </c>
      <c r="F2243" s="2" t="s">
        <v>80</v>
      </c>
      <c r="G2243" s="7" t="str">
        <f aca="false">HYPERLINK("https://mncourtfraud.com/file/MCRO_27-CR-23-4900_Finding of Incompetency and Order_2023-05-02_20251126190145.pdf","MCRO_27-CR-23-4900_Finding of Incompetency and Order_2023-05-02_20251126190145.pdf")</f>
        <v>MCRO_27-CR-23-4900_Finding of Incompetency and Order_2023-05-02_20251126190145.pdf</v>
      </c>
      <c r="H2243" s="7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243" s="1" t="s">
        <v>3406</v>
      </c>
      <c r="L2243" s="2" t="s">
        <v>3412</v>
      </c>
      <c r="M2243" s="2" t="n">
        <v>3506</v>
      </c>
      <c r="S2243" s="2" t="n">
        <v>1410</v>
      </c>
      <c r="T2243" s="2" t="n">
        <v>150</v>
      </c>
    </row>
    <row r="2244" customFormat="false" ht="18.7" hidden="false" customHeight="true" outlineLevel="0" collapsed="false">
      <c r="A2244" s="1" t="n">
        <v>2243</v>
      </c>
      <c r="B2244" s="7" t="str">
        <f aca="false">HYPERLINK("https://mncourtfraud.com/file/27-CR-23-4900.pdf","27-CR-23-4900")</f>
        <v>27-CR-23-4900</v>
      </c>
      <c r="C2244" s="1" t="n">
        <v>1</v>
      </c>
      <c r="D2244" s="2" t="s">
        <v>12</v>
      </c>
      <c r="E2244" s="8" t="n">
        <v>45048</v>
      </c>
      <c r="F2244" s="2" t="s">
        <v>80</v>
      </c>
      <c r="G2244" s="7" t="str">
        <f aca="false">HYPERLINK("https://mncourtfraud.com/file/MCRO_27-CR-23-4900_Finding of Incompetency and Order_2023-05-02_20251126190145.pdf","MCRO_27-CR-23-4900_Finding of Incompetency and Order_2023-05-02_20251126190145.pdf")</f>
        <v>MCRO_27-CR-23-4900_Finding of Incompetency and Order_2023-05-02_20251126190145.pdf</v>
      </c>
      <c r="H2244" s="7" t="str">
        <f aca="false">HYPERLINK("https://mncourtfraud.com/file/18befca089509ee2fbaddf9c5b79bf5988523b22d2369743ed9a591b9fc3bdb6.ttf","18befca089509ee2fbaddf9c5b79bf5988523b22d2369743ed9a591b9fc3bdb6")</f>
        <v>18befca089509ee2fbaddf9c5b79bf5988523b22d2369743ed9a591b9fc3bdb6</v>
      </c>
      <c r="I2244" s="1" t="s">
        <v>3413</v>
      </c>
      <c r="J2244" s="2" t="s">
        <v>3421</v>
      </c>
      <c r="K2244" s="2" t="s">
        <v>3450</v>
      </c>
      <c r="L2244" s="2" t="s">
        <v>3415</v>
      </c>
      <c r="M2244" s="2" t="n">
        <v>115928</v>
      </c>
    </row>
    <row r="2245" customFormat="false" ht="18.7" hidden="false" customHeight="true" outlineLevel="0" collapsed="false">
      <c r="A2245" s="1" t="n">
        <v>2244</v>
      </c>
      <c r="B2245" s="7" t="str">
        <f aca="false">HYPERLINK("https://mncourtfraud.com/file/27-CR-23-4900.pdf","27-CR-23-4900")</f>
        <v>27-CR-23-4900</v>
      </c>
      <c r="C2245" s="1" t="n">
        <v>1</v>
      </c>
      <c r="D2245" s="2" t="s">
        <v>12</v>
      </c>
      <c r="E2245" s="8" t="n">
        <v>45048</v>
      </c>
      <c r="F2245" s="2" t="s">
        <v>80</v>
      </c>
      <c r="G2245" s="7" t="str">
        <f aca="false">HYPERLINK("https://mncourtfraud.com/file/MCRO_27-CR-23-4900_Finding of Incompetency and Order_2023-05-02_20251126190145.pdf","MCRO_27-CR-23-4900_Finding of Incompetency and Order_2023-05-02_20251126190145.pdf")</f>
        <v>MCRO_27-CR-23-4900_Finding of Incompetency and Order_2023-05-02_20251126190145.pdf</v>
      </c>
      <c r="H2245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2245" s="1" t="s">
        <v>3413</v>
      </c>
      <c r="J2245" s="2" t="s">
        <v>3446</v>
      </c>
      <c r="K2245" s="2" t="s">
        <v>3446</v>
      </c>
      <c r="L2245" s="2" t="s">
        <v>3415</v>
      </c>
      <c r="M2245" s="2" t="n">
        <v>55072</v>
      </c>
      <c r="N2245" s="2" t="s">
        <v>3447</v>
      </c>
    </row>
    <row r="2246" customFormat="false" ht="18.7" hidden="false" customHeight="true" outlineLevel="0" collapsed="false">
      <c r="A2246" s="1" t="n">
        <v>2245</v>
      </c>
      <c r="B2246" s="7" t="str">
        <f aca="false">HYPERLINK("https://mncourtfraud.com/file/27-CR-23-4900.pdf","27-CR-23-4900")</f>
        <v>27-CR-23-4900</v>
      </c>
      <c r="C2246" s="1" t="n">
        <v>1</v>
      </c>
      <c r="D2246" s="2" t="s">
        <v>12</v>
      </c>
      <c r="E2246" s="8" t="n">
        <v>45048</v>
      </c>
      <c r="F2246" s="2" t="s">
        <v>80</v>
      </c>
      <c r="G2246" s="7" t="str">
        <f aca="false">HYPERLINK("https://mncourtfraud.com/file/MCRO_27-CR-23-4900_Finding of Incompetency and Order_2023-05-02_20251126190145.pdf","MCRO_27-CR-23-4900_Finding of Incompetency and Order_2023-05-02_20251126190145.pdf")</f>
        <v>MCRO_27-CR-23-4900_Finding of Incompetency and Order_2023-05-02_20251126190145.pdf</v>
      </c>
      <c r="H2246" s="7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246" s="1" t="s">
        <v>3406</v>
      </c>
      <c r="K2246" s="2" t="s">
        <v>3451</v>
      </c>
      <c r="L2246" s="2" t="s">
        <v>3408</v>
      </c>
      <c r="M2246" s="2" t="n">
        <v>5295</v>
      </c>
      <c r="O2246" s="2" t="s">
        <v>3452</v>
      </c>
      <c r="P2246" s="2" t="s">
        <v>3410</v>
      </c>
      <c r="S2246" s="2" t="n">
        <v>833</v>
      </c>
      <c r="T2246" s="2" t="n">
        <v>186</v>
      </c>
    </row>
    <row r="2247" customFormat="false" ht="18.7" hidden="false" customHeight="true" outlineLevel="0" collapsed="false">
      <c r="A2247" s="1" t="n">
        <v>2246</v>
      </c>
      <c r="B2247" s="7" t="str">
        <f aca="false">HYPERLINK("https://mncourtfraud.com/file/27-CR-23-4900.pdf","27-CR-23-4900")</f>
        <v>27-CR-23-4900</v>
      </c>
      <c r="C2247" s="1" t="n">
        <v>1</v>
      </c>
      <c r="D2247" s="2" t="s">
        <v>12</v>
      </c>
      <c r="E2247" s="8" t="n">
        <v>45048</v>
      </c>
      <c r="F2247" s="2" t="s">
        <v>80</v>
      </c>
      <c r="G2247" s="7" t="str">
        <f aca="false">HYPERLINK("https://mncourtfraud.com/file/MCRO_27-CR-23-4900_Finding of Incompetency and Order_2023-05-02_20251126190145.pdf","MCRO_27-CR-23-4900_Finding of Incompetency and Order_2023-05-02_20251126190145.pdf")</f>
        <v>MCRO_27-CR-23-4900_Finding of Incompetency and Order_2023-05-02_20251126190145.pdf</v>
      </c>
      <c r="H2247" s="7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247" s="1" t="s">
        <v>3406</v>
      </c>
      <c r="K2247" s="2" t="s">
        <v>3453</v>
      </c>
      <c r="L2247" s="2" t="s">
        <v>3408</v>
      </c>
      <c r="M2247" s="2" t="n">
        <v>3442</v>
      </c>
      <c r="O2247" s="2" t="s">
        <v>3454</v>
      </c>
      <c r="P2247" s="2" t="s">
        <v>3410</v>
      </c>
      <c r="S2247" s="2" t="n">
        <v>857</v>
      </c>
      <c r="T2247" s="2" t="n">
        <v>184</v>
      </c>
    </row>
    <row r="2248" customFormat="false" ht="18.7" hidden="false" customHeight="true" outlineLevel="0" collapsed="false">
      <c r="A2248" s="1" t="n">
        <v>2247</v>
      </c>
      <c r="B2248" s="7" t="str">
        <f aca="false">HYPERLINK("https://mncourtfraud.com/file/27-CR-23-4900.pdf","27-CR-23-4900")</f>
        <v>27-CR-23-4900</v>
      </c>
      <c r="C2248" s="1" t="n">
        <v>1</v>
      </c>
      <c r="D2248" s="2" t="s">
        <v>12</v>
      </c>
      <c r="E2248" s="8" t="n">
        <v>45048</v>
      </c>
      <c r="F2248" s="2" t="s">
        <v>80</v>
      </c>
      <c r="G2248" s="7" t="str">
        <f aca="false">HYPERLINK("https://mncourtfraud.com/file/MCRO_27-CR-23-4900_Finding of Incompetency and Order_2023-05-02_20251126190145.pdf","MCRO_27-CR-23-4900_Finding of Incompetency and Order_2023-05-02_20251126190145.pdf")</f>
        <v>MCRO_27-CR-23-4900_Finding of Incompetency and Order_2023-05-02_20251126190145.pdf</v>
      </c>
      <c r="H2248" s="7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2248" s="1" t="s">
        <v>3406</v>
      </c>
      <c r="L2248" s="2" t="s">
        <v>3412</v>
      </c>
      <c r="M2248" s="2" t="n">
        <v>3824</v>
      </c>
      <c r="S2248" s="2" t="n">
        <v>1850</v>
      </c>
      <c r="T2248" s="2" t="n">
        <v>160</v>
      </c>
    </row>
    <row r="2249" customFormat="false" ht="18.7" hidden="false" customHeight="true" outlineLevel="0" collapsed="false">
      <c r="A2249" s="1" t="n">
        <v>2248</v>
      </c>
      <c r="B2249" s="7" t="str">
        <f aca="false">HYPERLINK("https://mncourtfraud.com/file/27-CR-23-4900.pdf","27-CR-23-4900")</f>
        <v>27-CR-23-4900</v>
      </c>
      <c r="C2249" s="1" t="n">
        <v>1</v>
      </c>
      <c r="D2249" s="2" t="s">
        <v>12</v>
      </c>
      <c r="E2249" s="8" t="n">
        <v>45048</v>
      </c>
      <c r="F2249" s="2" t="s">
        <v>80</v>
      </c>
      <c r="G2249" s="7" t="str">
        <f aca="false">HYPERLINK("https://mncourtfraud.com/file/MCRO_27-CR-23-4900_Finding of Incompetency and Order_2023-05-02_20251126190145.pdf","MCRO_27-CR-23-4900_Finding of Incompetency and Order_2023-05-02_20251126190145.pdf")</f>
        <v>MCRO_27-CR-23-4900_Finding of Incompetency and Order_2023-05-02_20251126190145.pdf</v>
      </c>
      <c r="H2249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2249" s="1" t="s">
        <v>3413</v>
      </c>
      <c r="J2249" s="2" t="s">
        <v>3448</v>
      </c>
      <c r="K2249" s="2" t="s">
        <v>3448</v>
      </c>
      <c r="L2249" s="2" t="s">
        <v>3415</v>
      </c>
      <c r="M2249" s="2" t="n">
        <v>916684</v>
      </c>
    </row>
    <row r="2250" customFormat="false" ht="18.7" hidden="false" customHeight="true" outlineLevel="0" collapsed="false">
      <c r="A2250" s="1" t="n">
        <v>2249</v>
      </c>
      <c r="B2250" s="7" t="str">
        <f aca="false">HYPERLINK("https://mncourtfraud.com/file/27-CR-23-4900.pdf","27-CR-23-4900")</f>
        <v>27-CR-23-4900</v>
      </c>
      <c r="C2250" s="1" t="n">
        <v>1</v>
      </c>
      <c r="D2250" s="2" t="s">
        <v>12</v>
      </c>
      <c r="E2250" s="8" t="n">
        <v>45093</v>
      </c>
      <c r="F2250" s="2" t="s">
        <v>82</v>
      </c>
      <c r="G2250" s="7" t="str">
        <f aca="false">HYPERLINK("https://mncourtfraud.com/file/MCRO_27-CR-23-4900_Notice of Case Reassignment_2023-06-16_20251126190156.pdf","MCRO_27-CR-23-4900_Notice of Case Reassignment_2023-06-16_20251126190156.pdf")</f>
        <v>MCRO_27-CR-23-4900_Notice of Case Reassignment_2023-06-16_20251126190156.pdf</v>
      </c>
      <c r="H2250" s="7" t="str">
        <f aca="false">HYPERLINK("https://mncourtfraud.com/file/1fd1136a5ae69c0e5068fedf111533c283fb06da71a1aebe96b41cad9a15bb33.ttf","1fd1136a5ae69c0e5068fedf111533c283fb06da71a1aebe96b41cad9a15bb33")</f>
        <v>1fd1136a5ae69c0e5068fedf111533c283fb06da71a1aebe96b41cad9a15bb33</v>
      </c>
      <c r="I2250" s="1" t="s">
        <v>3413</v>
      </c>
      <c r="J2250" s="2" t="s">
        <v>3455</v>
      </c>
      <c r="K2250" s="2" t="s">
        <v>3455</v>
      </c>
      <c r="L2250" s="2" t="s">
        <v>3415</v>
      </c>
      <c r="M2250" s="2" t="n">
        <v>96348</v>
      </c>
      <c r="N2250" s="2" t="s">
        <v>3456</v>
      </c>
    </row>
    <row r="2251" customFormat="false" ht="18.7" hidden="false" customHeight="true" outlineLevel="0" collapsed="false">
      <c r="A2251" s="1" t="n">
        <v>2250</v>
      </c>
      <c r="B2251" s="7" t="str">
        <f aca="false">HYPERLINK("https://mncourtfraud.com/file/27-CR-23-4900.pdf","27-CR-23-4900")</f>
        <v>27-CR-23-4900</v>
      </c>
      <c r="C2251" s="1" t="n">
        <v>1</v>
      </c>
      <c r="D2251" s="2" t="s">
        <v>12</v>
      </c>
      <c r="E2251" s="8" t="n">
        <v>45093</v>
      </c>
      <c r="F2251" s="2" t="s">
        <v>82</v>
      </c>
      <c r="G2251" s="7" t="str">
        <f aca="false">HYPERLINK("https://mncourtfraud.com/file/MCRO_27-CR-23-4900_Notice of Case Reassignment_2023-06-16_20251126190156.pdf","MCRO_27-CR-23-4900_Notice of Case Reassignment_2023-06-16_20251126190156.pdf")</f>
        <v>MCRO_27-CR-23-4900_Notice of Case Reassignment_2023-06-16_20251126190156.pdf</v>
      </c>
      <c r="H2251" s="7" t="str">
        <f aca="false">HYPERLINK("https://mncourtfraud.com/file/4b0b043cb476134a2e47a5f4c233d3d0f7a52a3b063b8831356383f89fcd1118.ttf","4b0b043cb476134a2e47a5f4c233d3d0f7a52a3b063b8831356383f89fcd1118")</f>
        <v>4b0b043cb476134a2e47a5f4c233d3d0f7a52a3b063b8831356383f89fcd1118</v>
      </c>
      <c r="I2251" s="1" t="s">
        <v>3413</v>
      </c>
      <c r="J2251" s="2" t="s">
        <v>3457</v>
      </c>
      <c r="K2251" s="2" t="s">
        <v>3457</v>
      </c>
      <c r="L2251" s="2" t="s">
        <v>3415</v>
      </c>
      <c r="M2251" s="2" t="n">
        <v>79764</v>
      </c>
      <c r="N2251" s="2" t="s">
        <v>3458</v>
      </c>
    </row>
    <row r="2252" customFormat="false" ht="18.7" hidden="false" customHeight="true" outlineLevel="0" collapsed="false">
      <c r="A2252" s="1" t="n">
        <v>2251</v>
      </c>
      <c r="B2252" s="7" t="str">
        <f aca="false">HYPERLINK("https://mncourtfraud.com/file/27-CR-23-4900.pdf","27-CR-23-4900")</f>
        <v>27-CR-23-4900</v>
      </c>
      <c r="C2252" s="1" t="n">
        <v>1</v>
      </c>
      <c r="D2252" s="2" t="s">
        <v>12</v>
      </c>
      <c r="E2252" s="8" t="n">
        <v>45160</v>
      </c>
      <c r="F2252" s="2" t="s">
        <v>15</v>
      </c>
      <c r="G2252" s="7" t="str">
        <f aca="false">HYPERLINK("https://mncourtfraud.com/file/MCRO_27-CR-23-4900_Order-Evaluation for Competency to Proceed (Rule 20.01)_2023-08-22_20251126190217.pdf","MCRO_27-CR-23-4900_Order-Evaluation for Competency to Proceed (Rule 20.01)_2023-08-22_20251126190217.pdf")</f>
        <v>MCRO_27-CR-23-4900_Order-Evaluation for Competency to Proceed (Rule 20.01)_2023-08-22_20251126190217.pdf</v>
      </c>
      <c r="H2252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2252" s="1" t="s">
        <v>3413</v>
      </c>
      <c r="J2252" s="2" t="s">
        <v>3449</v>
      </c>
      <c r="K2252" s="2" t="s">
        <v>3449</v>
      </c>
      <c r="L2252" s="2" t="s">
        <v>3415</v>
      </c>
      <c r="M2252" s="2" t="n">
        <v>125504</v>
      </c>
    </row>
    <row r="2253" customFormat="false" ht="18.7" hidden="false" customHeight="true" outlineLevel="0" collapsed="false">
      <c r="A2253" s="1" t="n">
        <v>2252</v>
      </c>
      <c r="B2253" s="7" t="str">
        <f aca="false">HYPERLINK("https://mncourtfraud.com/file/27-CR-23-4900.pdf","27-CR-23-4900")</f>
        <v>27-CR-23-4900</v>
      </c>
      <c r="C2253" s="1" t="n">
        <v>1</v>
      </c>
      <c r="D2253" s="2" t="s">
        <v>12</v>
      </c>
      <c r="E2253" s="8" t="n">
        <v>45160</v>
      </c>
      <c r="F2253" s="2" t="s">
        <v>15</v>
      </c>
      <c r="G2253" s="7" t="str">
        <f aca="false">HYPERLINK("https://mncourtfraud.com/file/MCRO_27-CR-23-4900_Order-Evaluation for Competency to Proceed (Rule 20.01)_2023-08-22_20251126190217.pdf","MCRO_27-CR-23-4900_Order-Evaluation for Competency to Proceed (Rule 20.01)_2023-08-22_20251126190217.pdf")</f>
        <v>MCRO_27-CR-23-4900_Order-Evaluation for Competency to Proceed (Rule 20.01)_2023-08-22_20251126190217.pdf</v>
      </c>
      <c r="H2253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2253" s="1" t="s">
        <v>3413</v>
      </c>
      <c r="J2253" s="2" t="s">
        <v>3449</v>
      </c>
      <c r="K2253" s="2" t="s">
        <v>3449</v>
      </c>
      <c r="L2253" s="2" t="s">
        <v>3415</v>
      </c>
      <c r="M2253" s="2" t="n">
        <v>125504</v>
      </c>
    </row>
    <row r="2254" customFormat="false" ht="18.7" hidden="false" customHeight="true" outlineLevel="0" collapsed="false">
      <c r="A2254" s="1" t="n">
        <v>2253</v>
      </c>
      <c r="B2254" s="7" t="str">
        <f aca="false">HYPERLINK("https://mncourtfraud.com/file/27-CR-23-4900.pdf","27-CR-23-4900")</f>
        <v>27-CR-23-4900</v>
      </c>
      <c r="C2254" s="1" t="n">
        <v>1</v>
      </c>
      <c r="D2254" s="2" t="s">
        <v>12</v>
      </c>
      <c r="E2254" s="8" t="n">
        <v>45160</v>
      </c>
      <c r="F2254" s="2" t="s">
        <v>15</v>
      </c>
      <c r="G2254" s="7" t="str">
        <f aca="false">HYPERLINK("https://mncourtfraud.com/file/MCRO_27-CR-23-4900_Order-Evaluation for Competency to Proceed (Rule 20.01)_2023-08-22_20251126190217.pdf","MCRO_27-CR-23-4900_Order-Evaluation for Competency to Proceed (Rule 20.01)_2023-08-22_20251126190217.pdf")</f>
        <v>MCRO_27-CR-23-4900_Order-Evaluation for Competency to Proceed (Rule 20.01)_2023-08-22_20251126190217.pdf</v>
      </c>
      <c r="H2254" s="7" t="str">
        <f aca="false">HYPERLINK("https://mncourtfraud.com/file/0174a154b1dd2c8824c0108a525fa6ced84bf8b7d2fc9696a847700a4f83bb3b.ttf","0174a154b1dd2c8824c0108a525fa6ced84bf8b7d2fc9696a847700a4f83bb3b")</f>
        <v>0174a154b1dd2c8824c0108a525fa6ced84bf8b7d2fc9696a847700a4f83bb3b</v>
      </c>
      <c r="I2254" s="1" t="s">
        <v>3413</v>
      </c>
      <c r="J2254" s="2" t="s">
        <v>3422</v>
      </c>
      <c r="K2254" s="2" t="s">
        <v>3422</v>
      </c>
      <c r="L2254" s="2" t="s">
        <v>3415</v>
      </c>
      <c r="M2254" s="2" t="n">
        <v>101216</v>
      </c>
    </row>
    <row r="2255" customFormat="false" ht="18.7" hidden="false" customHeight="true" outlineLevel="0" collapsed="false">
      <c r="A2255" s="1" t="n">
        <v>2254</v>
      </c>
      <c r="B2255" s="7" t="str">
        <f aca="false">HYPERLINK("https://mncourtfraud.com/file/27-CR-23-4900.pdf","27-CR-23-4900")</f>
        <v>27-CR-23-4900</v>
      </c>
      <c r="C2255" s="1" t="n">
        <v>1</v>
      </c>
      <c r="D2255" s="2" t="s">
        <v>12</v>
      </c>
      <c r="E2255" s="8" t="n">
        <v>45160</v>
      </c>
      <c r="F2255" s="2" t="s">
        <v>15</v>
      </c>
      <c r="G2255" s="7" t="str">
        <f aca="false">HYPERLINK("https://mncourtfraud.com/file/MCRO_27-CR-23-4900_Order-Evaluation for Competency to Proceed (Rule 20.01)_2023-08-22_20251126190217.pdf","MCRO_27-CR-23-4900_Order-Evaluation for Competency to Proceed (Rule 20.01)_2023-08-22_20251126190217.pdf")</f>
        <v>MCRO_27-CR-23-4900_Order-Evaluation for Competency to Proceed (Rule 20.01)_2023-08-22_20251126190217.pdf</v>
      </c>
      <c r="H2255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2255" s="1" t="s">
        <v>3413</v>
      </c>
      <c r="J2255" s="2" t="s">
        <v>3423</v>
      </c>
      <c r="K2255" s="2" t="s">
        <v>3423</v>
      </c>
      <c r="L2255" s="2" t="s">
        <v>3415</v>
      </c>
      <c r="M2255" s="2" t="n">
        <v>11088</v>
      </c>
    </row>
    <row r="2256" customFormat="false" ht="18.7" hidden="false" customHeight="true" outlineLevel="0" collapsed="false">
      <c r="A2256" s="1" t="n">
        <v>2255</v>
      </c>
      <c r="B2256" s="7" t="str">
        <f aca="false">HYPERLINK("https://mncourtfraud.com/file/27-CR-23-4900.pdf","27-CR-23-4900")</f>
        <v>27-CR-23-4900</v>
      </c>
      <c r="C2256" s="1" t="n">
        <v>1</v>
      </c>
      <c r="D2256" s="2" t="s">
        <v>12</v>
      </c>
      <c r="E2256" s="8" t="n">
        <v>45160</v>
      </c>
      <c r="F2256" s="2" t="s">
        <v>15</v>
      </c>
      <c r="G2256" s="7" t="str">
        <f aca="false">HYPERLINK("https://mncourtfraud.com/file/MCRO_27-CR-23-4900_Order-Evaluation for Competency to Proceed (Rule 20.01)_2023-08-22_20251126190217.pdf","MCRO_27-CR-23-4900_Order-Evaluation for Competency to Proceed (Rule 20.01)_2023-08-22_20251126190217.pdf")</f>
        <v>MCRO_27-CR-23-4900_Order-Evaluation for Competency to Proceed (Rule 20.01)_2023-08-22_20251126190217.pdf</v>
      </c>
      <c r="H2256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2256" s="1" t="s">
        <v>3413</v>
      </c>
      <c r="J2256" s="2" t="s">
        <v>3446</v>
      </c>
      <c r="K2256" s="2" t="s">
        <v>3446</v>
      </c>
      <c r="L2256" s="2" t="s">
        <v>3415</v>
      </c>
      <c r="M2256" s="2" t="n">
        <v>55072</v>
      </c>
      <c r="N2256" s="2" t="s">
        <v>3447</v>
      </c>
    </row>
    <row r="2257" customFormat="false" ht="18.7" hidden="false" customHeight="true" outlineLevel="0" collapsed="false">
      <c r="A2257" s="1" t="n">
        <v>2256</v>
      </c>
      <c r="B2257" s="7" t="str">
        <f aca="false">HYPERLINK("https://mncourtfraud.com/file/27-CR-23-4900.pdf","27-CR-23-4900")</f>
        <v>27-CR-23-4900</v>
      </c>
      <c r="C2257" s="1" t="n">
        <v>1</v>
      </c>
      <c r="D2257" s="2" t="s">
        <v>12</v>
      </c>
      <c r="E2257" s="8" t="n">
        <v>45160</v>
      </c>
      <c r="F2257" s="2" t="s">
        <v>15</v>
      </c>
      <c r="G2257" s="7" t="str">
        <f aca="false">HYPERLINK("https://mncourtfraud.com/file/MCRO_27-CR-23-4900_Order-Evaluation for Competency to Proceed (Rule 20.01)_2023-08-22_20251126190217.pdf","MCRO_27-CR-23-4900_Order-Evaluation for Competency to Proceed (Rule 20.01)_2023-08-22_20251126190217.pdf")</f>
        <v>MCRO_27-CR-23-4900_Order-Evaluation for Competency to Proceed (Rule 20.01)_2023-08-22_20251126190217.pdf</v>
      </c>
      <c r="H2257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2257" s="1" t="s">
        <v>3413</v>
      </c>
      <c r="J2257" s="2" t="s">
        <v>3424</v>
      </c>
      <c r="K2257" s="2" t="s">
        <v>3424</v>
      </c>
      <c r="L2257" s="2" t="s">
        <v>3415</v>
      </c>
      <c r="M2257" s="2" t="n">
        <v>14252</v>
      </c>
    </row>
    <row r="2258" customFormat="false" ht="18.7" hidden="false" customHeight="true" outlineLevel="0" collapsed="false">
      <c r="A2258" s="1" t="n">
        <v>2257</v>
      </c>
      <c r="B2258" s="7" t="str">
        <f aca="false">HYPERLINK("https://mncourtfraud.com/file/27-CR-23-4900.pdf","27-CR-23-4900")</f>
        <v>27-CR-23-4900</v>
      </c>
      <c r="C2258" s="1" t="n">
        <v>1</v>
      </c>
      <c r="D2258" s="2" t="s">
        <v>12</v>
      </c>
      <c r="E2258" s="8" t="n">
        <v>45160</v>
      </c>
      <c r="F2258" s="2" t="s">
        <v>15</v>
      </c>
      <c r="G2258" s="7" t="str">
        <f aca="false">HYPERLINK("https://mncourtfraud.com/file/MCRO_27-CR-23-4900_Order-Evaluation for Competency to Proceed (Rule 20.01)_2023-08-22_20251126190217.pdf","MCRO_27-CR-23-4900_Order-Evaluation for Competency to Proceed (Rule 20.01)_2023-08-22_20251126190217.pdf")</f>
        <v>MCRO_27-CR-23-4900_Order-Evaluation for Competency to Proceed (Rule 20.01)_2023-08-22_20251126190217.pdf</v>
      </c>
      <c r="H2258" s="7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2258" s="1" t="s">
        <v>3406</v>
      </c>
      <c r="L2258" s="2" t="s">
        <v>3412</v>
      </c>
      <c r="M2258" s="2" t="n">
        <v>5012</v>
      </c>
      <c r="S2258" s="2" t="n">
        <v>2740</v>
      </c>
      <c r="T2258" s="2" t="n">
        <v>180</v>
      </c>
    </row>
    <row r="2259" customFormat="false" ht="18.7" hidden="false" customHeight="true" outlineLevel="0" collapsed="false">
      <c r="A2259" s="1" t="n">
        <v>2258</v>
      </c>
      <c r="B2259" s="7" t="str">
        <f aca="false">HYPERLINK("https://mncourtfraud.com/file/27-CR-23-4900.pdf","27-CR-23-4900")</f>
        <v>27-CR-23-4900</v>
      </c>
      <c r="C2259" s="1" t="n">
        <v>1</v>
      </c>
      <c r="D2259" s="2" t="s">
        <v>12</v>
      </c>
      <c r="E2259" s="8" t="n">
        <v>45160</v>
      </c>
      <c r="F2259" s="2" t="s">
        <v>15</v>
      </c>
      <c r="G2259" s="7" t="str">
        <f aca="false">HYPERLINK("https://mncourtfraud.com/file/MCRO_27-CR-23-4900_Order-Evaluation for Competency to Proceed (Rule 20.01)_2023-08-22_20251126190217.pdf","MCRO_27-CR-23-4900_Order-Evaluation for Competency to Proceed (Rule 20.01)_2023-08-22_20251126190217.pdf")</f>
        <v>MCRO_27-CR-23-4900_Order-Evaluation for Competency to Proceed (Rule 20.01)_2023-08-22_20251126190217.pdf</v>
      </c>
      <c r="H2259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2259" s="1" t="s">
        <v>3413</v>
      </c>
      <c r="J2259" s="2" t="s">
        <v>3448</v>
      </c>
      <c r="K2259" s="2" t="s">
        <v>3448</v>
      </c>
      <c r="L2259" s="2" t="s">
        <v>3415</v>
      </c>
      <c r="M2259" s="2" t="n">
        <v>916684</v>
      </c>
    </row>
    <row r="2260" customFormat="false" ht="18.7" hidden="false" customHeight="true" outlineLevel="0" collapsed="false">
      <c r="A2260" s="1" t="n">
        <v>2259</v>
      </c>
      <c r="B2260" s="7" t="str">
        <f aca="false">HYPERLINK("https://mncourtfraud.com/file/27-CR-23-4900.pdf","27-CR-23-4900")</f>
        <v>27-CR-23-4900</v>
      </c>
      <c r="C2260" s="1" t="n">
        <v>1</v>
      </c>
      <c r="D2260" s="2" t="s">
        <v>12</v>
      </c>
      <c r="E2260" s="8" t="n">
        <v>45160</v>
      </c>
      <c r="F2260" s="2" t="s">
        <v>15</v>
      </c>
      <c r="G2260" s="7" t="str">
        <f aca="false">HYPERLINK("https://mncourtfraud.com/file/MCRO_27-CR-23-4900_Order-Evaluation for Competency to Proceed (Rule 20.01)_2023-08-22_20251126190217.pdf","MCRO_27-CR-23-4900_Order-Evaluation for Competency to Proceed (Rule 20.01)_2023-08-22_20251126190217.pdf")</f>
        <v>MCRO_27-CR-23-4900_Order-Evaluation for Competency to Proceed (Rule 20.01)_2023-08-22_20251126190217.pdf</v>
      </c>
      <c r="H2260" s="7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2260" s="1" t="s">
        <v>3406</v>
      </c>
      <c r="K2260" s="2" t="s">
        <v>3459</v>
      </c>
      <c r="L2260" s="2" t="s">
        <v>3408</v>
      </c>
      <c r="M2260" s="2" t="n">
        <v>5220</v>
      </c>
      <c r="O2260" s="2" t="s">
        <v>3460</v>
      </c>
      <c r="P2260" s="2" t="s">
        <v>3410</v>
      </c>
      <c r="S2260" s="2" t="n">
        <v>881</v>
      </c>
      <c r="T2260" s="2" t="n">
        <v>216</v>
      </c>
    </row>
    <row r="2261" customFormat="false" ht="18.7" hidden="false" customHeight="true" outlineLevel="0" collapsed="false">
      <c r="A2261" s="1" t="n">
        <v>2260</v>
      </c>
      <c r="B2261" s="7" t="str">
        <f aca="false">HYPERLINK("https://mncourtfraud.com/file/27-CR-23-4900.pdf","27-CR-23-4900")</f>
        <v>27-CR-23-4900</v>
      </c>
      <c r="C2261" s="1" t="n">
        <v>1</v>
      </c>
      <c r="D2261" s="2" t="s">
        <v>12</v>
      </c>
      <c r="E2261" s="8" t="n">
        <v>45412</v>
      </c>
      <c r="F2261" s="2" t="s">
        <v>15</v>
      </c>
      <c r="G2261" s="7" t="str">
        <f aca="false">HYPERLINK("https://mncourtfraud.com/file/MCRO_27-CR-23-4900_Order-Evaluation for Competency to Proceed (Rule 20.01)_2024-04-30_20251126190224.pdf","MCRO_27-CR-23-4900_Order-Evaluation for Competency to Proceed (Rule 20.01)_2024-04-30_20251126190224.pdf")</f>
        <v>MCRO_27-CR-23-4900_Order-Evaluation for Competency to Proceed (Rule 20.01)_2024-04-30_20251126190224.pdf</v>
      </c>
      <c r="H2261" s="7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2261" s="1" t="s">
        <v>3406</v>
      </c>
      <c r="L2261" s="2" t="s">
        <v>3412</v>
      </c>
      <c r="M2261" s="2" t="n">
        <v>154549</v>
      </c>
      <c r="S2261" s="2" t="n">
        <v>2560</v>
      </c>
      <c r="T2261" s="2" t="n">
        <v>3300</v>
      </c>
    </row>
    <row r="2262" customFormat="false" ht="18.7" hidden="false" customHeight="true" outlineLevel="0" collapsed="false">
      <c r="A2262" s="1" t="n">
        <v>2261</v>
      </c>
      <c r="B2262" s="7" t="str">
        <f aca="false">HYPERLINK("https://mncourtfraud.com/file/27-CR-23-4900.pdf","27-CR-23-4900")</f>
        <v>27-CR-23-4900</v>
      </c>
      <c r="C2262" s="1" t="n">
        <v>1</v>
      </c>
      <c r="D2262" s="2" t="s">
        <v>12</v>
      </c>
      <c r="E2262" s="8" t="n">
        <v>45412</v>
      </c>
      <c r="F2262" s="2" t="s">
        <v>15</v>
      </c>
      <c r="G2262" s="7" t="str">
        <f aca="false">HYPERLINK("https://mncourtfraud.com/file/MCRO_27-CR-23-4900_Order-Evaluation for Competency to Proceed (Rule 20.01)_2024-04-30_20251126190224.pdf","MCRO_27-CR-23-4900_Order-Evaluation for Competency to Proceed (Rule 20.01)_2024-04-30_20251126190224.pdf")</f>
        <v>MCRO_27-CR-23-4900_Order-Evaluation for Competency to Proceed (Rule 20.01)_2024-04-30_20251126190224.pdf</v>
      </c>
      <c r="H2262" s="7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2262" s="1" t="s">
        <v>3406</v>
      </c>
      <c r="L2262" s="2" t="s">
        <v>3412</v>
      </c>
      <c r="M2262" s="2" t="n">
        <v>180051</v>
      </c>
      <c r="S2262" s="2" t="n">
        <v>2560</v>
      </c>
      <c r="T2262" s="2" t="n">
        <v>3300</v>
      </c>
    </row>
    <row r="2263" customFormat="false" ht="18.7" hidden="false" customHeight="true" outlineLevel="0" collapsed="false">
      <c r="A2263" s="1" t="n">
        <v>2262</v>
      </c>
      <c r="B2263" s="7" t="str">
        <f aca="false">HYPERLINK("https://mncourtfraud.com/file/27-CR-23-4900.pdf","27-CR-23-4900")</f>
        <v>27-CR-23-4900</v>
      </c>
      <c r="C2263" s="1" t="n">
        <v>1</v>
      </c>
      <c r="D2263" s="2" t="s">
        <v>12</v>
      </c>
      <c r="E2263" s="8" t="n">
        <v>45412</v>
      </c>
      <c r="F2263" s="2" t="s">
        <v>24</v>
      </c>
      <c r="G2263" s="7" t="str">
        <f aca="false">HYPERLINK("https://mncourtfraud.com/file/MCRO_27-CR-23-4900_Order for Conditional Release_2024-04-30_20251126190206.pdf","MCRO_27-CR-23-4900_Order for Conditional Release_2024-04-30_20251126190206.pdf")</f>
        <v>MCRO_27-CR-23-4900_Order for Conditional Release_2024-04-30_20251126190206.pdf</v>
      </c>
      <c r="H2263" s="7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2263" s="1" t="s">
        <v>3406</v>
      </c>
      <c r="L2263" s="2" t="s">
        <v>3412</v>
      </c>
      <c r="M2263" s="2" t="n">
        <v>38726</v>
      </c>
      <c r="S2263" s="2" t="n">
        <v>2560</v>
      </c>
      <c r="T2263" s="2" t="n">
        <v>3300</v>
      </c>
    </row>
    <row r="2264" customFormat="false" ht="18.7" hidden="false" customHeight="true" outlineLevel="0" collapsed="false">
      <c r="A2264" s="1" t="n">
        <v>2263</v>
      </c>
      <c r="B2264" s="7" t="str">
        <f aca="false">HYPERLINK("https://mncourtfraud.com/file/27-CR-23-4900.pdf","27-CR-23-4900")</f>
        <v>27-CR-23-4900</v>
      </c>
      <c r="C2264" s="1" t="n">
        <v>1</v>
      </c>
      <c r="D2264" s="2" t="s">
        <v>12</v>
      </c>
      <c r="E2264" s="8" t="n">
        <v>45412</v>
      </c>
      <c r="F2264" s="2" t="s">
        <v>15</v>
      </c>
      <c r="G2264" s="7" t="str">
        <f aca="false">HYPERLINK("https://mncourtfraud.com/file/MCRO_27-CR-23-4900_Order-Evaluation for Competency to Proceed (Rule 20.01)_2024-04-30_20251126190224.pdf","MCRO_27-CR-23-4900_Order-Evaluation for Competency to Proceed (Rule 20.01)_2024-04-30_20251126190224.pdf")</f>
        <v>MCRO_27-CR-23-4900_Order-Evaluation for Competency to Proceed (Rule 20.01)_2024-04-30_20251126190224.pdf</v>
      </c>
      <c r="H2264" s="7" t="str">
        <f aca="false">HYPERLINK("https://mncourtfraud.com/file/4db7d2599119dc45c08adba3b9b2ba67e6a3d697261d3f95ca4c5b01777bcfbe.ttf","4db7d2599119dc45c08adba3b9b2ba67e6a3d697261d3f95ca4c5b01777bcfbe")</f>
        <v>4db7d2599119dc45c08adba3b9b2ba67e6a3d697261d3f95ca4c5b01777bcfbe</v>
      </c>
      <c r="I2264" s="1" t="s">
        <v>3413</v>
      </c>
      <c r="L2264" s="2" t="s">
        <v>3415</v>
      </c>
      <c r="M2264" s="2" t="n">
        <v>333576</v>
      </c>
    </row>
    <row r="2265" customFormat="false" ht="18.7" hidden="false" customHeight="true" outlineLevel="0" collapsed="false">
      <c r="A2265" s="1" t="n">
        <v>2264</v>
      </c>
      <c r="B2265" s="7" t="str">
        <f aca="false">HYPERLINK("https://mncourtfraud.com/file/27-CR-23-4900.pdf","27-CR-23-4900")</f>
        <v>27-CR-23-4900</v>
      </c>
      <c r="C2265" s="1" t="n">
        <v>1</v>
      </c>
      <c r="D2265" s="2" t="s">
        <v>12</v>
      </c>
      <c r="E2265" s="8" t="n">
        <v>45412</v>
      </c>
      <c r="F2265" s="2" t="s">
        <v>15</v>
      </c>
      <c r="G2265" s="7" t="str">
        <f aca="false">HYPERLINK("https://mncourtfraud.com/file/MCRO_27-CR-23-4900_Order-Evaluation for Competency to Proceed (Rule 20.01)_2024-04-30_20251126190224.pdf","MCRO_27-CR-23-4900_Order-Evaluation for Competency to Proceed (Rule 20.01)_2024-04-30_20251126190224.pdf")</f>
        <v>MCRO_27-CR-23-4900_Order-Evaluation for Competency to Proceed (Rule 20.01)_2024-04-30_20251126190224.pdf</v>
      </c>
      <c r="H2265" s="7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2265" s="1" t="s">
        <v>3406</v>
      </c>
      <c r="L2265" s="2" t="s">
        <v>3412</v>
      </c>
      <c r="M2265" s="2" t="n">
        <v>71271</v>
      </c>
      <c r="S2265" s="2" t="n">
        <v>2560</v>
      </c>
      <c r="T2265" s="2" t="n">
        <v>3300</v>
      </c>
    </row>
    <row r="2266" customFormat="false" ht="18.7" hidden="false" customHeight="true" outlineLevel="0" collapsed="false">
      <c r="A2266" s="1" t="n">
        <v>2265</v>
      </c>
      <c r="B2266" s="7" t="str">
        <f aca="false">HYPERLINK("https://mncourtfraud.com/file/27-CR-23-4900.pdf","27-CR-23-4900")</f>
        <v>27-CR-23-4900</v>
      </c>
      <c r="C2266" s="1" t="n">
        <v>1</v>
      </c>
      <c r="D2266" s="2" t="s">
        <v>12</v>
      </c>
      <c r="E2266" s="8" t="n">
        <v>45412</v>
      </c>
      <c r="F2266" s="2" t="s">
        <v>24</v>
      </c>
      <c r="G2266" s="7" t="str">
        <f aca="false">HYPERLINK("https://mncourtfraud.com/file/MCRO_27-CR-23-4900_Order for Conditional Release_2024-04-30_20251126190206.pdf","MCRO_27-CR-23-4900_Order for Conditional Release_2024-04-30_20251126190206.pdf")</f>
        <v>MCRO_27-CR-23-4900_Order for Conditional Release_2024-04-30_20251126190206.pdf</v>
      </c>
      <c r="H2266" s="7" t="str">
        <f aca="false">HYPERLINK("https://mncourtfraud.com/file/d5cf4f06aaee8f372e6af86dab12d75d131a3ba68ba6baeac4b7b514ef3e0b85.ttf","d5cf4f06aaee8f372e6af86dab12d75d131a3ba68ba6baeac4b7b514ef3e0b85")</f>
        <v>d5cf4f06aaee8f372e6af86dab12d75d131a3ba68ba6baeac4b7b514ef3e0b85</v>
      </c>
      <c r="I2266" s="1" t="s">
        <v>3413</v>
      </c>
      <c r="L2266" s="2" t="s">
        <v>3415</v>
      </c>
      <c r="M2266" s="2" t="n">
        <v>333576</v>
      </c>
    </row>
    <row r="2267" customFormat="false" ht="18.7" hidden="false" customHeight="true" outlineLevel="0" collapsed="false">
      <c r="A2267" s="1" t="n">
        <v>2266</v>
      </c>
      <c r="B2267" s="7" t="str">
        <f aca="false">HYPERLINK("https://mncourtfraud.com/file/27-CR-23-4900.pdf","27-CR-23-4900")</f>
        <v>27-CR-23-4900</v>
      </c>
      <c r="C2267" s="1" t="n">
        <v>1</v>
      </c>
      <c r="D2267" s="2" t="s">
        <v>12</v>
      </c>
      <c r="E2267" s="8" t="n">
        <v>45412</v>
      </c>
      <c r="F2267" s="2" t="s">
        <v>24</v>
      </c>
      <c r="G2267" s="7" t="str">
        <f aca="false">HYPERLINK("https://mncourtfraud.com/file/MCRO_27-CR-23-4900_Order for Conditional Release_2024-04-30_20251126190206.pdf","MCRO_27-CR-23-4900_Order for Conditional Release_2024-04-30_20251126190206.pdf")</f>
        <v>MCRO_27-CR-23-4900_Order for Conditional Release_2024-04-30_20251126190206.pdf</v>
      </c>
      <c r="H2267" s="7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2267" s="1" t="s">
        <v>3406</v>
      </c>
      <c r="L2267" s="2" t="s">
        <v>3412</v>
      </c>
      <c r="M2267" s="2" t="n">
        <v>195018</v>
      </c>
      <c r="S2267" s="2" t="n">
        <v>2560</v>
      </c>
      <c r="T2267" s="2" t="n">
        <v>3300</v>
      </c>
    </row>
    <row r="2268" customFormat="false" ht="18.7" hidden="false" customHeight="true" outlineLevel="0" collapsed="false">
      <c r="A2268" s="1" t="n">
        <v>2267</v>
      </c>
      <c r="B2268" s="7" t="str">
        <f aca="false">HYPERLINK("https://mncourtfraud.com/file/27-CR-23-4904.pdf","27-CR-23-4904")</f>
        <v>27-CR-23-4904</v>
      </c>
      <c r="C2268" s="1" t="n">
        <v>1</v>
      </c>
      <c r="D2268" s="2" t="s">
        <v>12</v>
      </c>
      <c r="E2268" s="8" t="n">
        <v>45048</v>
      </c>
      <c r="F2268" s="2" t="s">
        <v>80</v>
      </c>
      <c r="G2268" s="7" t="str">
        <f aca="false">HYPERLINK("https://mncourtfraud.com/file/MCRO_27-CR-23-4904_Finding of Incompetency and Order_2023-05-02_20251126190244.pdf","MCRO_27-CR-23-4904_Finding of Incompetency and Order_2023-05-02_20251126190244.pdf")</f>
        <v>MCRO_27-CR-23-4904_Finding of Incompetency and Order_2023-05-02_20251126190244.pdf</v>
      </c>
      <c r="H2268" s="7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268" s="1" t="s">
        <v>3406</v>
      </c>
      <c r="L2268" s="2" t="s">
        <v>3412</v>
      </c>
      <c r="M2268" s="2" t="n">
        <v>3506</v>
      </c>
      <c r="S2268" s="2" t="n">
        <v>1410</v>
      </c>
      <c r="T2268" s="2" t="n">
        <v>150</v>
      </c>
    </row>
    <row r="2269" customFormat="false" ht="18.7" hidden="false" customHeight="true" outlineLevel="0" collapsed="false">
      <c r="A2269" s="1" t="n">
        <v>2268</v>
      </c>
      <c r="B2269" s="7" t="str">
        <f aca="false">HYPERLINK("https://mncourtfraud.com/file/27-CR-23-4904.pdf","27-CR-23-4904")</f>
        <v>27-CR-23-4904</v>
      </c>
      <c r="C2269" s="1" t="n">
        <v>1</v>
      </c>
      <c r="D2269" s="2" t="s">
        <v>12</v>
      </c>
      <c r="E2269" s="8" t="n">
        <v>45048</v>
      </c>
      <c r="F2269" s="2" t="s">
        <v>80</v>
      </c>
      <c r="G2269" s="7" t="str">
        <f aca="false">HYPERLINK("https://mncourtfraud.com/file/MCRO_27-CR-23-4904_Finding of Incompetency and Order_2023-05-02_20251126190244.pdf","MCRO_27-CR-23-4904_Finding of Incompetency and Order_2023-05-02_20251126190244.pdf")</f>
        <v>MCRO_27-CR-23-4904_Finding of Incompetency and Order_2023-05-02_20251126190244.pdf</v>
      </c>
      <c r="H2269" s="7" t="str">
        <f aca="false">HYPERLINK("https://mncourtfraud.com/file/18befca089509ee2fbaddf9c5b79bf5988523b22d2369743ed9a591b9fc3bdb6.ttf","18befca089509ee2fbaddf9c5b79bf5988523b22d2369743ed9a591b9fc3bdb6")</f>
        <v>18befca089509ee2fbaddf9c5b79bf5988523b22d2369743ed9a591b9fc3bdb6</v>
      </c>
      <c r="I2269" s="1" t="s">
        <v>3413</v>
      </c>
      <c r="J2269" s="2" t="s">
        <v>3421</v>
      </c>
      <c r="K2269" s="2" t="s">
        <v>3450</v>
      </c>
      <c r="L2269" s="2" t="s">
        <v>3415</v>
      </c>
      <c r="M2269" s="2" t="n">
        <v>115928</v>
      </c>
    </row>
    <row r="2270" customFormat="false" ht="18.7" hidden="false" customHeight="true" outlineLevel="0" collapsed="false">
      <c r="A2270" s="1" t="n">
        <v>2269</v>
      </c>
      <c r="B2270" s="7" t="str">
        <f aca="false">HYPERLINK("https://mncourtfraud.com/file/27-CR-23-4904.pdf","27-CR-23-4904")</f>
        <v>27-CR-23-4904</v>
      </c>
      <c r="C2270" s="1" t="n">
        <v>1</v>
      </c>
      <c r="D2270" s="2" t="s">
        <v>12</v>
      </c>
      <c r="E2270" s="8" t="n">
        <v>45048</v>
      </c>
      <c r="F2270" s="2" t="s">
        <v>80</v>
      </c>
      <c r="G2270" s="7" t="str">
        <f aca="false">HYPERLINK("https://mncourtfraud.com/file/MCRO_27-CR-23-4904_Finding of Incompetency and Order_2023-05-02_20251126190244.pdf","MCRO_27-CR-23-4904_Finding of Incompetency and Order_2023-05-02_20251126190244.pdf")</f>
        <v>MCRO_27-CR-23-4904_Finding of Incompetency and Order_2023-05-02_20251126190244.pdf</v>
      </c>
      <c r="H2270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2270" s="1" t="s">
        <v>3413</v>
      </c>
      <c r="J2270" s="2" t="s">
        <v>3446</v>
      </c>
      <c r="K2270" s="2" t="s">
        <v>3446</v>
      </c>
      <c r="L2270" s="2" t="s">
        <v>3415</v>
      </c>
      <c r="M2270" s="2" t="n">
        <v>55072</v>
      </c>
      <c r="N2270" s="2" t="s">
        <v>3447</v>
      </c>
    </row>
    <row r="2271" customFormat="false" ht="18.7" hidden="false" customHeight="true" outlineLevel="0" collapsed="false">
      <c r="A2271" s="1" t="n">
        <v>2270</v>
      </c>
      <c r="B2271" s="7" t="str">
        <f aca="false">HYPERLINK("https://mncourtfraud.com/file/27-CR-23-4904.pdf","27-CR-23-4904")</f>
        <v>27-CR-23-4904</v>
      </c>
      <c r="C2271" s="1" t="n">
        <v>1</v>
      </c>
      <c r="D2271" s="2" t="s">
        <v>12</v>
      </c>
      <c r="E2271" s="8" t="n">
        <v>45048</v>
      </c>
      <c r="F2271" s="2" t="s">
        <v>80</v>
      </c>
      <c r="G2271" s="7" t="str">
        <f aca="false">HYPERLINK("https://mncourtfraud.com/file/MCRO_27-CR-23-4904_Finding of Incompetency and Order_2023-05-02_20251126190244.pdf","MCRO_27-CR-23-4904_Finding of Incompetency and Order_2023-05-02_20251126190244.pdf")</f>
        <v>MCRO_27-CR-23-4904_Finding of Incompetency and Order_2023-05-02_20251126190244.pdf</v>
      </c>
      <c r="H2271" s="7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271" s="1" t="s">
        <v>3406</v>
      </c>
      <c r="K2271" s="2" t="s">
        <v>3451</v>
      </c>
      <c r="L2271" s="2" t="s">
        <v>3408</v>
      </c>
      <c r="M2271" s="2" t="n">
        <v>5295</v>
      </c>
      <c r="O2271" s="2" t="s">
        <v>3452</v>
      </c>
      <c r="P2271" s="2" t="s">
        <v>3410</v>
      </c>
      <c r="S2271" s="2" t="n">
        <v>833</v>
      </c>
      <c r="T2271" s="2" t="n">
        <v>186</v>
      </c>
    </row>
    <row r="2272" customFormat="false" ht="18.7" hidden="false" customHeight="true" outlineLevel="0" collapsed="false">
      <c r="A2272" s="1" t="n">
        <v>2271</v>
      </c>
      <c r="B2272" s="7" t="str">
        <f aca="false">HYPERLINK("https://mncourtfraud.com/file/27-CR-23-4904.pdf","27-CR-23-4904")</f>
        <v>27-CR-23-4904</v>
      </c>
      <c r="C2272" s="1" t="n">
        <v>1</v>
      </c>
      <c r="D2272" s="2" t="s">
        <v>12</v>
      </c>
      <c r="E2272" s="8" t="n">
        <v>45048</v>
      </c>
      <c r="F2272" s="2" t="s">
        <v>80</v>
      </c>
      <c r="G2272" s="7" t="str">
        <f aca="false">HYPERLINK("https://mncourtfraud.com/file/MCRO_27-CR-23-4904_Finding of Incompetency and Order_2023-05-02_20251126190244.pdf","MCRO_27-CR-23-4904_Finding of Incompetency and Order_2023-05-02_20251126190244.pdf")</f>
        <v>MCRO_27-CR-23-4904_Finding of Incompetency and Order_2023-05-02_20251126190244.pdf</v>
      </c>
      <c r="H2272" s="7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272" s="1" t="s">
        <v>3406</v>
      </c>
      <c r="K2272" s="2" t="s">
        <v>3453</v>
      </c>
      <c r="L2272" s="2" t="s">
        <v>3408</v>
      </c>
      <c r="M2272" s="2" t="n">
        <v>3442</v>
      </c>
      <c r="O2272" s="2" t="s">
        <v>3454</v>
      </c>
      <c r="P2272" s="2" t="s">
        <v>3410</v>
      </c>
      <c r="S2272" s="2" t="n">
        <v>857</v>
      </c>
      <c r="T2272" s="2" t="n">
        <v>184</v>
      </c>
    </row>
    <row r="2273" customFormat="false" ht="18.7" hidden="false" customHeight="true" outlineLevel="0" collapsed="false">
      <c r="A2273" s="1" t="n">
        <v>2272</v>
      </c>
      <c r="B2273" s="7" t="str">
        <f aca="false">HYPERLINK("https://mncourtfraud.com/file/27-CR-23-4904.pdf","27-CR-23-4904")</f>
        <v>27-CR-23-4904</v>
      </c>
      <c r="C2273" s="1" t="n">
        <v>1</v>
      </c>
      <c r="D2273" s="2" t="s">
        <v>12</v>
      </c>
      <c r="E2273" s="8" t="n">
        <v>45048</v>
      </c>
      <c r="F2273" s="2" t="s">
        <v>80</v>
      </c>
      <c r="G2273" s="7" t="str">
        <f aca="false">HYPERLINK("https://mncourtfraud.com/file/MCRO_27-CR-23-4904_Finding of Incompetency and Order_2023-05-02_20251126190244.pdf","MCRO_27-CR-23-4904_Finding of Incompetency and Order_2023-05-02_20251126190244.pdf")</f>
        <v>MCRO_27-CR-23-4904_Finding of Incompetency and Order_2023-05-02_20251126190244.pdf</v>
      </c>
      <c r="H2273" s="7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2273" s="1" t="s">
        <v>3406</v>
      </c>
      <c r="L2273" s="2" t="s">
        <v>3412</v>
      </c>
      <c r="M2273" s="2" t="n">
        <v>3824</v>
      </c>
      <c r="S2273" s="2" t="n">
        <v>1850</v>
      </c>
      <c r="T2273" s="2" t="n">
        <v>160</v>
      </c>
    </row>
    <row r="2274" customFormat="false" ht="18.7" hidden="false" customHeight="true" outlineLevel="0" collapsed="false">
      <c r="A2274" s="1" t="n">
        <v>2273</v>
      </c>
      <c r="B2274" s="7" t="str">
        <f aca="false">HYPERLINK("https://mncourtfraud.com/file/27-CR-23-4904.pdf","27-CR-23-4904")</f>
        <v>27-CR-23-4904</v>
      </c>
      <c r="C2274" s="1" t="n">
        <v>1</v>
      </c>
      <c r="D2274" s="2" t="s">
        <v>12</v>
      </c>
      <c r="E2274" s="8" t="n">
        <v>45048</v>
      </c>
      <c r="F2274" s="2" t="s">
        <v>80</v>
      </c>
      <c r="G2274" s="7" t="str">
        <f aca="false">HYPERLINK("https://mncourtfraud.com/file/MCRO_27-CR-23-4904_Finding of Incompetency and Order_2023-05-02_20251126190244.pdf","MCRO_27-CR-23-4904_Finding of Incompetency and Order_2023-05-02_20251126190244.pdf")</f>
        <v>MCRO_27-CR-23-4904_Finding of Incompetency and Order_2023-05-02_20251126190244.pdf</v>
      </c>
      <c r="H2274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2274" s="1" t="s">
        <v>3413</v>
      </c>
      <c r="J2274" s="2" t="s">
        <v>3448</v>
      </c>
      <c r="K2274" s="2" t="s">
        <v>3448</v>
      </c>
      <c r="L2274" s="2" t="s">
        <v>3415</v>
      </c>
      <c r="M2274" s="2" t="n">
        <v>916684</v>
      </c>
    </row>
    <row r="2275" customFormat="false" ht="18.7" hidden="false" customHeight="true" outlineLevel="0" collapsed="false">
      <c r="A2275" s="1" t="n">
        <v>2274</v>
      </c>
      <c r="B2275" s="7" t="str">
        <f aca="false">HYPERLINK("https://mncourtfraud.com/file/27-CR-23-4904.pdf","27-CR-23-4904")</f>
        <v>27-CR-23-4904</v>
      </c>
      <c r="C2275" s="1" t="n">
        <v>1</v>
      </c>
      <c r="D2275" s="2" t="s">
        <v>12</v>
      </c>
      <c r="E2275" s="8" t="n">
        <v>45093</v>
      </c>
      <c r="F2275" s="2" t="s">
        <v>82</v>
      </c>
      <c r="G2275" s="7" t="str">
        <f aca="false">HYPERLINK("https://mncourtfraud.com/file/MCRO_27-CR-23-4904_Notice of Case Reassignment_2023-06-16_20251126190256.pdf","MCRO_27-CR-23-4904_Notice of Case Reassignment_2023-06-16_20251126190256.pdf")</f>
        <v>MCRO_27-CR-23-4904_Notice of Case Reassignment_2023-06-16_20251126190256.pdf</v>
      </c>
      <c r="H2275" s="7" t="str">
        <f aca="false">HYPERLINK("https://mncourtfraud.com/file/1fd1136a5ae69c0e5068fedf111533c283fb06da71a1aebe96b41cad9a15bb33.ttf","1fd1136a5ae69c0e5068fedf111533c283fb06da71a1aebe96b41cad9a15bb33")</f>
        <v>1fd1136a5ae69c0e5068fedf111533c283fb06da71a1aebe96b41cad9a15bb33</v>
      </c>
      <c r="I2275" s="1" t="s">
        <v>3413</v>
      </c>
      <c r="J2275" s="2" t="s">
        <v>3455</v>
      </c>
      <c r="K2275" s="2" t="s">
        <v>3455</v>
      </c>
      <c r="L2275" s="2" t="s">
        <v>3415</v>
      </c>
      <c r="M2275" s="2" t="n">
        <v>96348</v>
      </c>
      <c r="N2275" s="2" t="s">
        <v>3456</v>
      </c>
    </row>
    <row r="2276" customFormat="false" ht="18.7" hidden="false" customHeight="true" outlineLevel="0" collapsed="false">
      <c r="A2276" s="1" t="n">
        <v>2275</v>
      </c>
      <c r="B2276" s="7" t="str">
        <f aca="false">HYPERLINK("https://mncourtfraud.com/file/27-CR-23-4904.pdf","27-CR-23-4904")</f>
        <v>27-CR-23-4904</v>
      </c>
      <c r="C2276" s="1" t="n">
        <v>1</v>
      </c>
      <c r="D2276" s="2" t="s">
        <v>12</v>
      </c>
      <c r="E2276" s="8" t="n">
        <v>45093</v>
      </c>
      <c r="F2276" s="2" t="s">
        <v>82</v>
      </c>
      <c r="G2276" s="7" t="str">
        <f aca="false">HYPERLINK("https://mncourtfraud.com/file/MCRO_27-CR-23-4904_Notice of Case Reassignment_2023-06-16_20251126190256.pdf","MCRO_27-CR-23-4904_Notice of Case Reassignment_2023-06-16_20251126190256.pdf")</f>
        <v>MCRO_27-CR-23-4904_Notice of Case Reassignment_2023-06-16_20251126190256.pdf</v>
      </c>
      <c r="H2276" s="7" t="str">
        <f aca="false">HYPERLINK("https://mncourtfraud.com/file/4b0b043cb476134a2e47a5f4c233d3d0f7a52a3b063b8831356383f89fcd1118.ttf","4b0b043cb476134a2e47a5f4c233d3d0f7a52a3b063b8831356383f89fcd1118")</f>
        <v>4b0b043cb476134a2e47a5f4c233d3d0f7a52a3b063b8831356383f89fcd1118</v>
      </c>
      <c r="I2276" s="1" t="s">
        <v>3413</v>
      </c>
      <c r="J2276" s="2" t="s">
        <v>3457</v>
      </c>
      <c r="K2276" s="2" t="s">
        <v>3457</v>
      </c>
      <c r="L2276" s="2" t="s">
        <v>3415</v>
      </c>
      <c r="M2276" s="2" t="n">
        <v>79764</v>
      </c>
      <c r="N2276" s="2" t="s">
        <v>3458</v>
      </c>
    </row>
    <row r="2277" customFormat="false" ht="18.7" hidden="false" customHeight="true" outlineLevel="0" collapsed="false">
      <c r="A2277" s="1" t="n">
        <v>2276</v>
      </c>
      <c r="B2277" s="7" t="str">
        <f aca="false">HYPERLINK("https://mncourtfraud.com/file/27-CR-23-4904.pdf","27-CR-23-4904")</f>
        <v>27-CR-23-4904</v>
      </c>
      <c r="C2277" s="1" t="n">
        <v>1</v>
      </c>
      <c r="D2277" s="2" t="s">
        <v>12</v>
      </c>
      <c r="E2277" s="8" t="n">
        <v>45160</v>
      </c>
      <c r="F2277" s="2" t="s">
        <v>15</v>
      </c>
      <c r="G2277" s="7" t="str">
        <f aca="false">HYPERLINK("https://mncourtfraud.com/file/MCRO_27-CR-23-4904_Order-Evaluation for Competency to Proceed (Rule 20.01)_2023-08-22_20251126190323.pdf","MCRO_27-CR-23-4904_Order-Evaluation for Competency to Proceed (Rule 20.01)_2023-08-22_20251126190323.pdf")</f>
        <v>MCRO_27-CR-23-4904_Order-Evaluation for Competency to Proceed (Rule 20.01)_2023-08-22_20251126190323.pdf</v>
      </c>
      <c r="H2277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2277" s="1" t="s">
        <v>3413</v>
      </c>
      <c r="J2277" s="2" t="s">
        <v>3449</v>
      </c>
      <c r="K2277" s="2" t="s">
        <v>3449</v>
      </c>
      <c r="L2277" s="2" t="s">
        <v>3415</v>
      </c>
      <c r="M2277" s="2" t="n">
        <v>125504</v>
      </c>
    </row>
    <row r="2278" customFormat="false" ht="18.7" hidden="false" customHeight="true" outlineLevel="0" collapsed="false">
      <c r="A2278" s="1" t="n">
        <v>2277</v>
      </c>
      <c r="B2278" s="7" t="str">
        <f aca="false">HYPERLINK("https://mncourtfraud.com/file/27-CR-23-4904.pdf","27-CR-23-4904")</f>
        <v>27-CR-23-4904</v>
      </c>
      <c r="C2278" s="1" t="n">
        <v>1</v>
      </c>
      <c r="D2278" s="2" t="s">
        <v>12</v>
      </c>
      <c r="E2278" s="8" t="n">
        <v>45160</v>
      </c>
      <c r="F2278" s="2" t="s">
        <v>15</v>
      </c>
      <c r="G2278" s="7" t="str">
        <f aca="false">HYPERLINK("https://mncourtfraud.com/file/MCRO_27-CR-23-4904_Order-Evaluation for Competency to Proceed (Rule 20.01)_2023-08-22_20251126190323.pdf","MCRO_27-CR-23-4904_Order-Evaluation for Competency to Proceed (Rule 20.01)_2023-08-22_20251126190323.pdf")</f>
        <v>MCRO_27-CR-23-4904_Order-Evaluation for Competency to Proceed (Rule 20.01)_2023-08-22_20251126190323.pdf</v>
      </c>
      <c r="H2278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2278" s="1" t="s">
        <v>3413</v>
      </c>
      <c r="J2278" s="2" t="s">
        <v>3449</v>
      </c>
      <c r="K2278" s="2" t="s">
        <v>3449</v>
      </c>
      <c r="L2278" s="2" t="s">
        <v>3415</v>
      </c>
      <c r="M2278" s="2" t="n">
        <v>125504</v>
      </c>
    </row>
    <row r="2279" customFormat="false" ht="18.7" hidden="false" customHeight="true" outlineLevel="0" collapsed="false">
      <c r="A2279" s="1" t="n">
        <v>2278</v>
      </c>
      <c r="B2279" s="7" t="str">
        <f aca="false">HYPERLINK("https://mncourtfraud.com/file/27-CR-23-4904.pdf","27-CR-23-4904")</f>
        <v>27-CR-23-4904</v>
      </c>
      <c r="C2279" s="1" t="n">
        <v>1</v>
      </c>
      <c r="D2279" s="2" t="s">
        <v>12</v>
      </c>
      <c r="E2279" s="8" t="n">
        <v>45160</v>
      </c>
      <c r="F2279" s="2" t="s">
        <v>15</v>
      </c>
      <c r="G2279" s="7" t="str">
        <f aca="false">HYPERLINK("https://mncourtfraud.com/file/MCRO_27-CR-23-4904_Order-Evaluation for Competency to Proceed (Rule 20.01)_2023-08-22_20251126190323.pdf","MCRO_27-CR-23-4904_Order-Evaluation for Competency to Proceed (Rule 20.01)_2023-08-22_20251126190323.pdf")</f>
        <v>MCRO_27-CR-23-4904_Order-Evaluation for Competency to Proceed (Rule 20.01)_2023-08-22_20251126190323.pdf</v>
      </c>
      <c r="H2279" s="7" t="str">
        <f aca="false">HYPERLINK("https://mncourtfraud.com/file/0174a154b1dd2c8824c0108a525fa6ced84bf8b7d2fc9696a847700a4f83bb3b.ttf","0174a154b1dd2c8824c0108a525fa6ced84bf8b7d2fc9696a847700a4f83bb3b")</f>
        <v>0174a154b1dd2c8824c0108a525fa6ced84bf8b7d2fc9696a847700a4f83bb3b</v>
      </c>
      <c r="I2279" s="1" t="s">
        <v>3413</v>
      </c>
      <c r="J2279" s="2" t="s">
        <v>3422</v>
      </c>
      <c r="K2279" s="2" t="s">
        <v>3422</v>
      </c>
      <c r="L2279" s="2" t="s">
        <v>3415</v>
      </c>
      <c r="M2279" s="2" t="n">
        <v>101216</v>
      </c>
    </row>
    <row r="2280" customFormat="false" ht="18.7" hidden="false" customHeight="true" outlineLevel="0" collapsed="false">
      <c r="A2280" s="1" t="n">
        <v>2279</v>
      </c>
      <c r="B2280" s="7" t="str">
        <f aca="false">HYPERLINK("https://mncourtfraud.com/file/27-CR-23-4904.pdf","27-CR-23-4904")</f>
        <v>27-CR-23-4904</v>
      </c>
      <c r="C2280" s="1" t="n">
        <v>1</v>
      </c>
      <c r="D2280" s="2" t="s">
        <v>12</v>
      </c>
      <c r="E2280" s="8" t="n">
        <v>45160</v>
      </c>
      <c r="F2280" s="2" t="s">
        <v>15</v>
      </c>
      <c r="G2280" s="7" t="str">
        <f aca="false">HYPERLINK("https://mncourtfraud.com/file/MCRO_27-CR-23-4904_Order-Evaluation for Competency to Proceed (Rule 20.01)_2023-08-22_20251126190323.pdf","MCRO_27-CR-23-4904_Order-Evaluation for Competency to Proceed (Rule 20.01)_2023-08-22_20251126190323.pdf")</f>
        <v>MCRO_27-CR-23-4904_Order-Evaluation for Competency to Proceed (Rule 20.01)_2023-08-22_20251126190323.pdf</v>
      </c>
      <c r="H2280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2280" s="1" t="s">
        <v>3413</v>
      </c>
      <c r="J2280" s="2" t="s">
        <v>3423</v>
      </c>
      <c r="K2280" s="2" t="s">
        <v>3423</v>
      </c>
      <c r="L2280" s="2" t="s">
        <v>3415</v>
      </c>
      <c r="M2280" s="2" t="n">
        <v>11088</v>
      </c>
    </row>
    <row r="2281" customFormat="false" ht="18.7" hidden="false" customHeight="true" outlineLevel="0" collapsed="false">
      <c r="A2281" s="1" t="n">
        <v>2280</v>
      </c>
      <c r="B2281" s="7" t="str">
        <f aca="false">HYPERLINK("https://mncourtfraud.com/file/27-CR-23-4904.pdf","27-CR-23-4904")</f>
        <v>27-CR-23-4904</v>
      </c>
      <c r="C2281" s="1" t="n">
        <v>1</v>
      </c>
      <c r="D2281" s="2" t="s">
        <v>12</v>
      </c>
      <c r="E2281" s="8" t="n">
        <v>45160</v>
      </c>
      <c r="F2281" s="2" t="s">
        <v>15</v>
      </c>
      <c r="G2281" s="7" t="str">
        <f aca="false">HYPERLINK("https://mncourtfraud.com/file/MCRO_27-CR-23-4904_Order-Evaluation for Competency to Proceed (Rule 20.01)_2023-08-22_20251126190323.pdf","MCRO_27-CR-23-4904_Order-Evaluation for Competency to Proceed (Rule 20.01)_2023-08-22_20251126190323.pdf")</f>
        <v>MCRO_27-CR-23-4904_Order-Evaluation for Competency to Proceed (Rule 20.01)_2023-08-22_20251126190323.pdf</v>
      </c>
      <c r="H2281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2281" s="1" t="s">
        <v>3413</v>
      </c>
      <c r="J2281" s="2" t="s">
        <v>3446</v>
      </c>
      <c r="K2281" s="2" t="s">
        <v>3446</v>
      </c>
      <c r="L2281" s="2" t="s">
        <v>3415</v>
      </c>
      <c r="M2281" s="2" t="n">
        <v>55072</v>
      </c>
      <c r="N2281" s="2" t="s">
        <v>3447</v>
      </c>
    </row>
    <row r="2282" customFormat="false" ht="18.7" hidden="false" customHeight="true" outlineLevel="0" collapsed="false">
      <c r="A2282" s="1" t="n">
        <v>2281</v>
      </c>
      <c r="B2282" s="7" t="str">
        <f aca="false">HYPERLINK("https://mncourtfraud.com/file/27-CR-23-4904.pdf","27-CR-23-4904")</f>
        <v>27-CR-23-4904</v>
      </c>
      <c r="C2282" s="1" t="n">
        <v>1</v>
      </c>
      <c r="D2282" s="2" t="s">
        <v>12</v>
      </c>
      <c r="E2282" s="8" t="n">
        <v>45160</v>
      </c>
      <c r="F2282" s="2" t="s">
        <v>15</v>
      </c>
      <c r="G2282" s="7" t="str">
        <f aca="false">HYPERLINK("https://mncourtfraud.com/file/MCRO_27-CR-23-4904_Order-Evaluation for Competency to Proceed (Rule 20.01)_2023-08-22_20251126190323.pdf","MCRO_27-CR-23-4904_Order-Evaluation for Competency to Proceed (Rule 20.01)_2023-08-22_20251126190323.pdf")</f>
        <v>MCRO_27-CR-23-4904_Order-Evaluation for Competency to Proceed (Rule 20.01)_2023-08-22_20251126190323.pdf</v>
      </c>
      <c r="H2282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2282" s="1" t="s">
        <v>3413</v>
      </c>
      <c r="J2282" s="2" t="s">
        <v>3424</v>
      </c>
      <c r="K2282" s="2" t="s">
        <v>3424</v>
      </c>
      <c r="L2282" s="2" t="s">
        <v>3415</v>
      </c>
      <c r="M2282" s="2" t="n">
        <v>14252</v>
      </c>
    </row>
    <row r="2283" customFormat="false" ht="18.7" hidden="false" customHeight="true" outlineLevel="0" collapsed="false">
      <c r="A2283" s="1" t="n">
        <v>2282</v>
      </c>
      <c r="B2283" s="7" t="str">
        <f aca="false">HYPERLINK("https://mncourtfraud.com/file/27-CR-23-4904.pdf","27-CR-23-4904")</f>
        <v>27-CR-23-4904</v>
      </c>
      <c r="C2283" s="1" t="n">
        <v>1</v>
      </c>
      <c r="D2283" s="2" t="s">
        <v>12</v>
      </c>
      <c r="E2283" s="8" t="n">
        <v>45160</v>
      </c>
      <c r="F2283" s="2" t="s">
        <v>15</v>
      </c>
      <c r="G2283" s="7" t="str">
        <f aca="false">HYPERLINK("https://mncourtfraud.com/file/MCRO_27-CR-23-4904_Order-Evaluation for Competency to Proceed (Rule 20.01)_2023-08-22_20251126190323.pdf","MCRO_27-CR-23-4904_Order-Evaluation for Competency to Proceed (Rule 20.01)_2023-08-22_20251126190323.pdf")</f>
        <v>MCRO_27-CR-23-4904_Order-Evaluation for Competency to Proceed (Rule 20.01)_2023-08-22_20251126190323.pdf</v>
      </c>
      <c r="H2283" s="7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2283" s="1" t="s">
        <v>3406</v>
      </c>
      <c r="L2283" s="2" t="s">
        <v>3412</v>
      </c>
      <c r="M2283" s="2" t="n">
        <v>5012</v>
      </c>
      <c r="S2283" s="2" t="n">
        <v>2740</v>
      </c>
      <c r="T2283" s="2" t="n">
        <v>180</v>
      </c>
    </row>
    <row r="2284" customFormat="false" ht="18.7" hidden="false" customHeight="true" outlineLevel="0" collapsed="false">
      <c r="A2284" s="1" t="n">
        <v>2283</v>
      </c>
      <c r="B2284" s="7" t="str">
        <f aca="false">HYPERLINK("https://mncourtfraud.com/file/27-CR-23-4904.pdf","27-CR-23-4904")</f>
        <v>27-CR-23-4904</v>
      </c>
      <c r="C2284" s="1" t="n">
        <v>1</v>
      </c>
      <c r="D2284" s="2" t="s">
        <v>12</v>
      </c>
      <c r="E2284" s="8" t="n">
        <v>45160</v>
      </c>
      <c r="F2284" s="2" t="s">
        <v>15</v>
      </c>
      <c r="G2284" s="7" t="str">
        <f aca="false">HYPERLINK("https://mncourtfraud.com/file/MCRO_27-CR-23-4904_Order-Evaluation for Competency to Proceed (Rule 20.01)_2023-08-22_20251126190323.pdf","MCRO_27-CR-23-4904_Order-Evaluation for Competency to Proceed (Rule 20.01)_2023-08-22_20251126190323.pdf")</f>
        <v>MCRO_27-CR-23-4904_Order-Evaluation for Competency to Proceed (Rule 20.01)_2023-08-22_20251126190323.pdf</v>
      </c>
      <c r="H2284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2284" s="1" t="s">
        <v>3413</v>
      </c>
      <c r="J2284" s="2" t="s">
        <v>3448</v>
      </c>
      <c r="K2284" s="2" t="s">
        <v>3448</v>
      </c>
      <c r="L2284" s="2" t="s">
        <v>3415</v>
      </c>
      <c r="M2284" s="2" t="n">
        <v>916684</v>
      </c>
    </row>
    <row r="2285" customFormat="false" ht="18.7" hidden="false" customHeight="true" outlineLevel="0" collapsed="false">
      <c r="A2285" s="1" t="n">
        <v>2284</v>
      </c>
      <c r="B2285" s="7" t="str">
        <f aca="false">HYPERLINK("https://mncourtfraud.com/file/27-CR-23-4904.pdf","27-CR-23-4904")</f>
        <v>27-CR-23-4904</v>
      </c>
      <c r="C2285" s="1" t="n">
        <v>1</v>
      </c>
      <c r="D2285" s="2" t="s">
        <v>12</v>
      </c>
      <c r="E2285" s="8" t="n">
        <v>45160</v>
      </c>
      <c r="F2285" s="2" t="s">
        <v>15</v>
      </c>
      <c r="G2285" s="7" t="str">
        <f aca="false">HYPERLINK("https://mncourtfraud.com/file/MCRO_27-CR-23-4904_Order-Evaluation for Competency to Proceed (Rule 20.01)_2023-08-22_20251126190323.pdf","MCRO_27-CR-23-4904_Order-Evaluation for Competency to Proceed (Rule 20.01)_2023-08-22_20251126190323.pdf")</f>
        <v>MCRO_27-CR-23-4904_Order-Evaluation for Competency to Proceed (Rule 20.01)_2023-08-22_20251126190323.pdf</v>
      </c>
      <c r="H2285" s="7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2285" s="1" t="s">
        <v>3406</v>
      </c>
      <c r="K2285" s="2" t="s">
        <v>3459</v>
      </c>
      <c r="L2285" s="2" t="s">
        <v>3408</v>
      </c>
      <c r="M2285" s="2" t="n">
        <v>5220</v>
      </c>
      <c r="O2285" s="2" t="s">
        <v>3460</v>
      </c>
      <c r="P2285" s="2" t="s">
        <v>3410</v>
      </c>
      <c r="S2285" s="2" t="n">
        <v>881</v>
      </c>
      <c r="T2285" s="2" t="n">
        <v>216</v>
      </c>
    </row>
    <row r="2286" customFormat="false" ht="18.7" hidden="false" customHeight="true" outlineLevel="0" collapsed="false">
      <c r="A2286" s="1" t="n">
        <v>2285</v>
      </c>
      <c r="B2286" s="7" t="str">
        <f aca="false">HYPERLINK("https://mncourtfraud.com/file/27-CR-23-4904.pdf","27-CR-23-4904")</f>
        <v>27-CR-23-4904</v>
      </c>
      <c r="C2286" s="1" t="n">
        <v>1</v>
      </c>
      <c r="D2286" s="2" t="s">
        <v>12</v>
      </c>
      <c r="E2286" s="8" t="n">
        <v>45412</v>
      </c>
      <c r="F2286" s="2" t="s">
        <v>15</v>
      </c>
      <c r="G2286" s="7" t="str">
        <f aca="false">HYPERLINK("https://mncourtfraud.com/file/MCRO_27-CR-23-4904_Order-Evaluation for Competency to Proceed (Rule 20.01)_2024-04-30_20251126190319.pdf","MCRO_27-CR-23-4904_Order-Evaluation for Competency to Proceed (Rule 20.01)_2024-04-30_20251126190319.pdf")</f>
        <v>MCRO_27-CR-23-4904_Order-Evaluation for Competency to Proceed (Rule 20.01)_2024-04-30_20251126190319.pdf</v>
      </c>
      <c r="H2286" s="7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2286" s="1" t="s">
        <v>3406</v>
      </c>
      <c r="L2286" s="2" t="s">
        <v>3412</v>
      </c>
      <c r="M2286" s="2" t="n">
        <v>154549</v>
      </c>
      <c r="S2286" s="2" t="n">
        <v>2560</v>
      </c>
      <c r="T2286" s="2" t="n">
        <v>3300</v>
      </c>
    </row>
    <row r="2287" customFormat="false" ht="18.7" hidden="false" customHeight="true" outlineLevel="0" collapsed="false">
      <c r="A2287" s="1" t="n">
        <v>2286</v>
      </c>
      <c r="B2287" s="7" t="str">
        <f aca="false">HYPERLINK("https://mncourtfraud.com/file/27-CR-23-4904.pdf","27-CR-23-4904")</f>
        <v>27-CR-23-4904</v>
      </c>
      <c r="C2287" s="1" t="n">
        <v>1</v>
      </c>
      <c r="D2287" s="2" t="s">
        <v>12</v>
      </c>
      <c r="E2287" s="8" t="n">
        <v>45412</v>
      </c>
      <c r="F2287" s="2" t="s">
        <v>15</v>
      </c>
      <c r="G2287" s="7" t="str">
        <f aca="false">HYPERLINK("https://mncourtfraud.com/file/MCRO_27-CR-23-4904_Order-Evaluation for Competency to Proceed (Rule 20.01)_2024-04-30_20251126190319.pdf","MCRO_27-CR-23-4904_Order-Evaluation for Competency to Proceed (Rule 20.01)_2024-04-30_20251126190319.pdf")</f>
        <v>MCRO_27-CR-23-4904_Order-Evaluation for Competency to Proceed (Rule 20.01)_2024-04-30_20251126190319.pdf</v>
      </c>
      <c r="H2287" s="7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2287" s="1" t="s">
        <v>3406</v>
      </c>
      <c r="L2287" s="2" t="s">
        <v>3412</v>
      </c>
      <c r="M2287" s="2" t="n">
        <v>180051</v>
      </c>
      <c r="S2287" s="2" t="n">
        <v>2560</v>
      </c>
      <c r="T2287" s="2" t="n">
        <v>3300</v>
      </c>
    </row>
    <row r="2288" customFormat="false" ht="18.7" hidden="false" customHeight="true" outlineLevel="0" collapsed="false">
      <c r="A2288" s="1" t="n">
        <v>2287</v>
      </c>
      <c r="B2288" s="7" t="str">
        <f aca="false">HYPERLINK("https://mncourtfraud.com/file/27-CR-23-4904.pdf","27-CR-23-4904")</f>
        <v>27-CR-23-4904</v>
      </c>
      <c r="C2288" s="1" t="n">
        <v>1</v>
      </c>
      <c r="D2288" s="2" t="s">
        <v>12</v>
      </c>
      <c r="E2288" s="8" t="n">
        <v>45412</v>
      </c>
      <c r="F2288" s="2" t="s">
        <v>24</v>
      </c>
      <c r="G2288" s="7" t="str">
        <f aca="false">HYPERLINK("https://mncourtfraud.com/file/MCRO_27-CR-23-4904_Order for Conditional Release_2024-04-30_20251126190306.pdf","MCRO_27-CR-23-4904_Order for Conditional Release_2024-04-30_20251126190306.pdf")</f>
        <v>MCRO_27-CR-23-4904_Order for Conditional Release_2024-04-30_20251126190306.pdf</v>
      </c>
      <c r="H2288" s="7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2288" s="1" t="s">
        <v>3406</v>
      </c>
      <c r="L2288" s="2" t="s">
        <v>3412</v>
      </c>
      <c r="M2288" s="2" t="n">
        <v>38726</v>
      </c>
      <c r="S2288" s="2" t="n">
        <v>2560</v>
      </c>
      <c r="T2288" s="2" t="n">
        <v>3300</v>
      </c>
    </row>
    <row r="2289" customFormat="false" ht="18.7" hidden="false" customHeight="true" outlineLevel="0" collapsed="false">
      <c r="A2289" s="1" t="n">
        <v>2288</v>
      </c>
      <c r="B2289" s="7" t="str">
        <f aca="false">HYPERLINK("https://mncourtfraud.com/file/27-CR-23-4904.pdf","27-CR-23-4904")</f>
        <v>27-CR-23-4904</v>
      </c>
      <c r="C2289" s="1" t="n">
        <v>1</v>
      </c>
      <c r="D2289" s="2" t="s">
        <v>12</v>
      </c>
      <c r="E2289" s="8" t="n">
        <v>45412</v>
      </c>
      <c r="F2289" s="2" t="s">
        <v>15</v>
      </c>
      <c r="G2289" s="7" t="str">
        <f aca="false">HYPERLINK("https://mncourtfraud.com/file/MCRO_27-CR-23-4904_Order-Evaluation for Competency to Proceed (Rule 20.01)_2024-04-30_20251126190319.pdf","MCRO_27-CR-23-4904_Order-Evaluation for Competency to Proceed (Rule 20.01)_2024-04-30_20251126190319.pdf")</f>
        <v>MCRO_27-CR-23-4904_Order-Evaluation for Competency to Proceed (Rule 20.01)_2024-04-30_20251126190319.pdf</v>
      </c>
      <c r="H2289" s="7" t="str">
        <f aca="false">HYPERLINK("https://mncourtfraud.com/file/4db7d2599119dc45c08adba3b9b2ba67e6a3d697261d3f95ca4c5b01777bcfbe.ttf","4db7d2599119dc45c08adba3b9b2ba67e6a3d697261d3f95ca4c5b01777bcfbe")</f>
        <v>4db7d2599119dc45c08adba3b9b2ba67e6a3d697261d3f95ca4c5b01777bcfbe</v>
      </c>
      <c r="I2289" s="1" t="s">
        <v>3413</v>
      </c>
      <c r="L2289" s="2" t="s">
        <v>3415</v>
      </c>
      <c r="M2289" s="2" t="n">
        <v>333576</v>
      </c>
    </row>
    <row r="2290" customFormat="false" ht="18.7" hidden="false" customHeight="true" outlineLevel="0" collapsed="false">
      <c r="A2290" s="1" t="n">
        <v>2289</v>
      </c>
      <c r="B2290" s="7" t="str">
        <f aca="false">HYPERLINK("https://mncourtfraud.com/file/27-CR-23-4904.pdf","27-CR-23-4904")</f>
        <v>27-CR-23-4904</v>
      </c>
      <c r="C2290" s="1" t="n">
        <v>1</v>
      </c>
      <c r="D2290" s="2" t="s">
        <v>12</v>
      </c>
      <c r="E2290" s="8" t="n">
        <v>45412</v>
      </c>
      <c r="F2290" s="2" t="s">
        <v>15</v>
      </c>
      <c r="G2290" s="7" t="str">
        <f aca="false">HYPERLINK("https://mncourtfraud.com/file/MCRO_27-CR-23-4904_Order-Evaluation for Competency to Proceed (Rule 20.01)_2024-04-30_20251126190319.pdf","MCRO_27-CR-23-4904_Order-Evaluation for Competency to Proceed (Rule 20.01)_2024-04-30_20251126190319.pdf")</f>
        <v>MCRO_27-CR-23-4904_Order-Evaluation for Competency to Proceed (Rule 20.01)_2024-04-30_20251126190319.pdf</v>
      </c>
      <c r="H2290" s="7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2290" s="1" t="s">
        <v>3406</v>
      </c>
      <c r="L2290" s="2" t="s">
        <v>3412</v>
      </c>
      <c r="M2290" s="2" t="n">
        <v>71271</v>
      </c>
      <c r="S2290" s="2" t="n">
        <v>2560</v>
      </c>
      <c r="T2290" s="2" t="n">
        <v>3300</v>
      </c>
    </row>
    <row r="2291" customFormat="false" ht="18.7" hidden="false" customHeight="true" outlineLevel="0" collapsed="false">
      <c r="A2291" s="1" t="n">
        <v>2290</v>
      </c>
      <c r="B2291" s="7" t="str">
        <f aca="false">HYPERLINK("https://mncourtfraud.com/file/27-CR-23-4904.pdf","27-CR-23-4904")</f>
        <v>27-CR-23-4904</v>
      </c>
      <c r="C2291" s="1" t="n">
        <v>1</v>
      </c>
      <c r="D2291" s="2" t="s">
        <v>12</v>
      </c>
      <c r="E2291" s="8" t="n">
        <v>45412</v>
      </c>
      <c r="F2291" s="2" t="s">
        <v>24</v>
      </c>
      <c r="G2291" s="7" t="str">
        <f aca="false">HYPERLINK("https://mncourtfraud.com/file/MCRO_27-CR-23-4904_Order for Conditional Release_2024-04-30_20251126190306.pdf","MCRO_27-CR-23-4904_Order for Conditional Release_2024-04-30_20251126190306.pdf")</f>
        <v>MCRO_27-CR-23-4904_Order for Conditional Release_2024-04-30_20251126190306.pdf</v>
      </c>
      <c r="H2291" s="7" t="str">
        <f aca="false">HYPERLINK("https://mncourtfraud.com/file/d5cf4f06aaee8f372e6af86dab12d75d131a3ba68ba6baeac4b7b514ef3e0b85.ttf","d5cf4f06aaee8f372e6af86dab12d75d131a3ba68ba6baeac4b7b514ef3e0b85")</f>
        <v>d5cf4f06aaee8f372e6af86dab12d75d131a3ba68ba6baeac4b7b514ef3e0b85</v>
      </c>
      <c r="I2291" s="1" t="s">
        <v>3413</v>
      </c>
      <c r="L2291" s="2" t="s">
        <v>3415</v>
      </c>
      <c r="M2291" s="2" t="n">
        <v>333576</v>
      </c>
    </row>
    <row r="2292" customFormat="false" ht="18.7" hidden="false" customHeight="true" outlineLevel="0" collapsed="false">
      <c r="A2292" s="1" t="n">
        <v>2291</v>
      </c>
      <c r="B2292" s="7" t="str">
        <f aca="false">HYPERLINK("https://mncourtfraud.com/file/27-CR-23-4904.pdf","27-CR-23-4904")</f>
        <v>27-CR-23-4904</v>
      </c>
      <c r="C2292" s="1" t="n">
        <v>1</v>
      </c>
      <c r="D2292" s="2" t="s">
        <v>12</v>
      </c>
      <c r="E2292" s="8" t="n">
        <v>45412</v>
      </c>
      <c r="F2292" s="2" t="s">
        <v>24</v>
      </c>
      <c r="G2292" s="7" t="str">
        <f aca="false">HYPERLINK("https://mncourtfraud.com/file/MCRO_27-CR-23-4904_Order for Conditional Release_2024-04-30_20251126190306.pdf","MCRO_27-CR-23-4904_Order for Conditional Release_2024-04-30_20251126190306.pdf")</f>
        <v>MCRO_27-CR-23-4904_Order for Conditional Release_2024-04-30_20251126190306.pdf</v>
      </c>
      <c r="H2292" s="7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2292" s="1" t="s">
        <v>3406</v>
      </c>
      <c r="L2292" s="2" t="s">
        <v>3412</v>
      </c>
      <c r="M2292" s="2" t="n">
        <v>195018</v>
      </c>
      <c r="S2292" s="2" t="n">
        <v>2560</v>
      </c>
      <c r="T2292" s="2" t="n">
        <v>3300</v>
      </c>
    </row>
    <row r="2293" customFormat="false" ht="18.7" hidden="false" customHeight="true" outlineLevel="0" collapsed="false">
      <c r="A2293" s="1" t="n">
        <v>2292</v>
      </c>
      <c r="B2293" s="7" t="str">
        <f aca="false">HYPERLINK("https://mncourtfraud.com/file/27-CR-23-7087.pdf","27-CR-23-7087")</f>
        <v>27-CR-23-7087</v>
      </c>
      <c r="C2293" s="1" t="n">
        <v>1</v>
      </c>
      <c r="D2293" s="2" t="s">
        <v>12</v>
      </c>
      <c r="E2293" s="8" t="n">
        <v>45048</v>
      </c>
      <c r="F2293" s="2" t="s">
        <v>80</v>
      </c>
      <c r="G2293" s="7" t="str">
        <f aca="false">HYPERLINK("https://mncourtfraud.com/file/MCRO_27-CR-23-7087_Finding of Incompetency and Order_2023-05-02_20251126190352.pdf","MCRO_27-CR-23-7087_Finding of Incompetency and Order_2023-05-02_20251126190352.pdf")</f>
        <v>MCRO_27-CR-23-7087_Finding of Incompetency and Order_2023-05-02_20251126190352.pdf</v>
      </c>
      <c r="H2293" s="7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293" s="1" t="s">
        <v>3406</v>
      </c>
      <c r="L2293" s="2" t="s">
        <v>3412</v>
      </c>
      <c r="M2293" s="2" t="n">
        <v>3506</v>
      </c>
      <c r="S2293" s="2" t="n">
        <v>1410</v>
      </c>
      <c r="T2293" s="2" t="n">
        <v>150</v>
      </c>
    </row>
    <row r="2294" customFormat="false" ht="18.7" hidden="false" customHeight="true" outlineLevel="0" collapsed="false">
      <c r="A2294" s="1" t="n">
        <v>2293</v>
      </c>
      <c r="B2294" s="7" t="str">
        <f aca="false">HYPERLINK("https://mncourtfraud.com/file/27-CR-23-7087.pdf","27-CR-23-7087")</f>
        <v>27-CR-23-7087</v>
      </c>
      <c r="C2294" s="1" t="n">
        <v>1</v>
      </c>
      <c r="D2294" s="2" t="s">
        <v>12</v>
      </c>
      <c r="E2294" s="8" t="n">
        <v>45048</v>
      </c>
      <c r="F2294" s="2" t="s">
        <v>80</v>
      </c>
      <c r="G2294" s="7" t="str">
        <f aca="false">HYPERLINK("https://mncourtfraud.com/file/MCRO_27-CR-23-7087_Finding of Incompetency and Order_2023-05-02_20251126190352.pdf","MCRO_27-CR-23-7087_Finding of Incompetency and Order_2023-05-02_20251126190352.pdf")</f>
        <v>MCRO_27-CR-23-7087_Finding of Incompetency and Order_2023-05-02_20251126190352.pdf</v>
      </c>
      <c r="H2294" s="7" t="str">
        <f aca="false">HYPERLINK("https://mncourtfraud.com/file/18befca089509ee2fbaddf9c5b79bf5988523b22d2369743ed9a591b9fc3bdb6.ttf","18befca089509ee2fbaddf9c5b79bf5988523b22d2369743ed9a591b9fc3bdb6")</f>
        <v>18befca089509ee2fbaddf9c5b79bf5988523b22d2369743ed9a591b9fc3bdb6</v>
      </c>
      <c r="I2294" s="1" t="s">
        <v>3413</v>
      </c>
      <c r="J2294" s="2" t="s">
        <v>3421</v>
      </c>
      <c r="K2294" s="2" t="s">
        <v>3450</v>
      </c>
      <c r="L2294" s="2" t="s">
        <v>3415</v>
      </c>
      <c r="M2294" s="2" t="n">
        <v>115928</v>
      </c>
    </row>
    <row r="2295" customFormat="false" ht="18.7" hidden="false" customHeight="true" outlineLevel="0" collapsed="false">
      <c r="A2295" s="1" t="n">
        <v>2294</v>
      </c>
      <c r="B2295" s="7" t="str">
        <f aca="false">HYPERLINK("https://mncourtfraud.com/file/27-CR-23-7087.pdf","27-CR-23-7087")</f>
        <v>27-CR-23-7087</v>
      </c>
      <c r="C2295" s="1" t="n">
        <v>1</v>
      </c>
      <c r="D2295" s="2" t="s">
        <v>12</v>
      </c>
      <c r="E2295" s="8" t="n">
        <v>45048</v>
      </c>
      <c r="F2295" s="2" t="s">
        <v>80</v>
      </c>
      <c r="G2295" s="7" t="str">
        <f aca="false">HYPERLINK("https://mncourtfraud.com/file/MCRO_27-CR-23-7087_Finding of Incompetency and Order_2023-05-02_20251126190352.pdf","MCRO_27-CR-23-7087_Finding of Incompetency and Order_2023-05-02_20251126190352.pdf")</f>
        <v>MCRO_27-CR-23-7087_Finding of Incompetency and Order_2023-05-02_20251126190352.pdf</v>
      </c>
      <c r="H2295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2295" s="1" t="s">
        <v>3413</v>
      </c>
      <c r="J2295" s="2" t="s">
        <v>3446</v>
      </c>
      <c r="K2295" s="2" t="s">
        <v>3446</v>
      </c>
      <c r="L2295" s="2" t="s">
        <v>3415</v>
      </c>
      <c r="M2295" s="2" t="n">
        <v>55072</v>
      </c>
      <c r="N2295" s="2" t="s">
        <v>3447</v>
      </c>
    </row>
    <row r="2296" customFormat="false" ht="18.7" hidden="false" customHeight="true" outlineLevel="0" collapsed="false">
      <c r="A2296" s="1" t="n">
        <v>2295</v>
      </c>
      <c r="B2296" s="7" t="str">
        <f aca="false">HYPERLINK("https://mncourtfraud.com/file/27-CR-23-7087.pdf","27-CR-23-7087")</f>
        <v>27-CR-23-7087</v>
      </c>
      <c r="C2296" s="1" t="n">
        <v>1</v>
      </c>
      <c r="D2296" s="2" t="s">
        <v>12</v>
      </c>
      <c r="E2296" s="8" t="n">
        <v>45048</v>
      </c>
      <c r="F2296" s="2" t="s">
        <v>80</v>
      </c>
      <c r="G2296" s="7" t="str">
        <f aca="false">HYPERLINK("https://mncourtfraud.com/file/MCRO_27-CR-23-7087_Finding of Incompetency and Order_2023-05-02_20251126190352.pdf","MCRO_27-CR-23-7087_Finding of Incompetency and Order_2023-05-02_20251126190352.pdf")</f>
        <v>MCRO_27-CR-23-7087_Finding of Incompetency and Order_2023-05-02_20251126190352.pdf</v>
      </c>
      <c r="H2296" s="7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296" s="1" t="s">
        <v>3406</v>
      </c>
      <c r="K2296" s="2" t="s">
        <v>3451</v>
      </c>
      <c r="L2296" s="2" t="s">
        <v>3408</v>
      </c>
      <c r="M2296" s="2" t="n">
        <v>5295</v>
      </c>
      <c r="O2296" s="2" t="s">
        <v>3452</v>
      </c>
      <c r="P2296" s="2" t="s">
        <v>3410</v>
      </c>
      <c r="S2296" s="2" t="n">
        <v>833</v>
      </c>
      <c r="T2296" s="2" t="n">
        <v>186</v>
      </c>
    </row>
    <row r="2297" customFormat="false" ht="18.7" hidden="false" customHeight="true" outlineLevel="0" collapsed="false">
      <c r="A2297" s="1" t="n">
        <v>2296</v>
      </c>
      <c r="B2297" s="7" t="str">
        <f aca="false">HYPERLINK("https://mncourtfraud.com/file/27-CR-23-7087.pdf","27-CR-23-7087")</f>
        <v>27-CR-23-7087</v>
      </c>
      <c r="C2297" s="1" t="n">
        <v>1</v>
      </c>
      <c r="D2297" s="2" t="s">
        <v>12</v>
      </c>
      <c r="E2297" s="8" t="n">
        <v>45048</v>
      </c>
      <c r="F2297" s="2" t="s">
        <v>80</v>
      </c>
      <c r="G2297" s="7" t="str">
        <f aca="false">HYPERLINK("https://mncourtfraud.com/file/MCRO_27-CR-23-7087_Finding of Incompetency and Order_2023-05-02_20251126190352.pdf","MCRO_27-CR-23-7087_Finding of Incompetency and Order_2023-05-02_20251126190352.pdf")</f>
        <v>MCRO_27-CR-23-7087_Finding of Incompetency and Order_2023-05-02_20251126190352.pdf</v>
      </c>
      <c r="H2297" s="7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297" s="1" t="s">
        <v>3406</v>
      </c>
      <c r="K2297" s="2" t="s">
        <v>3453</v>
      </c>
      <c r="L2297" s="2" t="s">
        <v>3408</v>
      </c>
      <c r="M2297" s="2" t="n">
        <v>3442</v>
      </c>
      <c r="O2297" s="2" t="s">
        <v>3454</v>
      </c>
      <c r="P2297" s="2" t="s">
        <v>3410</v>
      </c>
      <c r="S2297" s="2" t="n">
        <v>857</v>
      </c>
      <c r="T2297" s="2" t="n">
        <v>184</v>
      </c>
    </row>
    <row r="2298" customFormat="false" ht="18.7" hidden="false" customHeight="true" outlineLevel="0" collapsed="false">
      <c r="A2298" s="1" t="n">
        <v>2297</v>
      </c>
      <c r="B2298" s="7" t="str">
        <f aca="false">HYPERLINK("https://mncourtfraud.com/file/27-CR-23-7087.pdf","27-CR-23-7087")</f>
        <v>27-CR-23-7087</v>
      </c>
      <c r="C2298" s="1" t="n">
        <v>1</v>
      </c>
      <c r="D2298" s="2" t="s">
        <v>12</v>
      </c>
      <c r="E2298" s="8" t="n">
        <v>45048</v>
      </c>
      <c r="F2298" s="2" t="s">
        <v>80</v>
      </c>
      <c r="G2298" s="7" t="str">
        <f aca="false">HYPERLINK("https://mncourtfraud.com/file/MCRO_27-CR-23-7087_Finding of Incompetency and Order_2023-05-02_20251126190352.pdf","MCRO_27-CR-23-7087_Finding of Incompetency and Order_2023-05-02_20251126190352.pdf")</f>
        <v>MCRO_27-CR-23-7087_Finding of Incompetency and Order_2023-05-02_20251126190352.pdf</v>
      </c>
      <c r="H2298" s="7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2298" s="1" t="s">
        <v>3406</v>
      </c>
      <c r="L2298" s="2" t="s">
        <v>3412</v>
      </c>
      <c r="M2298" s="2" t="n">
        <v>3824</v>
      </c>
      <c r="S2298" s="2" t="n">
        <v>1850</v>
      </c>
      <c r="T2298" s="2" t="n">
        <v>160</v>
      </c>
    </row>
    <row r="2299" customFormat="false" ht="18.7" hidden="false" customHeight="true" outlineLevel="0" collapsed="false">
      <c r="A2299" s="1" t="n">
        <v>2298</v>
      </c>
      <c r="B2299" s="7" t="str">
        <f aca="false">HYPERLINK("https://mncourtfraud.com/file/27-CR-23-7087.pdf","27-CR-23-7087")</f>
        <v>27-CR-23-7087</v>
      </c>
      <c r="C2299" s="1" t="n">
        <v>1</v>
      </c>
      <c r="D2299" s="2" t="s">
        <v>12</v>
      </c>
      <c r="E2299" s="8" t="n">
        <v>45048</v>
      </c>
      <c r="F2299" s="2" t="s">
        <v>80</v>
      </c>
      <c r="G2299" s="7" t="str">
        <f aca="false">HYPERLINK("https://mncourtfraud.com/file/MCRO_27-CR-23-7087_Finding of Incompetency and Order_2023-05-02_20251126190352.pdf","MCRO_27-CR-23-7087_Finding of Incompetency and Order_2023-05-02_20251126190352.pdf")</f>
        <v>MCRO_27-CR-23-7087_Finding of Incompetency and Order_2023-05-02_20251126190352.pdf</v>
      </c>
      <c r="H2299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2299" s="1" t="s">
        <v>3413</v>
      </c>
      <c r="J2299" s="2" t="s">
        <v>3448</v>
      </c>
      <c r="K2299" s="2" t="s">
        <v>3448</v>
      </c>
      <c r="L2299" s="2" t="s">
        <v>3415</v>
      </c>
      <c r="M2299" s="2" t="n">
        <v>916684</v>
      </c>
    </row>
    <row r="2300" customFormat="false" ht="18.7" hidden="false" customHeight="true" outlineLevel="0" collapsed="false">
      <c r="A2300" s="1" t="n">
        <v>2299</v>
      </c>
      <c r="B2300" s="7" t="str">
        <f aca="false">HYPERLINK("https://mncourtfraud.com/file/27-CR-23-7087.pdf","27-CR-23-7087")</f>
        <v>27-CR-23-7087</v>
      </c>
      <c r="C2300" s="1" t="n">
        <v>1</v>
      </c>
      <c r="D2300" s="2" t="s">
        <v>12</v>
      </c>
      <c r="E2300" s="8" t="n">
        <v>45160</v>
      </c>
      <c r="F2300" s="2" t="s">
        <v>15</v>
      </c>
      <c r="G2300" s="7" t="str">
        <f aca="false">HYPERLINK("https://mncourtfraud.com/file/MCRO_27-CR-23-7087_Order-Evaluation for Competency to Proceed (Rule 20.01)_2023-08-22_20251126190421.pdf","MCRO_27-CR-23-7087_Order-Evaluation for Competency to Proceed (Rule 20.01)_2023-08-22_20251126190421.pdf")</f>
        <v>MCRO_27-CR-23-7087_Order-Evaluation for Competency to Proceed (Rule 20.01)_2023-08-22_20251126190421.pdf</v>
      </c>
      <c r="H2300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2300" s="1" t="s">
        <v>3413</v>
      </c>
      <c r="J2300" s="2" t="s">
        <v>3449</v>
      </c>
      <c r="K2300" s="2" t="s">
        <v>3449</v>
      </c>
      <c r="L2300" s="2" t="s">
        <v>3415</v>
      </c>
      <c r="M2300" s="2" t="n">
        <v>125504</v>
      </c>
    </row>
    <row r="2301" customFormat="false" ht="18.7" hidden="false" customHeight="true" outlineLevel="0" collapsed="false">
      <c r="A2301" s="1" t="n">
        <v>2300</v>
      </c>
      <c r="B2301" s="7" t="str">
        <f aca="false">HYPERLINK("https://mncourtfraud.com/file/27-CR-23-7087.pdf","27-CR-23-7087")</f>
        <v>27-CR-23-7087</v>
      </c>
      <c r="C2301" s="1" t="n">
        <v>1</v>
      </c>
      <c r="D2301" s="2" t="s">
        <v>12</v>
      </c>
      <c r="E2301" s="8" t="n">
        <v>45160</v>
      </c>
      <c r="F2301" s="2" t="s">
        <v>15</v>
      </c>
      <c r="G2301" s="7" t="str">
        <f aca="false">HYPERLINK("https://mncourtfraud.com/file/MCRO_27-CR-23-7087_Order-Evaluation for Competency to Proceed (Rule 20.01)_2023-08-22_20251126190421.pdf","MCRO_27-CR-23-7087_Order-Evaluation for Competency to Proceed (Rule 20.01)_2023-08-22_20251126190421.pdf")</f>
        <v>MCRO_27-CR-23-7087_Order-Evaluation for Competency to Proceed (Rule 20.01)_2023-08-22_20251126190421.pdf</v>
      </c>
      <c r="H2301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2301" s="1" t="s">
        <v>3413</v>
      </c>
      <c r="J2301" s="2" t="s">
        <v>3449</v>
      </c>
      <c r="K2301" s="2" t="s">
        <v>3449</v>
      </c>
      <c r="L2301" s="2" t="s">
        <v>3415</v>
      </c>
      <c r="M2301" s="2" t="n">
        <v>125504</v>
      </c>
    </row>
    <row r="2302" customFormat="false" ht="18.7" hidden="false" customHeight="true" outlineLevel="0" collapsed="false">
      <c r="A2302" s="1" t="n">
        <v>2301</v>
      </c>
      <c r="B2302" s="7" t="str">
        <f aca="false">HYPERLINK("https://mncourtfraud.com/file/27-CR-23-7087.pdf","27-CR-23-7087")</f>
        <v>27-CR-23-7087</v>
      </c>
      <c r="C2302" s="1" t="n">
        <v>1</v>
      </c>
      <c r="D2302" s="2" t="s">
        <v>12</v>
      </c>
      <c r="E2302" s="8" t="n">
        <v>45160</v>
      </c>
      <c r="F2302" s="2" t="s">
        <v>15</v>
      </c>
      <c r="G2302" s="7" t="str">
        <f aca="false">HYPERLINK("https://mncourtfraud.com/file/MCRO_27-CR-23-7087_Order-Evaluation for Competency to Proceed (Rule 20.01)_2023-08-22_20251126190421.pdf","MCRO_27-CR-23-7087_Order-Evaluation for Competency to Proceed (Rule 20.01)_2023-08-22_20251126190421.pdf")</f>
        <v>MCRO_27-CR-23-7087_Order-Evaluation for Competency to Proceed (Rule 20.01)_2023-08-22_20251126190421.pdf</v>
      </c>
      <c r="H2302" s="7" t="str">
        <f aca="false">HYPERLINK("https://mncourtfraud.com/file/0174a154b1dd2c8824c0108a525fa6ced84bf8b7d2fc9696a847700a4f83bb3b.ttf","0174a154b1dd2c8824c0108a525fa6ced84bf8b7d2fc9696a847700a4f83bb3b")</f>
        <v>0174a154b1dd2c8824c0108a525fa6ced84bf8b7d2fc9696a847700a4f83bb3b</v>
      </c>
      <c r="I2302" s="1" t="s">
        <v>3413</v>
      </c>
      <c r="J2302" s="2" t="s">
        <v>3422</v>
      </c>
      <c r="K2302" s="2" t="s">
        <v>3422</v>
      </c>
      <c r="L2302" s="2" t="s">
        <v>3415</v>
      </c>
      <c r="M2302" s="2" t="n">
        <v>101216</v>
      </c>
    </row>
    <row r="2303" customFormat="false" ht="18.7" hidden="false" customHeight="true" outlineLevel="0" collapsed="false">
      <c r="A2303" s="1" t="n">
        <v>2302</v>
      </c>
      <c r="B2303" s="7" t="str">
        <f aca="false">HYPERLINK("https://mncourtfraud.com/file/27-CR-23-7087.pdf","27-CR-23-7087")</f>
        <v>27-CR-23-7087</v>
      </c>
      <c r="C2303" s="1" t="n">
        <v>1</v>
      </c>
      <c r="D2303" s="2" t="s">
        <v>12</v>
      </c>
      <c r="E2303" s="8" t="n">
        <v>45160</v>
      </c>
      <c r="F2303" s="2" t="s">
        <v>15</v>
      </c>
      <c r="G2303" s="7" t="str">
        <f aca="false">HYPERLINK("https://mncourtfraud.com/file/MCRO_27-CR-23-7087_Order-Evaluation for Competency to Proceed (Rule 20.01)_2023-08-22_20251126190421.pdf","MCRO_27-CR-23-7087_Order-Evaluation for Competency to Proceed (Rule 20.01)_2023-08-22_20251126190421.pdf")</f>
        <v>MCRO_27-CR-23-7087_Order-Evaluation for Competency to Proceed (Rule 20.01)_2023-08-22_20251126190421.pdf</v>
      </c>
      <c r="H2303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2303" s="1" t="s">
        <v>3413</v>
      </c>
      <c r="J2303" s="2" t="s">
        <v>3423</v>
      </c>
      <c r="K2303" s="2" t="s">
        <v>3423</v>
      </c>
      <c r="L2303" s="2" t="s">
        <v>3415</v>
      </c>
      <c r="M2303" s="2" t="n">
        <v>11088</v>
      </c>
    </row>
    <row r="2304" customFormat="false" ht="18.7" hidden="false" customHeight="true" outlineLevel="0" collapsed="false">
      <c r="A2304" s="1" t="n">
        <v>2303</v>
      </c>
      <c r="B2304" s="7" t="str">
        <f aca="false">HYPERLINK("https://mncourtfraud.com/file/27-CR-23-7087.pdf","27-CR-23-7087")</f>
        <v>27-CR-23-7087</v>
      </c>
      <c r="C2304" s="1" t="n">
        <v>1</v>
      </c>
      <c r="D2304" s="2" t="s">
        <v>12</v>
      </c>
      <c r="E2304" s="8" t="n">
        <v>45160</v>
      </c>
      <c r="F2304" s="2" t="s">
        <v>15</v>
      </c>
      <c r="G2304" s="7" t="str">
        <f aca="false">HYPERLINK("https://mncourtfraud.com/file/MCRO_27-CR-23-7087_Order-Evaluation for Competency to Proceed (Rule 20.01)_2023-08-22_20251126190421.pdf","MCRO_27-CR-23-7087_Order-Evaluation for Competency to Proceed (Rule 20.01)_2023-08-22_20251126190421.pdf")</f>
        <v>MCRO_27-CR-23-7087_Order-Evaluation for Competency to Proceed (Rule 20.01)_2023-08-22_20251126190421.pdf</v>
      </c>
      <c r="H2304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2304" s="1" t="s">
        <v>3413</v>
      </c>
      <c r="J2304" s="2" t="s">
        <v>3446</v>
      </c>
      <c r="K2304" s="2" t="s">
        <v>3446</v>
      </c>
      <c r="L2304" s="2" t="s">
        <v>3415</v>
      </c>
      <c r="M2304" s="2" t="n">
        <v>55072</v>
      </c>
      <c r="N2304" s="2" t="s">
        <v>3447</v>
      </c>
    </row>
    <row r="2305" customFormat="false" ht="18.7" hidden="false" customHeight="true" outlineLevel="0" collapsed="false">
      <c r="A2305" s="1" t="n">
        <v>2304</v>
      </c>
      <c r="B2305" s="7" t="str">
        <f aca="false">HYPERLINK("https://mncourtfraud.com/file/27-CR-23-7087.pdf","27-CR-23-7087")</f>
        <v>27-CR-23-7087</v>
      </c>
      <c r="C2305" s="1" t="n">
        <v>1</v>
      </c>
      <c r="D2305" s="2" t="s">
        <v>12</v>
      </c>
      <c r="E2305" s="8" t="n">
        <v>45160</v>
      </c>
      <c r="F2305" s="2" t="s">
        <v>15</v>
      </c>
      <c r="G2305" s="7" t="str">
        <f aca="false">HYPERLINK("https://mncourtfraud.com/file/MCRO_27-CR-23-7087_Order-Evaluation for Competency to Proceed (Rule 20.01)_2023-08-22_20251126190421.pdf","MCRO_27-CR-23-7087_Order-Evaluation for Competency to Proceed (Rule 20.01)_2023-08-22_20251126190421.pdf")</f>
        <v>MCRO_27-CR-23-7087_Order-Evaluation for Competency to Proceed (Rule 20.01)_2023-08-22_20251126190421.pdf</v>
      </c>
      <c r="H2305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2305" s="1" t="s">
        <v>3413</v>
      </c>
      <c r="J2305" s="2" t="s">
        <v>3424</v>
      </c>
      <c r="K2305" s="2" t="s">
        <v>3424</v>
      </c>
      <c r="L2305" s="2" t="s">
        <v>3415</v>
      </c>
      <c r="M2305" s="2" t="n">
        <v>14252</v>
      </c>
    </row>
    <row r="2306" customFormat="false" ht="18.7" hidden="false" customHeight="true" outlineLevel="0" collapsed="false">
      <c r="A2306" s="1" t="n">
        <v>2305</v>
      </c>
      <c r="B2306" s="7" t="str">
        <f aca="false">HYPERLINK("https://mncourtfraud.com/file/27-CR-23-7087.pdf","27-CR-23-7087")</f>
        <v>27-CR-23-7087</v>
      </c>
      <c r="C2306" s="1" t="n">
        <v>1</v>
      </c>
      <c r="D2306" s="2" t="s">
        <v>12</v>
      </c>
      <c r="E2306" s="8" t="n">
        <v>45160</v>
      </c>
      <c r="F2306" s="2" t="s">
        <v>15</v>
      </c>
      <c r="G2306" s="7" t="str">
        <f aca="false">HYPERLINK("https://mncourtfraud.com/file/MCRO_27-CR-23-7087_Order-Evaluation for Competency to Proceed (Rule 20.01)_2023-08-22_20251126190421.pdf","MCRO_27-CR-23-7087_Order-Evaluation for Competency to Proceed (Rule 20.01)_2023-08-22_20251126190421.pdf")</f>
        <v>MCRO_27-CR-23-7087_Order-Evaluation for Competency to Proceed (Rule 20.01)_2023-08-22_20251126190421.pdf</v>
      </c>
      <c r="H2306" s="7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2306" s="1" t="s">
        <v>3406</v>
      </c>
      <c r="L2306" s="2" t="s">
        <v>3412</v>
      </c>
      <c r="M2306" s="2" t="n">
        <v>5012</v>
      </c>
      <c r="S2306" s="2" t="n">
        <v>2740</v>
      </c>
      <c r="T2306" s="2" t="n">
        <v>180</v>
      </c>
    </row>
    <row r="2307" customFormat="false" ht="18.7" hidden="false" customHeight="true" outlineLevel="0" collapsed="false">
      <c r="A2307" s="1" t="n">
        <v>2306</v>
      </c>
      <c r="B2307" s="7" t="str">
        <f aca="false">HYPERLINK("https://mncourtfraud.com/file/27-CR-23-7087.pdf","27-CR-23-7087")</f>
        <v>27-CR-23-7087</v>
      </c>
      <c r="C2307" s="1" t="n">
        <v>1</v>
      </c>
      <c r="D2307" s="2" t="s">
        <v>12</v>
      </c>
      <c r="E2307" s="8" t="n">
        <v>45160</v>
      </c>
      <c r="F2307" s="2" t="s">
        <v>15</v>
      </c>
      <c r="G2307" s="7" t="str">
        <f aca="false">HYPERLINK("https://mncourtfraud.com/file/MCRO_27-CR-23-7087_Order-Evaluation for Competency to Proceed (Rule 20.01)_2023-08-22_20251126190421.pdf","MCRO_27-CR-23-7087_Order-Evaluation for Competency to Proceed (Rule 20.01)_2023-08-22_20251126190421.pdf")</f>
        <v>MCRO_27-CR-23-7087_Order-Evaluation for Competency to Proceed (Rule 20.01)_2023-08-22_20251126190421.pdf</v>
      </c>
      <c r="H2307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2307" s="1" t="s">
        <v>3413</v>
      </c>
      <c r="J2307" s="2" t="s">
        <v>3448</v>
      </c>
      <c r="K2307" s="2" t="s">
        <v>3448</v>
      </c>
      <c r="L2307" s="2" t="s">
        <v>3415</v>
      </c>
      <c r="M2307" s="2" t="n">
        <v>916684</v>
      </c>
    </row>
    <row r="2308" customFormat="false" ht="18.7" hidden="false" customHeight="true" outlineLevel="0" collapsed="false">
      <c r="A2308" s="1" t="n">
        <v>2307</v>
      </c>
      <c r="B2308" s="7" t="str">
        <f aca="false">HYPERLINK("https://mncourtfraud.com/file/27-CR-23-7087.pdf","27-CR-23-7087")</f>
        <v>27-CR-23-7087</v>
      </c>
      <c r="C2308" s="1" t="n">
        <v>1</v>
      </c>
      <c r="D2308" s="2" t="s">
        <v>12</v>
      </c>
      <c r="E2308" s="8" t="n">
        <v>45160</v>
      </c>
      <c r="F2308" s="2" t="s">
        <v>15</v>
      </c>
      <c r="G2308" s="7" t="str">
        <f aca="false">HYPERLINK("https://mncourtfraud.com/file/MCRO_27-CR-23-7087_Order-Evaluation for Competency to Proceed (Rule 20.01)_2023-08-22_20251126190421.pdf","MCRO_27-CR-23-7087_Order-Evaluation for Competency to Proceed (Rule 20.01)_2023-08-22_20251126190421.pdf")</f>
        <v>MCRO_27-CR-23-7087_Order-Evaluation for Competency to Proceed (Rule 20.01)_2023-08-22_20251126190421.pdf</v>
      </c>
      <c r="H2308" s="7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2308" s="1" t="s">
        <v>3406</v>
      </c>
      <c r="K2308" s="2" t="s">
        <v>3459</v>
      </c>
      <c r="L2308" s="2" t="s">
        <v>3408</v>
      </c>
      <c r="M2308" s="2" t="n">
        <v>5220</v>
      </c>
      <c r="O2308" s="2" t="s">
        <v>3460</v>
      </c>
      <c r="P2308" s="2" t="s">
        <v>3410</v>
      </c>
      <c r="S2308" s="2" t="n">
        <v>881</v>
      </c>
      <c r="T2308" s="2" t="n">
        <v>216</v>
      </c>
    </row>
    <row r="2309" customFormat="false" ht="18.7" hidden="false" customHeight="true" outlineLevel="0" collapsed="false">
      <c r="A2309" s="1" t="n">
        <v>2308</v>
      </c>
      <c r="B2309" s="7" t="str">
        <f aca="false">HYPERLINK("https://mncourtfraud.com/file/27-CR-23-7087.pdf","27-CR-23-7087")</f>
        <v>27-CR-23-7087</v>
      </c>
      <c r="C2309" s="1" t="n">
        <v>1</v>
      </c>
      <c r="D2309" s="2" t="s">
        <v>12</v>
      </c>
      <c r="E2309" s="8" t="n">
        <v>45412</v>
      </c>
      <c r="F2309" s="2" t="s">
        <v>15</v>
      </c>
      <c r="G2309" s="7" t="str">
        <f aca="false">HYPERLINK("https://mncourtfraud.com/file/MCRO_27-CR-23-7087_Order-Evaluation for Competency to Proceed (Rule 20.01)_2024-04-30_20251126190428.pdf","MCRO_27-CR-23-7087_Order-Evaluation for Competency to Proceed (Rule 20.01)_2024-04-30_20251126190428.pdf")</f>
        <v>MCRO_27-CR-23-7087_Order-Evaluation for Competency to Proceed (Rule 20.01)_2024-04-30_20251126190428.pdf</v>
      </c>
      <c r="H2309" s="7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2309" s="1" t="s">
        <v>3406</v>
      </c>
      <c r="L2309" s="2" t="s">
        <v>3412</v>
      </c>
      <c r="M2309" s="2" t="n">
        <v>154549</v>
      </c>
      <c r="S2309" s="2" t="n">
        <v>2560</v>
      </c>
      <c r="T2309" s="2" t="n">
        <v>3300</v>
      </c>
    </row>
    <row r="2310" customFormat="false" ht="18.7" hidden="false" customHeight="true" outlineLevel="0" collapsed="false">
      <c r="A2310" s="1" t="n">
        <v>2309</v>
      </c>
      <c r="B2310" s="7" t="str">
        <f aca="false">HYPERLINK("https://mncourtfraud.com/file/27-CR-23-7087.pdf","27-CR-23-7087")</f>
        <v>27-CR-23-7087</v>
      </c>
      <c r="C2310" s="1" t="n">
        <v>1</v>
      </c>
      <c r="D2310" s="2" t="s">
        <v>12</v>
      </c>
      <c r="E2310" s="8" t="n">
        <v>45412</v>
      </c>
      <c r="F2310" s="2" t="s">
        <v>15</v>
      </c>
      <c r="G2310" s="7" t="str">
        <f aca="false">HYPERLINK("https://mncourtfraud.com/file/MCRO_27-CR-23-7087_Order-Evaluation for Competency to Proceed (Rule 20.01)_2024-04-30_20251126190428.pdf","MCRO_27-CR-23-7087_Order-Evaluation for Competency to Proceed (Rule 20.01)_2024-04-30_20251126190428.pdf")</f>
        <v>MCRO_27-CR-23-7087_Order-Evaluation for Competency to Proceed (Rule 20.01)_2024-04-30_20251126190428.pdf</v>
      </c>
      <c r="H2310" s="7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2310" s="1" t="s">
        <v>3406</v>
      </c>
      <c r="L2310" s="2" t="s">
        <v>3412</v>
      </c>
      <c r="M2310" s="2" t="n">
        <v>180051</v>
      </c>
      <c r="S2310" s="2" t="n">
        <v>2560</v>
      </c>
      <c r="T2310" s="2" t="n">
        <v>3300</v>
      </c>
    </row>
    <row r="2311" customFormat="false" ht="18.7" hidden="false" customHeight="true" outlineLevel="0" collapsed="false">
      <c r="A2311" s="1" t="n">
        <v>2310</v>
      </c>
      <c r="B2311" s="7" t="str">
        <f aca="false">HYPERLINK("https://mncourtfraud.com/file/27-CR-23-7087.pdf","27-CR-23-7087")</f>
        <v>27-CR-23-7087</v>
      </c>
      <c r="C2311" s="1" t="n">
        <v>1</v>
      </c>
      <c r="D2311" s="2" t="s">
        <v>12</v>
      </c>
      <c r="E2311" s="8" t="n">
        <v>45412</v>
      </c>
      <c r="F2311" s="2" t="s">
        <v>24</v>
      </c>
      <c r="G2311" s="7" t="str">
        <f aca="false">HYPERLINK("https://mncourtfraud.com/file/MCRO_27-CR-23-7087_Order for Conditional Release_2024-04-30_20251126190403.pdf","MCRO_27-CR-23-7087_Order for Conditional Release_2024-04-30_20251126190403.pdf")</f>
        <v>MCRO_27-CR-23-7087_Order for Conditional Release_2024-04-30_20251126190403.pdf</v>
      </c>
      <c r="H2311" s="7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2311" s="1" t="s">
        <v>3406</v>
      </c>
      <c r="L2311" s="2" t="s">
        <v>3412</v>
      </c>
      <c r="M2311" s="2" t="n">
        <v>38726</v>
      </c>
      <c r="S2311" s="2" t="n">
        <v>2560</v>
      </c>
      <c r="T2311" s="2" t="n">
        <v>3300</v>
      </c>
    </row>
    <row r="2312" customFormat="false" ht="18.7" hidden="false" customHeight="true" outlineLevel="0" collapsed="false">
      <c r="A2312" s="1" t="n">
        <v>2311</v>
      </c>
      <c r="B2312" s="7" t="str">
        <f aca="false">HYPERLINK("https://mncourtfraud.com/file/27-CR-23-7087.pdf","27-CR-23-7087")</f>
        <v>27-CR-23-7087</v>
      </c>
      <c r="C2312" s="1" t="n">
        <v>1</v>
      </c>
      <c r="D2312" s="2" t="s">
        <v>12</v>
      </c>
      <c r="E2312" s="8" t="n">
        <v>45412</v>
      </c>
      <c r="F2312" s="2" t="s">
        <v>15</v>
      </c>
      <c r="G2312" s="7" t="str">
        <f aca="false">HYPERLINK("https://mncourtfraud.com/file/MCRO_27-CR-23-7087_Order-Evaluation for Competency to Proceed (Rule 20.01)_2024-04-30_20251126190428.pdf","MCRO_27-CR-23-7087_Order-Evaluation for Competency to Proceed (Rule 20.01)_2024-04-30_20251126190428.pdf")</f>
        <v>MCRO_27-CR-23-7087_Order-Evaluation for Competency to Proceed (Rule 20.01)_2024-04-30_20251126190428.pdf</v>
      </c>
      <c r="H2312" s="7" t="str">
        <f aca="false">HYPERLINK("https://mncourtfraud.com/file/4db7d2599119dc45c08adba3b9b2ba67e6a3d697261d3f95ca4c5b01777bcfbe.ttf","4db7d2599119dc45c08adba3b9b2ba67e6a3d697261d3f95ca4c5b01777bcfbe")</f>
        <v>4db7d2599119dc45c08adba3b9b2ba67e6a3d697261d3f95ca4c5b01777bcfbe</v>
      </c>
      <c r="I2312" s="1" t="s">
        <v>3413</v>
      </c>
      <c r="L2312" s="2" t="s">
        <v>3415</v>
      </c>
      <c r="M2312" s="2" t="n">
        <v>333576</v>
      </c>
    </row>
    <row r="2313" customFormat="false" ht="18.7" hidden="false" customHeight="true" outlineLevel="0" collapsed="false">
      <c r="A2313" s="1" t="n">
        <v>2312</v>
      </c>
      <c r="B2313" s="7" t="str">
        <f aca="false">HYPERLINK("https://mncourtfraud.com/file/27-CR-23-7087.pdf","27-CR-23-7087")</f>
        <v>27-CR-23-7087</v>
      </c>
      <c r="C2313" s="1" t="n">
        <v>1</v>
      </c>
      <c r="D2313" s="2" t="s">
        <v>12</v>
      </c>
      <c r="E2313" s="8" t="n">
        <v>45412</v>
      </c>
      <c r="F2313" s="2" t="s">
        <v>15</v>
      </c>
      <c r="G2313" s="7" t="str">
        <f aca="false">HYPERLINK("https://mncourtfraud.com/file/MCRO_27-CR-23-7087_Order-Evaluation for Competency to Proceed (Rule 20.01)_2024-04-30_20251126190428.pdf","MCRO_27-CR-23-7087_Order-Evaluation for Competency to Proceed (Rule 20.01)_2024-04-30_20251126190428.pdf")</f>
        <v>MCRO_27-CR-23-7087_Order-Evaluation for Competency to Proceed (Rule 20.01)_2024-04-30_20251126190428.pdf</v>
      </c>
      <c r="H2313" s="7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2313" s="1" t="s">
        <v>3406</v>
      </c>
      <c r="L2313" s="2" t="s">
        <v>3412</v>
      </c>
      <c r="M2313" s="2" t="n">
        <v>71271</v>
      </c>
      <c r="S2313" s="2" t="n">
        <v>2560</v>
      </c>
      <c r="T2313" s="2" t="n">
        <v>3300</v>
      </c>
    </row>
    <row r="2314" customFormat="false" ht="18.7" hidden="false" customHeight="true" outlineLevel="0" collapsed="false">
      <c r="A2314" s="1" t="n">
        <v>2313</v>
      </c>
      <c r="B2314" s="7" t="str">
        <f aca="false">HYPERLINK("https://mncourtfraud.com/file/27-CR-23-7087.pdf","27-CR-23-7087")</f>
        <v>27-CR-23-7087</v>
      </c>
      <c r="C2314" s="1" t="n">
        <v>1</v>
      </c>
      <c r="D2314" s="2" t="s">
        <v>12</v>
      </c>
      <c r="E2314" s="8" t="n">
        <v>45412</v>
      </c>
      <c r="F2314" s="2" t="s">
        <v>24</v>
      </c>
      <c r="G2314" s="7" t="str">
        <f aca="false">HYPERLINK("https://mncourtfraud.com/file/MCRO_27-CR-23-7087_Order for Conditional Release_2024-04-30_20251126190403.pdf","MCRO_27-CR-23-7087_Order for Conditional Release_2024-04-30_20251126190403.pdf")</f>
        <v>MCRO_27-CR-23-7087_Order for Conditional Release_2024-04-30_20251126190403.pdf</v>
      </c>
      <c r="H2314" s="7" t="str">
        <f aca="false">HYPERLINK("https://mncourtfraud.com/file/d5cf4f06aaee8f372e6af86dab12d75d131a3ba68ba6baeac4b7b514ef3e0b85.ttf","d5cf4f06aaee8f372e6af86dab12d75d131a3ba68ba6baeac4b7b514ef3e0b85")</f>
        <v>d5cf4f06aaee8f372e6af86dab12d75d131a3ba68ba6baeac4b7b514ef3e0b85</v>
      </c>
      <c r="I2314" s="1" t="s">
        <v>3413</v>
      </c>
      <c r="L2314" s="2" t="s">
        <v>3415</v>
      </c>
      <c r="M2314" s="2" t="n">
        <v>333576</v>
      </c>
    </row>
    <row r="2315" customFormat="false" ht="18.7" hidden="false" customHeight="true" outlineLevel="0" collapsed="false">
      <c r="A2315" s="1" t="n">
        <v>2314</v>
      </c>
      <c r="B2315" s="7" t="str">
        <f aca="false">HYPERLINK("https://mncourtfraud.com/file/27-CR-23-7087.pdf","27-CR-23-7087")</f>
        <v>27-CR-23-7087</v>
      </c>
      <c r="C2315" s="1" t="n">
        <v>1</v>
      </c>
      <c r="D2315" s="2" t="s">
        <v>12</v>
      </c>
      <c r="E2315" s="8" t="n">
        <v>45412</v>
      </c>
      <c r="F2315" s="2" t="s">
        <v>24</v>
      </c>
      <c r="G2315" s="7" t="str">
        <f aca="false">HYPERLINK("https://mncourtfraud.com/file/MCRO_27-CR-23-7087_Order for Conditional Release_2024-04-30_20251126190403.pdf","MCRO_27-CR-23-7087_Order for Conditional Release_2024-04-30_20251126190403.pdf")</f>
        <v>MCRO_27-CR-23-7087_Order for Conditional Release_2024-04-30_20251126190403.pdf</v>
      </c>
      <c r="H2315" s="7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2315" s="1" t="s">
        <v>3406</v>
      </c>
      <c r="L2315" s="2" t="s">
        <v>3412</v>
      </c>
      <c r="M2315" s="2" t="n">
        <v>195018</v>
      </c>
      <c r="S2315" s="2" t="n">
        <v>2560</v>
      </c>
      <c r="T2315" s="2" t="n">
        <v>3300</v>
      </c>
    </row>
    <row r="2316" customFormat="false" ht="18.7" hidden="false" customHeight="true" outlineLevel="0" collapsed="false">
      <c r="A2316" s="1" t="n">
        <v>2315</v>
      </c>
      <c r="B2316" s="7" t="str">
        <f aca="false">HYPERLINK("https://mncourtfraud.com/file/27-CR-23-7088.pdf","27-CR-23-7088")</f>
        <v>27-CR-23-7088</v>
      </c>
      <c r="C2316" s="1" t="n">
        <v>1</v>
      </c>
      <c r="D2316" s="2" t="s">
        <v>12</v>
      </c>
      <c r="E2316" s="8" t="n">
        <v>45048</v>
      </c>
      <c r="F2316" s="2" t="s">
        <v>80</v>
      </c>
      <c r="G2316" s="7" t="str">
        <f aca="false">HYPERLINK("https://mncourtfraud.com/file/MCRO_27-CR-23-7088_Finding of Incompetency and Order_2023-05-02_20251126190457.pdf","MCRO_27-CR-23-7088_Finding of Incompetency and Order_2023-05-02_20251126190457.pdf")</f>
        <v>MCRO_27-CR-23-7088_Finding of Incompetency and Order_2023-05-02_20251126190457.pdf</v>
      </c>
      <c r="H2316" s="7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316" s="1" t="s">
        <v>3406</v>
      </c>
      <c r="L2316" s="2" t="s">
        <v>3412</v>
      </c>
      <c r="M2316" s="2" t="n">
        <v>3506</v>
      </c>
      <c r="S2316" s="2" t="n">
        <v>1410</v>
      </c>
      <c r="T2316" s="2" t="n">
        <v>150</v>
      </c>
    </row>
    <row r="2317" customFormat="false" ht="18.7" hidden="false" customHeight="true" outlineLevel="0" collapsed="false">
      <c r="A2317" s="1" t="n">
        <v>2316</v>
      </c>
      <c r="B2317" s="7" t="str">
        <f aca="false">HYPERLINK("https://mncourtfraud.com/file/27-CR-23-7088.pdf","27-CR-23-7088")</f>
        <v>27-CR-23-7088</v>
      </c>
      <c r="C2317" s="1" t="n">
        <v>1</v>
      </c>
      <c r="D2317" s="2" t="s">
        <v>12</v>
      </c>
      <c r="E2317" s="8" t="n">
        <v>45048</v>
      </c>
      <c r="F2317" s="2" t="s">
        <v>80</v>
      </c>
      <c r="G2317" s="7" t="str">
        <f aca="false">HYPERLINK("https://mncourtfraud.com/file/MCRO_27-CR-23-7088_Finding of Incompetency and Order_2023-05-02_20251126190457.pdf","MCRO_27-CR-23-7088_Finding of Incompetency and Order_2023-05-02_20251126190457.pdf")</f>
        <v>MCRO_27-CR-23-7088_Finding of Incompetency and Order_2023-05-02_20251126190457.pdf</v>
      </c>
      <c r="H2317" s="7" t="str">
        <f aca="false">HYPERLINK("https://mncourtfraud.com/file/18befca089509ee2fbaddf9c5b79bf5988523b22d2369743ed9a591b9fc3bdb6.ttf","18befca089509ee2fbaddf9c5b79bf5988523b22d2369743ed9a591b9fc3bdb6")</f>
        <v>18befca089509ee2fbaddf9c5b79bf5988523b22d2369743ed9a591b9fc3bdb6</v>
      </c>
      <c r="I2317" s="1" t="s">
        <v>3413</v>
      </c>
      <c r="J2317" s="2" t="s">
        <v>3421</v>
      </c>
      <c r="K2317" s="2" t="s">
        <v>3450</v>
      </c>
      <c r="L2317" s="2" t="s">
        <v>3415</v>
      </c>
      <c r="M2317" s="2" t="n">
        <v>115928</v>
      </c>
    </row>
    <row r="2318" customFormat="false" ht="18.7" hidden="false" customHeight="true" outlineLevel="0" collapsed="false">
      <c r="A2318" s="1" t="n">
        <v>2317</v>
      </c>
      <c r="B2318" s="7" t="str">
        <f aca="false">HYPERLINK("https://mncourtfraud.com/file/27-CR-23-7088.pdf","27-CR-23-7088")</f>
        <v>27-CR-23-7088</v>
      </c>
      <c r="C2318" s="1" t="n">
        <v>1</v>
      </c>
      <c r="D2318" s="2" t="s">
        <v>12</v>
      </c>
      <c r="E2318" s="8" t="n">
        <v>45048</v>
      </c>
      <c r="F2318" s="2" t="s">
        <v>80</v>
      </c>
      <c r="G2318" s="7" t="str">
        <f aca="false">HYPERLINK("https://mncourtfraud.com/file/MCRO_27-CR-23-7088_Finding of Incompetency and Order_2023-05-02_20251126190457.pdf","MCRO_27-CR-23-7088_Finding of Incompetency and Order_2023-05-02_20251126190457.pdf")</f>
        <v>MCRO_27-CR-23-7088_Finding of Incompetency and Order_2023-05-02_20251126190457.pdf</v>
      </c>
      <c r="H2318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2318" s="1" t="s">
        <v>3413</v>
      </c>
      <c r="J2318" s="2" t="s">
        <v>3446</v>
      </c>
      <c r="K2318" s="2" t="s">
        <v>3446</v>
      </c>
      <c r="L2318" s="2" t="s">
        <v>3415</v>
      </c>
      <c r="M2318" s="2" t="n">
        <v>55072</v>
      </c>
      <c r="N2318" s="2" t="s">
        <v>3447</v>
      </c>
    </row>
    <row r="2319" customFormat="false" ht="18.7" hidden="false" customHeight="true" outlineLevel="0" collapsed="false">
      <c r="A2319" s="1" t="n">
        <v>2318</v>
      </c>
      <c r="B2319" s="7" t="str">
        <f aca="false">HYPERLINK("https://mncourtfraud.com/file/27-CR-23-7088.pdf","27-CR-23-7088")</f>
        <v>27-CR-23-7088</v>
      </c>
      <c r="C2319" s="1" t="n">
        <v>1</v>
      </c>
      <c r="D2319" s="2" t="s">
        <v>12</v>
      </c>
      <c r="E2319" s="8" t="n">
        <v>45048</v>
      </c>
      <c r="F2319" s="2" t="s">
        <v>80</v>
      </c>
      <c r="G2319" s="7" t="str">
        <f aca="false">HYPERLINK("https://mncourtfraud.com/file/MCRO_27-CR-23-7088_Finding of Incompetency and Order_2023-05-02_20251126190457.pdf","MCRO_27-CR-23-7088_Finding of Incompetency and Order_2023-05-02_20251126190457.pdf")</f>
        <v>MCRO_27-CR-23-7088_Finding of Incompetency and Order_2023-05-02_20251126190457.pdf</v>
      </c>
      <c r="H2319" s="7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319" s="1" t="s">
        <v>3406</v>
      </c>
      <c r="K2319" s="2" t="s">
        <v>3451</v>
      </c>
      <c r="L2319" s="2" t="s">
        <v>3408</v>
      </c>
      <c r="M2319" s="2" t="n">
        <v>5295</v>
      </c>
      <c r="O2319" s="2" t="s">
        <v>3452</v>
      </c>
      <c r="P2319" s="2" t="s">
        <v>3410</v>
      </c>
      <c r="S2319" s="2" t="n">
        <v>833</v>
      </c>
      <c r="T2319" s="2" t="n">
        <v>186</v>
      </c>
    </row>
    <row r="2320" customFormat="false" ht="18.7" hidden="false" customHeight="true" outlineLevel="0" collapsed="false">
      <c r="A2320" s="1" t="n">
        <v>2319</v>
      </c>
      <c r="B2320" s="7" t="str">
        <f aca="false">HYPERLINK("https://mncourtfraud.com/file/27-CR-23-7088.pdf","27-CR-23-7088")</f>
        <v>27-CR-23-7088</v>
      </c>
      <c r="C2320" s="1" t="n">
        <v>1</v>
      </c>
      <c r="D2320" s="2" t="s">
        <v>12</v>
      </c>
      <c r="E2320" s="8" t="n">
        <v>45048</v>
      </c>
      <c r="F2320" s="2" t="s">
        <v>80</v>
      </c>
      <c r="G2320" s="7" t="str">
        <f aca="false">HYPERLINK("https://mncourtfraud.com/file/MCRO_27-CR-23-7088_Finding of Incompetency and Order_2023-05-02_20251126190457.pdf","MCRO_27-CR-23-7088_Finding of Incompetency and Order_2023-05-02_20251126190457.pdf")</f>
        <v>MCRO_27-CR-23-7088_Finding of Incompetency and Order_2023-05-02_20251126190457.pdf</v>
      </c>
      <c r="H2320" s="7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320" s="1" t="s">
        <v>3406</v>
      </c>
      <c r="K2320" s="2" t="s">
        <v>3453</v>
      </c>
      <c r="L2320" s="2" t="s">
        <v>3408</v>
      </c>
      <c r="M2320" s="2" t="n">
        <v>3442</v>
      </c>
      <c r="O2320" s="2" t="s">
        <v>3454</v>
      </c>
      <c r="P2320" s="2" t="s">
        <v>3410</v>
      </c>
      <c r="S2320" s="2" t="n">
        <v>857</v>
      </c>
      <c r="T2320" s="2" t="n">
        <v>184</v>
      </c>
    </row>
    <row r="2321" customFormat="false" ht="18.7" hidden="false" customHeight="true" outlineLevel="0" collapsed="false">
      <c r="A2321" s="1" t="n">
        <v>2320</v>
      </c>
      <c r="B2321" s="7" t="str">
        <f aca="false">HYPERLINK("https://mncourtfraud.com/file/27-CR-23-7088.pdf","27-CR-23-7088")</f>
        <v>27-CR-23-7088</v>
      </c>
      <c r="C2321" s="1" t="n">
        <v>1</v>
      </c>
      <c r="D2321" s="2" t="s">
        <v>12</v>
      </c>
      <c r="E2321" s="8" t="n">
        <v>45048</v>
      </c>
      <c r="F2321" s="2" t="s">
        <v>80</v>
      </c>
      <c r="G2321" s="7" t="str">
        <f aca="false">HYPERLINK("https://mncourtfraud.com/file/MCRO_27-CR-23-7088_Finding of Incompetency and Order_2023-05-02_20251126190457.pdf","MCRO_27-CR-23-7088_Finding of Incompetency and Order_2023-05-02_20251126190457.pdf")</f>
        <v>MCRO_27-CR-23-7088_Finding of Incompetency and Order_2023-05-02_20251126190457.pdf</v>
      </c>
      <c r="H2321" s="7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2321" s="1" t="s">
        <v>3406</v>
      </c>
      <c r="L2321" s="2" t="s">
        <v>3412</v>
      </c>
      <c r="M2321" s="2" t="n">
        <v>3824</v>
      </c>
      <c r="S2321" s="2" t="n">
        <v>1850</v>
      </c>
      <c r="T2321" s="2" t="n">
        <v>160</v>
      </c>
    </row>
    <row r="2322" customFormat="false" ht="18.7" hidden="false" customHeight="true" outlineLevel="0" collapsed="false">
      <c r="A2322" s="1" t="n">
        <v>2321</v>
      </c>
      <c r="B2322" s="7" t="str">
        <f aca="false">HYPERLINK("https://mncourtfraud.com/file/27-CR-23-7088.pdf","27-CR-23-7088")</f>
        <v>27-CR-23-7088</v>
      </c>
      <c r="C2322" s="1" t="n">
        <v>1</v>
      </c>
      <c r="D2322" s="2" t="s">
        <v>12</v>
      </c>
      <c r="E2322" s="8" t="n">
        <v>45048</v>
      </c>
      <c r="F2322" s="2" t="s">
        <v>80</v>
      </c>
      <c r="G2322" s="7" t="str">
        <f aca="false">HYPERLINK("https://mncourtfraud.com/file/MCRO_27-CR-23-7088_Finding of Incompetency and Order_2023-05-02_20251126190457.pdf","MCRO_27-CR-23-7088_Finding of Incompetency and Order_2023-05-02_20251126190457.pdf")</f>
        <v>MCRO_27-CR-23-7088_Finding of Incompetency and Order_2023-05-02_20251126190457.pdf</v>
      </c>
      <c r="H2322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2322" s="1" t="s">
        <v>3413</v>
      </c>
      <c r="J2322" s="2" t="s">
        <v>3448</v>
      </c>
      <c r="K2322" s="2" t="s">
        <v>3448</v>
      </c>
      <c r="L2322" s="2" t="s">
        <v>3415</v>
      </c>
      <c r="M2322" s="2" t="n">
        <v>916684</v>
      </c>
    </row>
    <row r="2323" customFormat="false" ht="18.7" hidden="false" customHeight="true" outlineLevel="0" collapsed="false">
      <c r="A2323" s="1" t="n">
        <v>2322</v>
      </c>
      <c r="B2323" s="7" t="str">
        <f aca="false">HYPERLINK("https://mncourtfraud.com/file/27-CR-23-7088.pdf","27-CR-23-7088")</f>
        <v>27-CR-23-7088</v>
      </c>
      <c r="C2323" s="1" t="n">
        <v>1</v>
      </c>
      <c r="D2323" s="2" t="s">
        <v>12</v>
      </c>
      <c r="E2323" s="8" t="n">
        <v>45160</v>
      </c>
      <c r="F2323" s="2" t="s">
        <v>15</v>
      </c>
      <c r="G2323" s="7" t="str">
        <f aca="false">HYPERLINK("https://mncourtfraud.com/file/MCRO_27-CR-23-7088_Order-Evaluation for Competency to Proceed (Rule 20.01)_2023-08-22_20251126190533.pdf","MCRO_27-CR-23-7088_Order-Evaluation for Competency to Proceed (Rule 20.01)_2023-08-22_20251126190533.pdf")</f>
        <v>MCRO_27-CR-23-7088_Order-Evaluation for Competency to Proceed (Rule 20.01)_2023-08-22_20251126190533.pdf</v>
      </c>
      <c r="H2323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2323" s="1" t="s">
        <v>3413</v>
      </c>
      <c r="J2323" s="2" t="s">
        <v>3449</v>
      </c>
      <c r="K2323" s="2" t="s">
        <v>3449</v>
      </c>
      <c r="L2323" s="2" t="s">
        <v>3415</v>
      </c>
      <c r="M2323" s="2" t="n">
        <v>125504</v>
      </c>
    </row>
    <row r="2324" customFormat="false" ht="18.7" hidden="false" customHeight="true" outlineLevel="0" collapsed="false">
      <c r="A2324" s="1" t="n">
        <v>2323</v>
      </c>
      <c r="B2324" s="7" t="str">
        <f aca="false">HYPERLINK("https://mncourtfraud.com/file/27-CR-23-7088.pdf","27-CR-23-7088")</f>
        <v>27-CR-23-7088</v>
      </c>
      <c r="C2324" s="1" t="n">
        <v>1</v>
      </c>
      <c r="D2324" s="2" t="s">
        <v>12</v>
      </c>
      <c r="E2324" s="8" t="n">
        <v>45160</v>
      </c>
      <c r="F2324" s="2" t="s">
        <v>15</v>
      </c>
      <c r="G2324" s="7" t="str">
        <f aca="false">HYPERLINK("https://mncourtfraud.com/file/MCRO_27-CR-23-7088_Order-Evaluation for Competency to Proceed (Rule 20.01)_2023-08-22_20251126190533.pdf","MCRO_27-CR-23-7088_Order-Evaluation for Competency to Proceed (Rule 20.01)_2023-08-22_20251126190533.pdf")</f>
        <v>MCRO_27-CR-23-7088_Order-Evaluation for Competency to Proceed (Rule 20.01)_2023-08-22_20251126190533.pdf</v>
      </c>
      <c r="H2324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2324" s="1" t="s">
        <v>3413</v>
      </c>
      <c r="J2324" s="2" t="s">
        <v>3449</v>
      </c>
      <c r="K2324" s="2" t="s">
        <v>3449</v>
      </c>
      <c r="L2324" s="2" t="s">
        <v>3415</v>
      </c>
      <c r="M2324" s="2" t="n">
        <v>125504</v>
      </c>
    </row>
    <row r="2325" customFormat="false" ht="18.7" hidden="false" customHeight="true" outlineLevel="0" collapsed="false">
      <c r="A2325" s="1" t="n">
        <v>2324</v>
      </c>
      <c r="B2325" s="7" t="str">
        <f aca="false">HYPERLINK("https://mncourtfraud.com/file/27-CR-23-7088.pdf","27-CR-23-7088")</f>
        <v>27-CR-23-7088</v>
      </c>
      <c r="C2325" s="1" t="n">
        <v>1</v>
      </c>
      <c r="D2325" s="2" t="s">
        <v>12</v>
      </c>
      <c r="E2325" s="8" t="n">
        <v>45160</v>
      </c>
      <c r="F2325" s="2" t="s">
        <v>15</v>
      </c>
      <c r="G2325" s="7" t="str">
        <f aca="false">HYPERLINK("https://mncourtfraud.com/file/MCRO_27-CR-23-7088_Order-Evaluation for Competency to Proceed (Rule 20.01)_2023-08-22_20251126190533.pdf","MCRO_27-CR-23-7088_Order-Evaluation for Competency to Proceed (Rule 20.01)_2023-08-22_20251126190533.pdf")</f>
        <v>MCRO_27-CR-23-7088_Order-Evaluation for Competency to Proceed (Rule 20.01)_2023-08-22_20251126190533.pdf</v>
      </c>
      <c r="H2325" s="7" t="str">
        <f aca="false">HYPERLINK("https://mncourtfraud.com/file/0174a154b1dd2c8824c0108a525fa6ced84bf8b7d2fc9696a847700a4f83bb3b.ttf","0174a154b1dd2c8824c0108a525fa6ced84bf8b7d2fc9696a847700a4f83bb3b")</f>
        <v>0174a154b1dd2c8824c0108a525fa6ced84bf8b7d2fc9696a847700a4f83bb3b</v>
      </c>
      <c r="I2325" s="1" t="s">
        <v>3413</v>
      </c>
      <c r="J2325" s="2" t="s">
        <v>3422</v>
      </c>
      <c r="K2325" s="2" t="s">
        <v>3422</v>
      </c>
      <c r="L2325" s="2" t="s">
        <v>3415</v>
      </c>
      <c r="M2325" s="2" t="n">
        <v>101216</v>
      </c>
    </row>
    <row r="2326" customFormat="false" ht="18.7" hidden="false" customHeight="true" outlineLevel="0" collapsed="false">
      <c r="A2326" s="1" t="n">
        <v>2325</v>
      </c>
      <c r="B2326" s="7" t="str">
        <f aca="false">HYPERLINK("https://mncourtfraud.com/file/27-CR-23-7088.pdf","27-CR-23-7088")</f>
        <v>27-CR-23-7088</v>
      </c>
      <c r="C2326" s="1" t="n">
        <v>1</v>
      </c>
      <c r="D2326" s="2" t="s">
        <v>12</v>
      </c>
      <c r="E2326" s="8" t="n">
        <v>45160</v>
      </c>
      <c r="F2326" s="2" t="s">
        <v>15</v>
      </c>
      <c r="G2326" s="7" t="str">
        <f aca="false">HYPERLINK("https://mncourtfraud.com/file/MCRO_27-CR-23-7088_Order-Evaluation for Competency to Proceed (Rule 20.01)_2023-08-22_20251126190533.pdf","MCRO_27-CR-23-7088_Order-Evaluation for Competency to Proceed (Rule 20.01)_2023-08-22_20251126190533.pdf")</f>
        <v>MCRO_27-CR-23-7088_Order-Evaluation for Competency to Proceed (Rule 20.01)_2023-08-22_20251126190533.pdf</v>
      </c>
      <c r="H2326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2326" s="1" t="s">
        <v>3413</v>
      </c>
      <c r="J2326" s="2" t="s">
        <v>3423</v>
      </c>
      <c r="K2326" s="2" t="s">
        <v>3423</v>
      </c>
      <c r="L2326" s="2" t="s">
        <v>3415</v>
      </c>
      <c r="M2326" s="2" t="n">
        <v>11088</v>
      </c>
    </row>
    <row r="2327" customFormat="false" ht="18.7" hidden="false" customHeight="true" outlineLevel="0" collapsed="false">
      <c r="A2327" s="1" t="n">
        <v>2326</v>
      </c>
      <c r="B2327" s="7" t="str">
        <f aca="false">HYPERLINK("https://mncourtfraud.com/file/27-CR-23-7088.pdf","27-CR-23-7088")</f>
        <v>27-CR-23-7088</v>
      </c>
      <c r="C2327" s="1" t="n">
        <v>1</v>
      </c>
      <c r="D2327" s="2" t="s">
        <v>12</v>
      </c>
      <c r="E2327" s="8" t="n">
        <v>45160</v>
      </c>
      <c r="F2327" s="2" t="s">
        <v>15</v>
      </c>
      <c r="G2327" s="7" t="str">
        <f aca="false">HYPERLINK("https://mncourtfraud.com/file/MCRO_27-CR-23-7088_Order-Evaluation for Competency to Proceed (Rule 20.01)_2023-08-22_20251126190533.pdf","MCRO_27-CR-23-7088_Order-Evaluation for Competency to Proceed (Rule 20.01)_2023-08-22_20251126190533.pdf")</f>
        <v>MCRO_27-CR-23-7088_Order-Evaluation for Competency to Proceed (Rule 20.01)_2023-08-22_20251126190533.pdf</v>
      </c>
      <c r="H2327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2327" s="1" t="s">
        <v>3413</v>
      </c>
      <c r="J2327" s="2" t="s">
        <v>3446</v>
      </c>
      <c r="K2327" s="2" t="s">
        <v>3446</v>
      </c>
      <c r="L2327" s="2" t="s">
        <v>3415</v>
      </c>
      <c r="M2327" s="2" t="n">
        <v>55072</v>
      </c>
      <c r="N2327" s="2" t="s">
        <v>3447</v>
      </c>
    </row>
    <row r="2328" customFormat="false" ht="18.7" hidden="false" customHeight="true" outlineLevel="0" collapsed="false">
      <c r="A2328" s="1" t="n">
        <v>2327</v>
      </c>
      <c r="B2328" s="7" t="str">
        <f aca="false">HYPERLINK("https://mncourtfraud.com/file/27-CR-23-7088.pdf","27-CR-23-7088")</f>
        <v>27-CR-23-7088</v>
      </c>
      <c r="C2328" s="1" t="n">
        <v>1</v>
      </c>
      <c r="D2328" s="2" t="s">
        <v>12</v>
      </c>
      <c r="E2328" s="8" t="n">
        <v>45160</v>
      </c>
      <c r="F2328" s="2" t="s">
        <v>15</v>
      </c>
      <c r="G2328" s="7" t="str">
        <f aca="false">HYPERLINK("https://mncourtfraud.com/file/MCRO_27-CR-23-7088_Order-Evaluation for Competency to Proceed (Rule 20.01)_2023-08-22_20251126190533.pdf","MCRO_27-CR-23-7088_Order-Evaluation for Competency to Proceed (Rule 20.01)_2023-08-22_20251126190533.pdf")</f>
        <v>MCRO_27-CR-23-7088_Order-Evaluation for Competency to Proceed (Rule 20.01)_2023-08-22_20251126190533.pdf</v>
      </c>
      <c r="H2328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2328" s="1" t="s">
        <v>3413</v>
      </c>
      <c r="J2328" s="2" t="s">
        <v>3424</v>
      </c>
      <c r="K2328" s="2" t="s">
        <v>3424</v>
      </c>
      <c r="L2328" s="2" t="s">
        <v>3415</v>
      </c>
      <c r="M2328" s="2" t="n">
        <v>14252</v>
      </c>
    </row>
    <row r="2329" customFormat="false" ht="18.7" hidden="false" customHeight="true" outlineLevel="0" collapsed="false">
      <c r="A2329" s="1" t="n">
        <v>2328</v>
      </c>
      <c r="B2329" s="7" t="str">
        <f aca="false">HYPERLINK("https://mncourtfraud.com/file/27-CR-23-7088.pdf","27-CR-23-7088")</f>
        <v>27-CR-23-7088</v>
      </c>
      <c r="C2329" s="1" t="n">
        <v>1</v>
      </c>
      <c r="D2329" s="2" t="s">
        <v>12</v>
      </c>
      <c r="E2329" s="8" t="n">
        <v>45160</v>
      </c>
      <c r="F2329" s="2" t="s">
        <v>15</v>
      </c>
      <c r="G2329" s="7" t="str">
        <f aca="false">HYPERLINK("https://mncourtfraud.com/file/MCRO_27-CR-23-7088_Order-Evaluation for Competency to Proceed (Rule 20.01)_2023-08-22_20251126190533.pdf","MCRO_27-CR-23-7088_Order-Evaluation for Competency to Proceed (Rule 20.01)_2023-08-22_20251126190533.pdf")</f>
        <v>MCRO_27-CR-23-7088_Order-Evaluation for Competency to Proceed (Rule 20.01)_2023-08-22_20251126190533.pdf</v>
      </c>
      <c r="H2329" s="7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2329" s="1" t="s">
        <v>3406</v>
      </c>
      <c r="L2329" s="2" t="s">
        <v>3412</v>
      </c>
      <c r="M2329" s="2" t="n">
        <v>5012</v>
      </c>
      <c r="S2329" s="2" t="n">
        <v>2740</v>
      </c>
      <c r="T2329" s="2" t="n">
        <v>180</v>
      </c>
    </row>
    <row r="2330" customFormat="false" ht="18.7" hidden="false" customHeight="true" outlineLevel="0" collapsed="false">
      <c r="A2330" s="1" t="n">
        <v>2329</v>
      </c>
      <c r="B2330" s="7" t="str">
        <f aca="false">HYPERLINK("https://mncourtfraud.com/file/27-CR-23-7088.pdf","27-CR-23-7088")</f>
        <v>27-CR-23-7088</v>
      </c>
      <c r="C2330" s="1" t="n">
        <v>1</v>
      </c>
      <c r="D2330" s="2" t="s">
        <v>12</v>
      </c>
      <c r="E2330" s="8" t="n">
        <v>45160</v>
      </c>
      <c r="F2330" s="2" t="s">
        <v>15</v>
      </c>
      <c r="G2330" s="7" t="str">
        <f aca="false">HYPERLINK("https://mncourtfraud.com/file/MCRO_27-CR-23-7088_Order-Evaluation for Competency to Proceed (Rule 20.01)_2023-08-22_20251126190533.pdf","MCRO_27-CR-23-7088_Order-Evaluation for Competency to Proceed (Rule 20.01)_2023-08-22_20251126190533.pdf")</f>
        <v>MCRO_27-CR-23-7088_Order-Evaluation for Competency to Proceed (Rule 20.01)_2023-08-22_20251126190533.pdf</v>
      </c>
      <c r="H2330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2330" s="1" t="s">
        <v>3413</v>
      </c>
      <c r="J2330" s="2" t="s">
        <v>3448</v>
      </c>
      <c r="K2330" s="2" t="s">
        <v>3448</v>
      </c>
      <c r="L2330" s="2" t="s">
        <v>3415</v>
      </c>
      <c r="M2330" s="2" t="n">
        <v>916684</v>
      </c>
    </row>
    <row r="2331" customFormat="false" ht="18.7" hidden="false" customHeight="true" outlineLevel="0" collapsed="false">
      <c r="A2331" s="1" t="n">
        <v>2330</v>
      </c>
      <c r="B2331" s="7" t="str">
        <f aca="false">HYPERLINK("https://mncourtfraud.com/file/27-CR-23-7088.pdf","27-CR-23-7088")</f>
        <v>27-CR-23-7088</v>
      </c>
      <c r="C2331" s="1" t="n">
        <v>1</v>
      </c>
      <c r="D2331" s="2" t="s">
        <v>12</v>
      </c>
      <c r="E2331" s="8" t="n">
        <v>45160</v>
      </c>
      <c r="F2331" s="2" t="s">
        <v>15</v>
      </c>
      <c r="G2331" s="7" t="str">
        <f aca="false">HYPERLINK("https://mncourtfraud.com/file/MCRO_27-CR-23-7088_Order-Evaluation for Competency to Proceed (Rule 20.01)_2023-08-22_20251126190533.pdf","MCRO_27-CR-23-7088_Order-Evaluation for Competency to Proceed (Rule 20.01)_2023-08-22_20251126190533.pdf")</f>
        <v>MCRO_27-CR-23-7088_Order-Evaluation for Competency to Proceed (Rule 20.01)_2023-08-22_20251126190533.pdf</v>
      </c>
      <c r="H2331" s="7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2331" s="1" t="s">
        <v>3406</v>
      </c>
      <c r="K2331" s="2" t="s">
        <v>3459</v>
      </c>
      <c r="L2331" s="2" t="s">
        <v>3408</v>
      </c>
      <c r="M2331" s="2" t="n">
        <v>5220</v>
      </c>
      <c r="O2331" s="2" t="s">
        <v>3460</v>
      </c>
      <c r="P2331" s="2" t="s">
        <v>3410</v>
      </c>
      <c r="S2331" s="2" t="n">
        <v>881</v>
      </c>
      <c r="T2331" s="2" t="n">
        <v>216</v>
      </c>
    </row>
    <row r="2332" customFormat="false" ht="18.7" hidden="false" customHeight="true" outlineLevel="0" collapsed="false">
      <c r="A2332" s="1" t="n">
        <v>2331</v>
      </c>
      <c r="B2332" s="7" t="str">
        <f aca="false">HYPERLINK("https://mncourtfraud.com/file/27-CR-23-7088.pdf","27-CR-23-7088")</f>
        <v>27-CR-23-7088</v>
      </c>
      <c r="C2332" s="1" t="n">
        <v>1</v>
      </c>
      <c r="D2332" s="2" t="s">
        <v>12</v>
      </c>
      <c r="E2332" s="8" t="n">
        <v>45412</v>
      </c>
      <c r="F2332" s="2" t="s">
        <v>15</v>
      </c>
      <c r="G2332" s="7" t="str">
        <f aca="false">HYPERLINK("https://mncourtfraud.com/file/MCRO_27-CR-23-7088_Order-Evaluation for Competency to Proceed (Rule 20.01)_2024-04-30_20251126190522.pdf","MCRO_27-CR-23-7088_Order-Evaluation for Competency to Proceed (Rule 20.01)_2024-04-30_20251126190522.pdf")</f>
        <v>MCRO_27-CR-23-7088_Order-Evaluation for Competency to Proceed (Rule 20.01)_2024-04-30_20251126190522.pdf</v>
      </c>
      <c r="H2332" s="7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2332" s="1" t="s">
        <v>3406</v>
      </c>
      <c r="L2332" s="2" t="s">
        <v>3412</v>
      </c>
      <c r="M2332" s="2" t="n">
        <v>154549</v>
      </c>
      <c r="S2332" s="2" t="n">
        <v>2560</v>
      </c>
      <c r="T2332" s="2" t="n">
        <v>3300</v>
      </c>
    </row>
    <row r="2333" customFormat="false" ht="18.7" hidden="false" customHeight="true" outlineLevel="0" collapsed="false">
      <c r="A2333" s="1" t="n">
        <v>2332</v>
      </c>
      <c r="B2333" s="7" t="str">
        <f aca="false">HYPERLINK("https://mncourtfraud.com/file/27-CR-23-7088.pdf","27-CR-23-7088")</f>
        <v>27-CR-23-7088</v>
      </c>
      <c r="C2333" s="1" t="n">
        <v>1</v>
      </c>
      <c r="D2333" s="2" t="s">
        <v>12</v>
      </c>
      <c r="E2333" s="8" t="n">
        <v>45412</v>
      </c>
      <c r="F2333" s="2" t="s">
        <v>15</v>
      </c>
      <c r="G2333" s="7" t="str">
        <f aca="false">HYPERLINK("https://mncourtfraud.com/file/MCRO_27-CR-23-7088_Order-Evaluation for Competency to Proceed (Rule 20.01)_2024-04-30_20251126190522.pdf","MCRO_27-CR-23-7088_Order-Evaluation for Competency to Proceed (Rule 20.01)_2024-04-30_20251126190522.pdf")</f>
        <v>MCRO_27-CR-23-7088_Order-Evaluation for Competency to Proceed (Rule 20.01)_2024-04-30_20251126190522.pdf</v>
      </c>
      <c r="H2333" s="7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2333" s="1" t="s">
        <v>3406</v>
      </c>
      <c r="L2333" s="2" t="s">
        <v>3412</v>
      </c>
      <c r="M2333" s="2" t="n">
        <v>180051</v>
      </c>
      <c r="S2333" s="2" t="n">
        <v>2560</v>
      </c>
      <c r="T2333" s="2" t="n">
        <v>3300</v>
      </c>
    </row>
    <row r="2334" customFormat="false" ht="18.7" hidden="false" customHeight="true" outlineLevel="0" collapsed="false">
      <c r="A2334" s="1" t="n">
        <v>2333</v>
      </c>
      <c r="B2334" s="7" t="str">
        <f aca="false">HYPERLINK("https://mncourtfraud.com/file/27-CR-23-7088.pdf","27-CR-23-7088")</f>
        <v>27-CR-23-7088</v>
      </c>
      <c r="C2334" s="1" t="n">
        <v>1</v>
      </c>
      <c r="D2334" s="2" t="s">
        <v>12</v>
      </c>
      <c r="E2334" s="8" t="n">
        <v>45412</v>
      </c>
      <c r="F2334" s="2" t="s">
        <v>24</v>
      </c>
      <c r="G2334" s="7" t="str">
        <f aca="false">HYPERLINK("https://mncourtfraud.com/file/MCRO_27-CR-23-7088_Order for Conditional Release_2024-04-30_20251126190516.pdf","MCRO_27-CR-23-7088_Order for Conditional Release_2024-04-30_20251126190516.pdf")</f>
        <v>MCRO_27-CR-23-7088_Order for Conditional Release_2024-04-30_20251126190516.pdf</v>
      </c>
      <c r="H2334" s="7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2334" s="1" t="s">
        <v>3406</v>
      </c>
      <c r="L2334" s="2" t="s">
        <v>3412</v>
      </c>
      <c r="M2334" s="2" t="n">
        <v>38726</v>
      </c>
      <c r="S2334" s="2" t="n">
        <v>2560</v>
      </c>
      <c r="T2334" s="2" t="n">
        <v>3300</v>
      </c>
    </row>
    <row r="2335" customFormat="false" ht="18.7" hidden="false" customHeight="true" outlineLevel="0" collapsed="false">
      <c r="A2335" s="1" t="n">
        <v>2334</v>
      </c>
      <c r="B2335" s="7" t="str">
        <f aca="false">HYPERLINK("https://mncourtfraud.com/file/27-CR-23-7088.pdf","27-CR-23-7088")</f>
        <v>27-CR-23-7088</v>
      </c>
      <c r="C2335" s="1" t="n">
        <v>1</v>
      </c>
      <c r="D2335" s="2" t="s">
        <v>12</v>
      </c>
      <c r="E2335" s="8" t="n">
        <v>45412</v>
      </c>
      <c r="F2335" s="2" t="s">
        <v>15</v>
      </c>
      <c r="G2335" s="7" t="str">
        <f aca="false">HYPERLINK("https://mncourtfraud.com/file/MCRO_27-CR-23-7088_Order-Evaluation for Competency to Proceed (Rule 20.01)_2024-04-30_20251126190522.pdf","MCRO_27-CR-23-7088_Order-Evaluation for Competency to Proceed (Rule 20.01)_2024-04-30_20251126190522.pdf")</f>
        <v>MCRO_27-CR-23-7088_Order-Evaluation for Competency to Proceed (Rule 20.01)_2024-04-30_20251126190522.pdf</v>
      </c>
      <c r="H2335" s="7" t="str">
        <f aca="false">HYPERLINK("https://mncourtfraud.com/file/4db7d2599119dc45c08adba3b9b2ba67e6a3d697261d3f95ca4c5b01777bcfbe.ttf","4db7d2599119dc45c08adba3b9b2ba67e6a3d697261d3f95ca4c5b01777bcfbe")</f>
        <v>4db7d2599119dc45c08adba3b9b2ba67e6a3d697261d3f95ca4c5b01777bcfbe</v>
      </c>
      <c r="I2335" s="1" t="s">
        <v>3413</v>
      </c>
      <c r="L2335" s="2" t="s">
        <v>3415</v>
      </c>
      <c r="M2335" s="2" t="n">
        <v>333576</v>
      </c>
    </row>
    <row r="2336" customFormat="false" ht="18.7" hidden="false" customHeight="true" outlineLevel="0" collapsed="false">
      <c r="A2336" s="1" t="n">
        <v>2335</v>
      </c>
      <c r="B2336" s="7" t="str">
        <f aca="false">HYPERLINK("https://mncourtfraud.com/file/27-CR-23-7088.pdf","27-CR-23-7088")</f>
        <v>27-CR-23-7088</v>
      </c>
      <c r="C2336" s="1" t="n">
        <v>1</v>
      </c>
      <c r="D2336" s="2" t="s">
        <v>12</v>
      </c>
      <c r="E2336" s="8" t="n">
        <v>45412</v>
      </c>
      <c r="F2336" s="2" t="s">
        <v>15</v>
      </c>
      <c r="G2336" s="7" t="str">
        <f aca="false">HYPERLINK("https://mncourtfraud.com/file/MCRO_27-CR-23-7088_Order-Evaluation for Competency to Proceed (Rule 20.01)_2024-04-30_20251126190522.pdf","MCRO_27-CR-23-7088_Order-Evaluation for Competency to Proceed (Rule 20.01)_2024-04-30_20251126190522.pdf")</f>
        <v>MCRO_27-CR-23-7088_Order-Evaluation for Competency to Proceed (Rule 20.01)_2024-04-30_20251126190522.pdf</v>
      </c>
      <c r="H2336" s="7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2336" s="1" t="s">
        <v>3406</v>
      </c>
      <c r="L2336" s="2" t="s">
        <v>3412</v>
      </c>
      <c r="M2336" s="2" t="n">
        <v>71271</v>
      </c>
      <c r="S2336" s="2" t="n">
        <v>2560</v>
      </c>
      <c r="T2336" s="2" t="n">
        <v>3300</v>
      </c>
    </row>
    <row r="2337" customFormat="false" ht="18.7" hidden="false" customHeight="true" outlineLevel="0" collapsed="false">
      <c r="A2337" s="1" t="n">
        <v>2336</v>
      </c>
      <c r="B2337" s="7" t="str">
        <f aca="false">HYPERLINK("https://mncourtfraud.com/file/27-CR-23-7088.pdf","27-CR-23-7088")</f>
        <v>27-CR-23-7088</v>
      </c>
      <c r="C2337" s="1" t="n">
        <v>1</v>
      </c>
      <c r="D2337" s="2" t="s">
        <v>12</v>
      </c>
      <c r="E2337" s="8" t="n">
        <v>45412</v>
      </c>
      <c r="F2337" s="2" t="s">
        <v>24</v>
      </c>
      <c r="G2337" s="7" t="str">
        <f aca="false">HYPERLINK("https://mncourtfraud.com/file/MCRO_27-CR-23-7088_Order for Conditional Release_2024-04-30_20251126190516.pdf","MCRO_27-CR-23-7088_Order for Conditional Release_2024-04-30_20251126190516.pdf")</f>
        <v>MCRO_27-CR-23-7088_Order for Conditional Release_2024-04-30_20251126190516.pdf</v>
      </c>
      <c r="H2337" s="7" t="str">
        <f aca="false">HYPERLINK("https://mncourtfraud.com/file/d5cf4f06aaee8f372e6af86dab12d75d131a3ba68ba6baeac4b7b514ef3e0b85.ttf","d5cf4f06aaee8f372e6af86dab12d75d131a3ba68ba6baeac4b7b514ef3e0b85")</f>
        <v>d5cf4f06aaee8f372e6af86dab12d75d131a3ba68ba6baeac4b7b514ef3e0b85</v>
      </c>
      <c r="I2337" s="1" t="s">
        <v>3413</v>
      </c>
      <c r="L2337" s="2" t="s">
        <v>3415</v>
      </c>
      <c r="M2337" s="2" t="n">
        <v>333576</v>
      </c>
    </row>
    <row r="2338" customFormat="false" ht="18.7" hidden="false" customHeight="true" outlineLevel="0" collapsed="false">
      <c r="A2338" s="1" t="n">
        <v>2337</v>
      </c>
      <c r="B2338" s="7" t="str">
        <f aca="false">HYPERLINK("https://mncourtfraud.com/file/27-CR-23-7088.pdf","27-CR-23-7088")</f>
        <v>27-CR-23-7088</v>
      </c>
      <c r="C2338" s="1" t="n">
        <v>1</v>
      </c>
      <c r="D2338" s="2" t="s">
        <v>12</v>
      </c>
      <c r="E2338" s="8" t="n">
        <v>45412</v>
      </c>
      <c r="F2338" s="2" t="s">
        <v>24</v>
      </c>
      <c r="G2338" s="7" t="str">
        <f aca="false">HYPERLINK("https://mncourtfraud.com/file/MCRO_27-CR-23-7088_Order for Conditional Release_2024-04-30_20251126190516.pdf","MCRO_27-CR-23-7088_Order for Conditional Release_2024-04-30_20251126190516.pdf")</f>
        <v>MCRO_27-CR-23-7088_Order for Conditional Release_2024-04-30_20251126190516.pdf</v>
      </c>
      <c r="H2338" s="7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2338" s="1" t="s">
        <v>3406</v>
      </c>
      <c r="L2338" s="2" t="s">
        <v>3412</v>
      </c>
      <c r="M2338" s="2" t="n">
        <v>195018</v>
      </c>
      <c r="S2338" s="2" t="n">
        <v>2560</v>
      </c>
      <c r="T2338" s="2" t="n">
        <v>3300</v>
      </c>
    </row>
    <row r="2339" customFormat="false" ht="18.7" hidden="false" customHeight="true" outlineLevel="0" collapsed="false">
      <c r="A2339" s="1" t="n">
        <v>2338</v>
      </c>
      <c r="B2339" s="7" t="str">
        <f aca="false">HYPERLINK("https://mncourtfraud.com/file/27-CR-23-7089.pdf","27-CR-23-7089")</f>
        <v>27-CR-23-7089</v>
      </c>
      <c r="C2339" s="1" t="n">
        <v>1</v>
      </c>
      <c r="D2339" s="2" t="s">
        <v>12</v>
      </c>
      <c r="E2339" s="8" t="n">
        <v>45048</v>
      </c>
      <c r="F2339" s="2" t="s">
        <v>80</v>
      </c>
      <c r="G2339" s="7" t="str">
        <f aca="false">HYPERLINK("https://mncourtfraud.com/file/MCRO_27-CR-23-7089_Finding of Incompetency and Order_2023-05-02_20251126190557.pdf","MCRO_27-CR-23-7089_Finding of Incompetency and Order_2023-05-02_20251126190557.pdf")</f>
        <v>MCRO_27-CR-23-7089_Finding of Incompetency and Order_2023-05-02_20251126190557.pdf</v>
      </c>
      <c r="H2339" s="7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339" s="1" t="s">
        <v>3406</v>
      </c>
      <c r="L2339" s="2" t="s">
        <v>3412</v>
      </c>
      <c r="M2339" s="2" t="n">
        <v>3506</v>
      </c>
      <c r="S2339" s="2" t="n">
        <v>1410</v>
      </c>
      <c r="T2339" s="2" t="n">
        <v>150</v>
      </c>
    </row>
    <row r="2340" customFormat="false" ht="18.7" hidden="false" customHeight="true" outlineLevel="0" collapsed="false">
      <c r="A2340" s="1" t="n">
        <v>2339</v>
      </c>
      <c r="B2340" s="7" t="str">
        <f aca="false">HYPERLINK("https://mncourtfraud.com/file/27-CR-23-7089.pdf","27-CR-23-7089")</f>
        <v>27-CR-23-7089</v>
      </c>
      <c r="C2340" s="1" t="n">
        <v>1</v>
      </c>
      <c r="D2340" s="2" t="s">
        <v>12</v>
      </c>
      <c r="E2340" s="8" t="n">
        <v>45048</v>
      </c>
      <c r="F2340" s="2" t="s">
        <v>80</v>
      </c>
      <c r="G2340" s="7" t="str">
        <f aca="false">HYPERLINK("https://mncourtfraud.com/file/MCRO_27-CR-23-7089_Finding of Incompetency and Order_2023-05-02_20251126190557.pdf","MCRO_27-CR-23-7089_Finding of Incompetency and Order_2023-05-02_20251126190557.pdf")</f>
        <v>MCRO_27-CR-23-7089_Finding of Incompetency and Order_2023-05-02_20251126190557.pdf</v>
      </c>
      <c r="H2340" s="7" t="str">
        <f aca="false">HYPERLINK("https://mncourtfraud.com/file/18befca089509ee2fbaddf9c5b79bf5988523b22d2369743ed9a591b9fc3bdb6.ttf","18befca089509ee2fbaddf9c5b79bf5988523b22d2369743ed9a591b9fc3bdb6")</f>
        <v>18befca089509ee2fbaddf9c5b79bf5988523b22d2369743ed9a591b9fc3bdb6</v>
      </c>
      <c r="I2340" s="1" t="s">
        <v>3413</v>
      </c>
      <c r="J2340" s="2" t="s">
        <v>3421</v>
      </c>
      <c r="K2340" s="2" t="s">
        <v>3450</v>
      </c>
      <c r="L2340" s="2" t="s">
        <v>3415</v>
      </c>
      <c r="M2340" s="2" t="n">
        <v>115928</v>
      </c>
    </row>
    <row r="2341" customFormat="false" ht="18.7" hidden="false" customHeight="true" outlineLevel="0" collapsed="false">
      <c r="A2341" s="1" t="n">
        <v>2340</v>
      </c>
      <c r="B2341" s="7" t="str">
        <f aca="false">HYPERLINK("https://mncourtfraud.com/file/27-CR-23-7089.pdf","27-CR-23-7089")</f>
        <v>27-CR-23-7089</v>
      </c>
      <c r="C2341" s="1" t="n">
        <v>1</v>
      </c>
      <c r="D2341" s="2" t="s">
        <v>12</v>
      </c>
      <c r="E2341" s="8" t="n">
        <v>45048</v>
      </c>
      <c r="F2341" s="2" t="s">
        <v>80</v>
      </c>
      <c r="G2341" s="7" t="str">
        <f aca="false">HYPERLINK("https://mncourtfraud.com/file/MCRO_27-CR-23-7089_Finding of Incompetency and Order_2023-05-02_20251126190557.pdf","MCRO_27-CR-23-7089_Finding of Incompetency and Order_2023-05-02_20251126190557.pdf")</f>
        <v>MCRO_27-CR-23-7089_Finding of Incompetency and Order_2023-05-02_20251126190557.pdf</v>
      </c>
      <c r="H2341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2341" s="1" t="s">
        <v>3413</v>
      </c>
      <c r="J2341" s="2" t="s">
        <v>3446</v>
      </c>
      <c r="K2341" s="2" t="s">
        <v>3446</v>
      </c>
      <c r="L2341" s="2" t="s">
        <v>3415</v>
      </c>
      <c r="M2341" s="2" t="n">
        <v>55072</v>
      </c>
      <c r="N2341" s="2" t="s">
        <v>3447</v>
      </c>
    </row>
    <row r="2342" customFormat="false" ht="18.7" hidden="false" customHeight="true" outlineLevel="0" collapsed="false">
      <c r="A2342" s="1" t="n">
        <v>2341</v>
      </c>
      <c r="B2342" s="7" t="str">
        <f aca="false">HYPERLINK("https://mncourtfraud.com/file/27-CR-23-7089.pdf","27-CR-23-7089")</f>
        <v>27-CR-23-7089</v>
      </c>
      <c r="C2342" s="1" t="n">
        <v>1</v>
      </c>
      <c r="D2342" s="2" t="s">
        <v>12</v>
      </c>
      <c r="E2342" s="8" t="n">
        <v>45048</v>
      </c>
      <c r="F2342" s="2" t="s">
        <v>80</v>
      </c>
      <c r="G2342" s="7" t="str">
        <f aca="false">HYPERLINK("https://mncourtfraud.com/file/MCRO_27-CR-23-7089_Finding of Incompetency and Order_2023-05-02_20251126190557.pdf","MCRO_27-CR-23-7089_Finding of Incompetency and Order_2023-05-02_20251126190557.pdf")</f>
        <v>MCRO_27-CR-23-7089_Finding of Incompetency and Order_2023-05-02_20251126190557.pdf</v>
      </c>
      <c r="H2342" s="7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342" s="1" t="s">
        <v>3406</v>
      </c>
      <c r="K2342" s="2" t="s">
        <v>3451</v>
      </c>
      <c r="L2342" s="2" t="s">
        <v>3408</v>
      </c>
      <c r="M2342" s="2" t="n">
        <v>5295</v>
      </c>
      <c r="O2342" s="2" t="s">
        <v>3452</v>
      </c>
      <c r="P2342" s="2" t="s">
        <v>3410</v>
      </c>
      <c r="S2342" s="2" t="n">
        <v>833</v>
      </c>
      <c r="T2342" s="2" t="n">
        <v>186</v>
      </c>
    </row>
    <row r="2343" customFormat="false" ht="18.7" hidden="false" customHeight="true" outlineLevel="0" collapsed="false">
      <c r="A2343" s="1" t="n">
        <v>2342</v>
      </c>
      <c r="B2343" s="7" t="str">
        <f aca="false">HYPERLINK("https://mncourtfraud.com/file/27-CR-23-7089.pdf","27-CR-23-7089")</f>
        <v>27-CR-23-7089</v>
      </c>
      <c r="C2343" s="1" t="n">
        <v>1</v>
      </c>
      <c r="D2343" s="2" t="s">
        <v>12</v>
      </c>
      <c r="E2343" s="8" t="n">
        <v>45048</v>
      </c>
      <c r="F2343" s="2" t="s">
        <v>80</v>
      </c>
      <c r="G2343" s="7" t="str">
        <f aca="false">HYPERLINK("https://mncourtfraud.com/file/MCRO_27-CR-23-7089_Finding of Incompetency and Order_2023-05-02_20251126190557.pdf","MCRO_27-CR-23-7089_Finding of Incompetency and Order_2023-05-02_20251126190557.pdf")</f>
        <v>MCRO_27-CR-23-7089_Finding of Incompetency and Order_2023-05-02_20251126190557.pdf</v>
      </c>
      <c r="H2343" s="7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343" s="1" t="s">
        <v>3406</v>
      </c>
      <c r="K2343" s="2" t="s">
        <v>3453</v>
      </c>
      <c r="L2343" s="2" t="s">
        <v>3408</v>
      </c>
      <c r="M2343" s="2" t="n">
        <v>3442</v>
      </c>
      <c r="O2343" s="2" t="s">
        <v>3454</v>
      </c>
      <c r="P2343" s="2" t="s">
        <v>3410</v>
      </c>
      <c r="S2343" s="2" t="n">
        <v>857</v>
      </c>
      <c r="T2343" s="2" t="n">
        <v>184</v>
      </c>
    </row>
    <row r="2344" customFormat="false" ht="18.7" hidden="false" customHeight="true" outlineLevel="0" collapsed="false">
      <c r="A2344" s="1" t="n">
        <v>2343</v>
      </c>
      <c r="B2344" s="7" t="str">
        <f aca="false">HYPERLINK("https://mncourtfraud.com/file/27-CR-23-7089.pdf","27-CR-23-7089")</f>
        <v>27-CR-23-7089</v>
      </c>
      <c r="C2344" s="1" t="n">
        <v>1</v>
      </c>
      <c r="D2344" s="2" t="s">
        <v>12</v>
      </c>
      <c r="E2344" s="8" t="n">
        <v>45048</v>
      </c>
      <c r="F2344" s="2" t="s">
        <v>80</v>
      </c>
      <c r="G2344" s="7" t="str">
        <f aca="false">HYPERLINK("https://mncourtfraud.com/file/MCRO_27-CR-23-7089_Finding of Incompetency and Order_2023-05-02_20251126190557.pdf","MCRO_27-CR-23-7089_Finding of Incompetency and Order_2023-05-02_20251126190557.pdf")</f>
        <v>MCRO_27-CR-23-7089_Finding of Incompetency and Order_2023-05-02_20251126190557.pdf</v>
      </c>
      <c r="H2344" s="7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2344" s="1" t="s">
        <v>3406</v>
      </c>
      <c r="L2344" s="2" t="s">
        <v>3412</v>
      </c>
      <c r="M2344" s="2" t="n">
        <v>3824</v>
      </c>
      <c r="S2344" s="2" t="n">
        <v>1850</v>
      </c>
      <c r="T2344" s="2" t="n">
        <v>160</v>
      </c>
    </row>
    <row r="2345" customFormat="false" ht="18.7" hidden="false" customHeight="true" outlineLevel="0" collapsed="false">
      <c r="A2345" s="1" t="n">
        <v>2344</v>
      </c>
      <c r="B2345" s="7" t="str">
        <f aca="false">HYPERLINK("https://mncourtfraud.com/file/27-CR-23-7089.pdf","27-CR-23-7089")</f>
        <v>27-CR-23-7089</v>
      </c>
      <c r="C2345" s="1" t="n">
        <v>1</v>
      </c>
      <c r="D2345" s="2" t="s">
        <v>12</v>
      </c>
      <c r="E2345" s="8" t="n">
        <v>45048</v>
      </c>
      <c r="F2345" s="2" t="s">
        <v>80</v>
      </c>
      <c r="G2345" s="7" t="str">
        <f aca="false">HYPERLINK("https://mncourtfraud.com/file/MCRO_27-CR-23-7089_Finding of Incompetency and Order_2023-05-02_20251126190557.pdf","MCRO_27-CR-23-7089_Finding of Incompetency and Order_2023-05-02_20251126190557.pdf")</f>
        <v>MCRO_27-CR-23-7089_Finding of Incompetency and Order_2023-05-02_20251126190557.pdf</v>
      </c>
      <c r="H2345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2345" s="1" t="s">
        <v>3413</v>
      </c>
      <c r="J2345" s="2" t="s">
        <v>3448</v>
      </c>
      <c r="K2345" s="2" t="s">
        <v>3448</v>
      </c>
      <c r="L2345" s="2" t="s">
        <v>3415</v>
      </c>
      <c r="M2345" s="2" t="n">
        <v>916684</v>
      </c>
    </row>
    <row r="2346" customFormat="false" ht="18.7" hidden="false" customHeight="true" outlineLevel="0" collapsed="false">
      <c r="A2346" s="1" t="n">
        <v>2345</v>
      </c>
      <c r="B2346" s="7" t="str">
        <f aca="false">HYPERLINK("https://mncourtfraud.com/file/27-CR-23-7089.pdf","27-CR-23-7089")</f>
        <v>27-CR-23-7089</v>
      </c>
      <c r="C2346" s="1" t="n">
        <v>1</v>
      </c>
      <c r="D2346" s="2" t="s">
        <v>12</v>
      </c>
      <c r="E2346" s="8" t="n">
        <v>45160</v>
      </c>
      <c r="F2346" s="2" t="s">
        <v>15</v>
      </c>
      <c r="G2346" s="7" t="str">
        <f aca="false">HYPERLINK("https://mncourtfraud.com/file/MCRO_27-CR-23-7089_Order-Evaluation for Competency to Proceed (Rule 20.01)_2023-08-22_20251126190622.pdf","MCRO_27-CR-23-7089_Order-Evaluation for Competency to Proceed (Rule 20.01)_2023-08-22_20251126190622.pdf")</f>
        <v>MCRO_27-CR-23-7089_Order-Evaluation for Competency to Proceed (Rule 20.01)_2023-08-22_20251126190622.pdf</v>
      </c>
      <c r="H2346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2346" s="1" t="s">
        <v>3413</v>
      </c>
      <c r="J2346" s="2" t="s">
        <v>3449</v>
      </c>
      <c r="K2346" s="2" t="s">
        <v>3449</v>
      </c>
      <c r="L2346" s="2" t="s">
        <v>3415</v>
      </c>
      <c r="M2346" s="2" t="n">
        <v>125504</v>
      </c>
    </row>
    <row r="2347" customFormat="false" ht="18.7" hidden="false" customHeight="true" outlineLevel="0" collapsed="false">
      <c r="A2347" s="1" t="n">
        <v>2346</v>
      </c>
      <c r="B2347" s="7" t="str">
        <f aca="false">HYPERLINK("https://mncourtfraud.com/file/27-CR-23-7089.pdf","27-CR-23-7089")</f>
        <v>27-CR-23-7089</v>
      </c>
      <c r="C2347" s="1" t="n">
        <v>1</v>
      </c>
      <c r="D2347" s="2" t="s">
        <v>12</v>
      </c>
      <c r="E2347" s="8" t="n">
        <v>45160</v>
      </c>
      <c r="F2347" s="2" t="s">
        <v>15</v>
      </c>
      <c r="G2347" s="7" t="str">
        <f aca="false">HYPERLINK("https://mncourtfraud.com/file/MCRO_27-CR-23-7089_Order-Evaluation for Competency to Proceed (Rule 20.01)_2023-08-22_20251126190622.pdf","MCRO_27-CR-23-7089_Order-Evaluation for Competency to Proceed (Rule 20.01)_2023-08-22_20251126190622.pdf")</f>
        <v>MCRO_27-CR-23-7089_Order-Evaluation for Competency to Proceed (Rule 20.01)_2023-08-22_20251126190622.pdf</v>
      </c>
      <c r="H2347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2347" s="1" t="s">
        <v>3413</v>
      </c>
      <c r="J2347" s="2" t="s">
        <v>3449</v>
      </c>
      <c r="K2347" s="2" t="s">
        <v>3449</v>
      </c>
      <c r="L2347" s="2" t="s">
        <v>3415</v>
      </c>
      <c r="M2347" s="2" t="n">
        <v>125504</v>
      </c>
    </row>
    <row r="2348" customFormat="false" ht="18.7" hidden="false" customHeight="true" outlineLevel="0" collapsed="false">
      <c r="A2348" s="1" t="n">
        <v>2347</v>
      </c>
      <c r="B2348" s="7" t="str">
        <f aca="false">HYPERLINK("https://mncourtfraud.com/file/27-CR-23-7089.pdf","27-CR-23-7089")</f>
        <v>27-CR-23-7089</v>
      </c>
      <c r="C2348" s="1" t="n">
        <v>1</v>
      </c>
      <c r="D2348" s="2" t="s">
        <v>12</v>
      </c>
      <c r="E2348" s="8" t="n">
        <v>45160</v>
      </c>
      <c r="F2348" s="2" t="s">
        <v>15</v>
      </c>
      <c r="G2348" s="7" t="str">
        <f aca="false">HYPERLINK("https://mncourtfraud.com/file/MCRO_27-CR-23-7089_Order-Evaluation for Competency to Proceed (Rule 20.01)_2023-08-22_20251126190622.pdf","MCRO_27-CR-23-7089_Order-Evaluation for Competency to Proceed (Rule 20.01)_2023-08-22_20251126190622.pdf")</f>
        <v>MCRO_27-CR-23-7089_Order-Evaluation for Competency to Proceed (Rule 20.01)_2023-08-22_20251126190622.pdf</v>
      </c>
      <c r="H2348" s="7" t="str">
        <f aca="false">HYPERLINK("https://mncourtfraud.com/file/0174a154b1dd2c8824c0108a525fa6ced84bf8b7d2fc9696a847700a4f83bb3b.ttf","0174a154b1dd2c8824c0108a525fa6ced84bf8b7d2fc9696a847700a4f83bb3b")</f>
        <v>0174a154b1dd2c8824c0108a525fa6ced84bf8b7d2fc9696a847700a4f83bb3b</v>
      </c>
      <c r="I2348" s="1" t="s">
        <v>3413</v>
      </c>
      <c r="J2348" s="2" t="s">
        <v>3422</v>
      </c>
      <c r="K2348" s="2" t="s">
        <v>3422</v>
      </c>
      <c r="L2348" s="2" t="s">
        <v>3415</v>
      </c>
      <c r="M2348" s="2" t="n">
        <v>101216</v>
      </c>
    </row>
    <row r="2349" customFormat="false" ht="18.7" hidden="false" customHeight="true" outlineLevel="0" collapsed="false">
      <c r="A2349" s="1" t="n">
        <v>2348</v>
      </c>
      <c r="B2349" s="7" t="str">
        <f aca="false">HYPERLINK("https://mncourtfraud.com/file/27-CR-23-7089.pdf","27-CR-23-7089")</f>
        <v>27-CR-23-7089</v>
      </c>
      <c r="C2349" s="1" t="n">
        <v>1</v>
      </c>
      <c r="D2349" s="2" t="s">
        <v>12</v>
      </c>
      <c r="E2349" s="8" t="n">
        <v>45160</v>
      </c>
      <c r="F2349" s="2" t="s">
        <v>15</v>
      </c>
      <c r="G2349" s="7" t="str">
        <f aca="false">HYPERLINK("https://mncourtfraud.com/file/MCRO_27-CR-23-7089_Order-Evaluation for Competency to Proceed (Rule 20.01)_2023-08-22_20251126190622.pdf","MCRO_27-CR-23-7089_Order-Evaluation for Competency to Proceed (Rule 20.01)_2023-08-22_20251126190622.pdf")</f>
        <v>MCRO_27-CR-23-7089_Order-Evaluation for Competency to Proceed (Rule 20.01)_2023-08-22_20251126190622.pdf</v>
      </c>
      <c r="H2349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2349" s="1" t="s">
        <v>3413</v>
      </c>
      <c r="J2349" s="2" t="s">
        <v>3423</v>
      </c>
      <c r="K2349" s="2" t="s">
        <v>3423</v>
      </c>
      <c r="L2349" s="2" t="s">
        <v>3415</v>
      </c>
      <c r="M2349" s="2" t="n">
        <v>11088</v>
      </c>
    </row>
    <row r="2350" customFormat="false" ht="18.7" hidden="false" customHeight="true" outlineLevel="0" collapsed="false">
      <c r="A2350" s="1" t="n">
        <v>2349</v>
      </c>
      <c r="B2350" s="7" t="str">
        <f aca="false">HYPERLINK("https://mncourtfraud.com/file/27-CR-23-7089.pdf","27-CR-23-7089")</f>
        <v>27-CR-23-7089</v>
      </c>
      <c r="C2350" s="1" t="n">
        <v>1</v>
      </c>
      <c r="D2350" s="2" t="s">
        <v>12</v>
      </c>
      <c r="E2350" s="8" t="n">
        <v>45160</v>
      </c>
      <c r="F2350" s="2" t="s">
        <v>15</v>
      </c>
      <c r="G2350" s="7" t="str">
        <f aca="false">HYPERLINK("https://mncourtfraud.com/file/MCRO_27-CR-23-7089_Order-Evaluation for Competency to Proceed (Rule 20.01)_2023-08-22_20251126190622.pdf","MCRO_27-CR-23-7089_Order-Evaluation for Competency to Proceed (Rule 20.01)_2023-08-22_20251126190622.pdf")</f>
        <v>MCRO_27-CR-23-7089_Order-Evaluation for Competency to Proceed (Rule 20.01)_2023-08-22_20251126190622.pdf</v>
      </c>
      <c r="H2350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2350" s="1" t="s">
        <v>3413</v>
      </c>
      <c r="J2350" s="2" t="s">
        <v>3446</v>
      </c>
      <c r="K2350" s="2" t="s">
        <v>3446</v>
      </c>
      <c r="L2350" s="2" t="s">
        <v>3415</v>
      </c>
      <c r="M2350" s="2" t="n">
        <v>55072</v>
      </c>
      <c r="N2350" s="2" t="s">
        <v>3447</v>
      </c>
    </row>
    <row r="2351" customFormat="false" ht="18.7" hidden="false" customHeight="true" outlineLevel="0" collapsed="false">
      <c r="A2351" s="1" t="n">
        <v>2350</v>
      </c>
      <c r="B2351" s="7" t="str">
        <f aca="false">HYPERLINK("https://mncourtfraud.com/file/27-CR-23-7089.pdf","27-CR-23-7089")</f>
        <v>27-CR-23-7089</v>
      </c>
      <c r="C2351" s="1" t="n">
        <v>1</v>
      </c>
      <c r="D2351" s="2" t="s">
        <v>12</v>
      </c>
      <c r="E2351" s="8" t="n">
        <v>45160</v>
      </c>
      <c r="F2351" s="2" t="s">
        <v>15</v>
      </c>
      <c r="G2351" s="7" t="str">
        <f aca="false">HYPERLINK("https://mncourtfraud.com/file/MCRO_27-CR-23-7089_Order-Evaluation for Competency to Proceed (Rule 20.01)_2023-08-22_20251126190622.pdf","MCRO_27-CR-23-7089_Order-Evaluation for Competency to Proceed (Rule 20.01)_2023-08-22_20251126190622.pdf")</f>
        <v>MCRO_27-CR-23-7089_Order-Evaluation for Competency to Proceed (Rule 20.01)_2023-08-22_20251126190622.pdf</v>
      </c>
      <c r="H2351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2351" s="1" t="s">
        <v>3413</v>
      </c>
      <c r="J2351" s="2" t="s">
        <v>3424</v>
      </c>
      <c r="K2351" s="2" t="s">
        <v>3424</v>
      </c>
      <c r="L2351" s="2" t="s">
        <v>3415</v>
      </c>
      <c r="M2351" s="2" t="n">
        <v>14252</v>
      </c>
    </row>
    <row r="2352" customFormat="false" ht="18.7" hidden="false" customHeight="true" outlineLevel="0" collapsed="false">
      <c r="A2352" s="1" t="n">
        <v>2351</v>
      </c>
      <c r="B2352" s="7" t="str">
        <f aca="false">HYPERLINK("https://mncourtfraud.com/file/27-CR-23-7089.pdf","27-CR-23-7089")</f>
        <v>27-CR-23-7089</v>
      </c>
      <c r="C2352" s="1" t="n">
        <v>1</v>
      </c>
      <c r="D2352" s="2" t="s">
        <v>12</v>
      </c>
      <c r="E2352" s="8" t="n">
        <v>45160</v>
      </c>
      <c r="F2352" s="2" t="s">
        <v>15</v>
      </c>
      <c r="G2352" s="7" t="str">
        <f aca="false">HYPERLINK("https://mncourtfraud.com/file/MCRO_27-CR-23-7089_Order-Evaluation for Competency to Proceed (Rule 20.01)_2023-08-22_20251126190622.pdf","MCRO_27-CR-23-7089_Order-Evaluation for Competency to Proceed (Rule 20.01)_2023-08-22_20251126190622.pdf")</f>
        <v>MCRO_27-CR-23-7089_Order-Evaluation for Competency to Proceed (Rule 20.01)_2023-08-22_20251126190622.pdf</v>
      </c>
      <c r="H2352" s="7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2352" s="1" t="s">
        <v>3406</v>
      </c>
      <c r="L2352" s="2" t="s">
        <v>3412</v>
      </c>
      <c r="M2352" s="2" t="n">
        <v>5012</v>
      </c>
      <c r="S2352" s="2" t="n">
        <v>2740</v>
      </c>
      <c r="T2352" s="2" t="n">
        <v>180</v>
      </c>
    </row>
    <row r="2353" customFormat="false" ht="18.7" hidden="false" customHeight="true" outlineLevel="0" collapsed="false">
      <c r="A2353" s="1" t="n">
        <v>2352</v>
      </c>
      <c r="B2353" s="7" t="str">
        <f aca="false">HYPERLINK("https://mncourtfraud.com/file/27-CR-23-7089.pdf","27-CR-23-7089")</f>
        <v>27-CR-23-7089</v>
      </c>
      <c r="C2353" s="1" t="n">
        <v>1</v>
      </c>
      <c r="D2353" s="2" t="s">
        <v>12</v>
      </c>
      <c r="E2353" s="8" t="n">
        <v>45160</v>
      </c>
      <c r="F2353" s="2" t="s">
        <v>15</v>
      </c>
      <c r="G2353" s="7" t="str">
        <f aca="false">HYPERLINK("https://mncourtfraud.com/file/MCRO_27-CR-23-7089_Order-Evaluation for Competency to Proceed (Rule 20.01)_2023-08-22_20251126190622.pdf","MCRO_27-CR-23-7089_Order-Evaluation for Competency to Proceed (Rule 20.01)_2023-08-22_20251126190622.pdf")</f>
        <v>MCRO_27-CR-23-7089_Order-Evaluation for Competency to Proceed (Rule 20.01)_2023-08-22_20251126190622.pdf</v>
      </c>
      <c r="H2353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2353" s="1" t="s">
        <v>3413</v>
      </c>
      <c r="J2353" s="2" t="s">
        <v>3448</v>
      </c>
      <c r="K2353" s="2" t="s">
        <v>3448</v>
      </c>
      <c r="L2353" s="2" t="s">
        <v>3415</v>
      </c>
      <c r="M2353" s="2" t="n">
        <v>916684</v>
      </c>
    </row>
    <row r="2354" customFormat="false" ht="18.7" hidden="false" customHeight="true" outlineLevel="0" collapsed="false">
      <c r="A2354" s="1" t="n">
        <v>2353</v>
      </c>
      <c r="B2354" s="7" t="str">
        <f aca="false">HYPERLINK("https://mncourtfraud.com/file/27-CR-23-7089.pdf","27-CR-23-7089")</f>
        <v>27-CR-23-7089</v>
      </c>
      <c r="C2354" s="1" t="n">
        <v>1</v>
      </c>
      <c r="D2354" s="2" t="s">
        <v>12</v>
      </c>
      <c r="E2354" s="8" t="n">
        <v>45160</v>
      </c>
      <c r="F2354" s="2" t="s">
        <v>15</v>
      </c>
      <c r="G2354" s="7" t="str">
        <f aca="false">HYPERLINK("https://mncourtfraud.com/file/MCRO_27-CR-23-7089_Order-Evaluation for Competency to Proceed (Rule 20.01)_2023-08-22_20251126190622.pdf","MCRO_27-CR-23-7089_Order-Evaluation for Competency to Proceed (Rule 20.01)_2023-08-22_20251126190622.pdf")</f>
        <v>MCRO_27-CR-23-7089_Order-Evaluation for Competency to Proceed (Rule 20.01)_2023-08-22_20251126190622.pdf</v>
      </c>
      <c r="H2354" s="7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2354" s="1" t="s">
        <v>3406</v>
      </c>
      <c r="K2354" s="2" t="s">
        <v>3459</v>
      </c>
      <c r="L2354" s="2" t="s">
        <v>3408</v>
      </c>
      <c r="M2354" s="2" t="n">
        <v>5220</v>
      </c>
      <c r="O2354" s="2" t="s">
        <v>3460</v>
      </c>
      <c r="P2354" s="2" t="s">
        <v>3410</v>
      </c>
      <c r="S2354" s="2" t="n">
        <v>881</v>
      </c>
      <c r="T2354" s="2" t="n">
        <v>216</v>
      </c>
    </row>
    <row r="2355" customFormat="false" ht="18.7" hidden="false" customHeight="true" outlineLevel="0" collapsed="false">
      <c r="A2355" s="1" t="n">
        <v>2354</v>
      </c>
      <c r="B2355" s="7" t="str">
        <f aca="false">HYPERLINK("https://mncourtfraud.com/file/27-CR-23-7089.pdf","27-CR-23-7089")</f>
        <v>27-CR-23-7089</v>
      </c>
      <c r="C2355" s="1" t="n">
        <v>1</v>
      </c>
      <c r="D2355" s="2" t="s">
        <v>12</v>
      </c>
      <c r="E2355" s="8" t="n">
        <v>45412</v>
      </c>
      <c r="F2355" s="2" t="s">
        <v>15</v>
      </c>
      <c r="G2355" s="7" t="str">
        <f aca="false">HYPERLINK("https://mncourtfraud.com/file/MCRO_27-CR-23-7089_Order-Evaluation for Competency to Proceed (Rule 20.01)_2024-04-30_20251126190615.pdf","MCRO_27-CR-23-7089_Order-Evaluation for Competency to Proceed (Rule 20.01)_2024-04-30_20251126190615.pdf")</f>
        <v>MCRO_27-CR-23-7089_Order-Evaluation for Competency to Proceed (Rule 20.01)_2024-04-30_20251126190615.pdf</v>
      </c>
      <c r="H2355" s="7" t="str">
        <f aca="false">HYPERLINK("https://mncourtfraud.com/file/021b7e4c573d228c2e657ff2d727f394050fd7179c77d2bdf588ba17f5effea6.png","021b7e4c573d228c2e657ff2d727f394050fd7179c77d2bdf588ba17f5effea6")</f>
        <v>021b7e4c573d228c2e657ff2d727f394050fd7179c77d2bdf588ba17f5effea6</v>
      </c>
      <c r="I2355" s="1" t="s">
        <v>3406</v>
      </c>
      <c r="L2355" s="2" t="s">
        <v>3412</v>
      </c>
      <c r="M2355" s="2" t="n">
        <v>154549</v>
      </c>
      <c r="S2355" s="2" t="n">
        <v>2560</v>
      </c>
      <c r="T2355" s="2" t="n">
        <v>3300</v>
      </c>
    </row>
    <row r="2356" customFormat="false" ht="18.7" hidden="false" customHeight="true" outlineLevel="0" collapsed="false">
      <c r="A2356" s="1" t="n">
        <v>2355</v>
      </c>
      <c r="B2356" s="7" t="str">
        <f aca="false">HYPERLINK("https://mncourtfraud.com/file/27-CR-23-7089.pdf","27-CR-23-7089")</f>
        <v>27-CR-23-7089</v>
      </c>
      <c r="C2356" s="1" t="n">
        <v>1</v>
      </c>
      <c r="D2356" s="2" t="s">
        <v>12</v>
      </c>
      <c r="E2356" s="8" t="n">
        <v>45412</v>
      </c>
      <c r="F2356" s="2" t="s">
        <v>15</v>
      </c>
      <c r="G2356" s="7" t="str">
        <f aca="false">HYPERLINK("https://mncourtfraud.com/file/MCRO_27-CR-23-7089_Order-Evaluation for Competency to Proceed (Rule 20.01)_2024-04-30_20251126190615.pdf","MCRO_27-CR-23-7089_Order-Evaluation for Competency to Proceed (Rule 20.01)_2024-04-30_20251126190615.pdf")</f>
        <v>MCRO_27-CR-23-7089_Order-Evaluation for Competency to Proceed (Rule 20.01)_2024-04-30_20251126190615.pdf</v>
      </c>
      <c r="H2356" s="7" t="str">
        <f aca="false">HYPERLINK("https://mncourtfraud.com/file/08c0aad04ddea53e8cab6e0db2dbb4f4ce7c307f1356bf979fc68c74a88115f3.png","08c0aad04ddea53e8cab6e0db2dbb4f4ce7c307f1356bf979fc68c74a88115f3")</f>
        <v>08c0aad04ddea53e8cab6e0db2dbb4f4ce7c307f1356bf979fc68c74a88115f3</v>
      </c>
      <c r="I2356" s="1" t="s">
        <v>3406</v>
      </c>
      <c r="L2356" s="2" t="s">
        <v>3412</v>
      </c>
      <c r="M2356" s="2" t="n">
        <v>180051</v>
      </c>
      <c r="S2356" s="2" t="n">
        <v>2560</v>
      </c>
      <c r="T2356" s="2" t="n">
        <v>3300</v>
      </c>
    </row>
    <row r="2357" customFormat="false" ht="18.7" hidden="false" customHeight="true" outlineLevel="0" collapsed="false">
      <c r="A2357" s="1" t="n">
        <v>2356</v>
      </c>
      <c r="B2357" s="7" t="str">
        <f aca="false">HYPERLINK("https://mncourtfraud.com/file/27-CR-23-7089.pdf","27-CR-23-7089")</f>
        <v>27-CR-23-7089</v>
      </c>
      <c r="C2357" s="1" t="n">
        <v>1</v>
      </c>
      <c r="D2357" s="2" t="s">
        <v>12</v>
      </c>
      <c r="E2357" s="8" t="n">
        <v>45412</v>
      </c>
      <c r="F2357" s="2" t="s">
        <v>24</v>
      </c>
      <c r="G2357" s="7" t="str">
        <f aca="false">HYPERLINK("https://mncourtfraud.com/file/MCRO_27-CR-23-7089_Order for Conditional Release_2024-04-30_20251126190607.pdf","MCRO_27-CR-23-7089_Order for Conditional Release_2024-04-30_20251126190607.pdf")</f>
        <v>MCRO_27-CR-23-7089_Order for Conditional Release_2024-04-30_20251126190607.pdf</v>
      </c>
      <c r="H2357" s="7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2357" s="1" t="s">
        <v>3406</v>
      </c>
      <c r="L2357" s="2" t="s">
        <v>3412</v>
      </c>
      <c r="M2357" s="2" t="n">
        <v>38726</v>
      </c>
      <c r="S2357" s="2" t="n">
        <v>2560</v>
      </c>
      <c r="T2357" s="2" t="n">
        <v>3300</v>
      </c>
    </row>
    <row r="2358" customFormat="false" ht="18.7" hidden="false" customHeight="true" outlineLevel="0" collapsed="false">
      <c r="A2358" s="1" t="n">
        <v>2357</v>
      </c>
      <c r="B2358" s="7" t="str">
        <f aca="false">HYPERLINK("https://mncourtfraud.com/file/27-CR-23-7089.pdf","27-CR-23-7089")</f>
        <v>27-CR-23-7089</v>
      </c>
      <c r="C2358" s="1" t="n">
        <v>1</v>
      </c>
      <c r="D2358" s="2" t="s">
        <v>12</v>
      </c>
      <c r="E2358" s="8" t="n">
        <v>45412</v>
      </c>
      <c r="F2358" s="2" t="s">
        <v>15</v>
      </c>
      <c r="G2358" s="7" t="str">
        <f aca="false">HYPERLINK("https://mncourtfraud.com/file/MCRO_27-CR-23-7089_Order-Evaluation for Competency to Proceed (Rule 20.01)_2024-04-30_20251126190615.pdf","MCRO_27-CR-23-7089_Order-Evaluation for Competency to Proceed (Rule 20.01)_2024-04-30_20251126190615.pdf")</f>
        <v>MCRO_27-CR-23-7089_Order-Evaluation for Competency to Proceed (Rule 20.01)_2024-04-30_20251126190615.pdf</v>
      </c>
      <c r="H2358" s="7" t="str">
        <f aca="false">HYPERLINK("https://mncourtfraud.com/file/4db7d2599119dc45c08adba3b9b2ba67e6a3d697261d3f95ca4c5b01777bcfbe.ttf","4db7d2599119dc45c08adba3b9b2ba67e6a3d697261d3f95ca4c5b01777bcfbe")</f>
        <v>4db7d2599119dc45c08adba3b9b2ba67e6a3d697261d3f95ca4c5b01777bcfbe</v>
      </c>
      <c r="I2358" s="1" t="s">
        <v>3413</v>
      </c>
      <c r="L2358" s="2" t="s">
        <v>3415</v>
      </c>
      <c r="M2358" s="2" t="n">
        <v>333576</v>
      </c>
    </row>
    <row r="2359" customFormat="false" ht="18.7" hidden="false" customHeight="true" outlineLevel="0" collapsed="false">
      <c r="A2359" s="1" t="n">
        <v>2358</v>
      </c>
      <c r="B2359" s="7" t="str">
        <f aca="false">HYPERLINK("https://mncourtfraud.com/file/27-CR-23-7089.pdf","27-CR-23-7089")</f>
        <v>27-CR-23-7089</v>
      </c>
      <c r="C2359" s="1" t="n">
        <v>1</v>
      </c>
      <c r="D2359" s="2" t="s">
        <v>12</v>
      </c>
      <c r="E2359" s="8" t="n">
        <v>45412</v>
      </c>
      <c r="F2359" s="2" t="s">
        <v>15</v>
      </c>
      <c r="G2359" s="7" t="str">
        <f aca="false">HYPERLINK("https://mncourtfraud.com/file/MCRO_27-CR-23-7089_Order-Evaluation for Competency to Proceed (Rule 20.01)_2024-04-30_20251126190615.pdf","MCRO_27-CR-23-7089_Order-Evaluation for Competency to Proceed (Rule 20.01)_2024-04-30_20251126190615.pdf")</f>
        <v>MCRO_27-CR-23-7089_Order-Evaluation for Competency to Proceed (Rule 20.01)_2024-04-30_20251126190615.pdf</v>
      </c>
      <c r="H2359" s="7" t="str">
        <f aca="false">HYPERLINK("https://mncourtfraud.com/file/c2ccf76962a50d5e72c0ed7a2b37d1febfcbdd90aa209a83f8c0e6437aa65c3e.png","c2ccf76962a50d5e72c0ed7a2b37d1febfcbdd90aa209a83f8c0e6437aa65c3e")</f>
        <v>c2ccf76962a50d5e72c0ed7a2b37d1febfcbdd90aa209a83f8c0e6437aa65c3e</v>
      </c>
      <c r="I2359" s="1" t="s">
        <v>3406</v>
      </c>
      <c r="L2359" s="2" t="s">
        <v>3412</v>
      </c>
      <c r="M2359" s="2" t="n">
        <v>71271</v>
      </c>
      <c r="S2359" s="2" t="n">
        <v>2560</v>
      </c>
      <c r="T2359" s="2" t="n">
        <v>3300</v>
      </c>
    </row>
    <row r="2360" customFormat="false" ht="18.7" hidden="false" customHeight="true" outlineLevel="0" collapsed="false">
      <c r="A2360" s="1" t="n">
        <v>2359</v>
      </c>
      <c r="B2360" s="7" t="str">
        <f aca="false">HYPERLINK("https://mncourtfraud.com/file/27-CR-23-7089.pdf","27-CR-23-7089")</f>
        <v>27-CR-23-7089</v>
      </c>
      <c r="C2360" s="1" t="n">
        <v>1</v>
      </c>
      <c r="D2360" s="2" t="s">
        <v>12</v>
      </c>
      <c r="E2360" s="8" t="n">
        <v>45412</v>
      </c>
      <c r="F2360" s="2" t="s">
        <v>24</v>
      </c>
      <c r="G2360" s="7" t="str">
        <f aca="false">HYPERLINK("https://mncourtfraud.com/file/MCRO_27-CR-23-7089_Order for Conditional Release_2024-04-30_20251126190607.pdf","MCRO_27-CR-23-7089_Order for Conditional Release_2024-04-30_20251126190607.pdf")</f>
        <v>MCRO_27-CR-23-7089_Order for Conditional Release_2024-04-30_20251126190607.pdf</v>
      </c>
      <c r="H2360" s="7" t="str">
        <f aca="false">HYPERLINK("https://mncourtfraud.com/file/d5cf4f06aaee8f372e6af86dab12d75d131a3ba68ba6baeac4b7b514ef3e0b85.ttf","d5cf4f06aaee8f372e6af86dab12d75d131a3ba68ba6baeac4b7b514ef3e0b85")</f>
        <v>d5cf4f06aaee8f372e6af86dab12d75d131a3ba68ba6baeac4b7b514ef3e0b85</v>
      </c>
      <c r="I2360" s="1" t="s">
        <v>3413</v>
      </c>
      <c r="L2360" s="2" t="s">
        <v>3415</v>
      </c>
      <c r="M2360" s="2" t="n">
        <v>333576</v>
      </c>
    </row>
    <row r="2361" customFormat="false" ht="18.7" hidden="false" customHeight="true" outlineLevel="0" collapsed="false">
      <c r="A2361" s="1" t="n">
        <v>2360</v>
      </c>
      <c r="B2361" s="7" t="str">
        <f aca="false">HYPERLINK("https://mncourtfraud.com/file/27-CR-23-7089.pdf","27-CR-23-7089")</f>
        <v>27-CR-23-7089</v>
      </c>
      <c r="C2361" s="1" t="n">
        <v>1</v>
      </c>
      <c r="D2361" s="2" t="s">
        <v>12</v>
      </c>
      <c r="E2361" s="8" t="n">
        <v>45412</v>
      </c>
      <c r="F2361" s="2" t="s">
        <v>24</v>
      </c>
      <c r="G2361" s="7" t="str">
        <f aca="false">HYPERLINK("https://mncourtfraud.com/file/MCRO_27-CR-23-7089_Order for Conditional Release_2024-04-30_20251126190607.pdf","MCRO_27-CR-23-7089_Order for Conditional Release_2024-04-30_20251126190607.pdf")</f>
        <v>MCRO_27-CR-23-7089_Order for Conditional Release_2024-04-30_20251126190607.pdf</v>
      </c>
      <c r="H2361" s="7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2361" s="1" t="s">
        <v>3406</v>
      </c>
      <c r="L2361" s="2" t="s">
        <v>3412</v>
      </c>
      <c r="M2361" s="2" t="n">
        <v>195018</v>
      </c>
      <c r="S2361" s="2" t="n">
        <v>2560</v>
      </c>
      <c r="T2361" s="2" t="n">
        <v>3300</v>
      </c>
    </row>
    <row r="2362" customFormat="false" ht="18.7" hidden="false" customHeight="true" outlineLevel="0" collapsed="false">
      <c r="A2362" s="1" t="n">
        <v>2361</v>
      </c>
      <c r="B2362" s="7" t="str">
        <f aca="false">HYPERLINK("https://mncourtfraud.com/file/27-CR-23-7275.pdf","27-CR-23-7275")</f>
        <v>27-CR-23-7275</v>
      </c>
      <c r="C2362" s="1" t="n">
        <v>1</v>
      </c>
      <c r="D2362" s="2" t="s">
        <v>12</v>
      </c>
      <c r="E2362" s="8" t="n">
        <v>45048</v>
      </c>
      <c r="F2362" s="2" t="s">
        <v>80</v>
      </c>
      <c r="G2362" s="7" t="str">
        <f aca="false">HYPERLINK("https://mncourtfraud.com/file/MCRO_27-CR-23-7275_Finding of Incompetency and Order_2023-05-02_20251126190643.pdf","MCRO_27-CR-23-7275_Finding of Incompetency and Order_2023-05-02_20251126190643.pdf")</f>
        <v>MCRO_27-CR-23-7275_Finding of Incompetency and Order_2023-05-02_20251126190643.pdf</v>
      </c>
      <c r="H2362" s="7" t="str">
        <f aca="false">HYPERLINK("https://mncourtfraud.com/file/027e974d31f005b83ac758a917e9bf44bbb33019de4574881dc00aa4721e5c8a.png","027e974d31f005b83ac758a917e9bf44bbb33019de4574881dc00aa4721e5c8a")</f>
        <v>027e974d31f005b83ac758a917e9bf44bbb33019de4574881dc00aa4721e5c8a</v>
      </c>
      <c r="I2362" s="1" t="s">
        <v>3406</v>
      </c>
      <c r="L2362" s="2" t="s">
        <v>3412</v>
      </c>
      <c r="M2362" s="2" t="n">
        <v>3506</v>
      </c>
      <c r="S2362" s="2" t="n">
        <v>1410</v>
      </c>
      <c r="T2362" s="2" t="n">
        <v>150</v>
      </c>
    </row>
    <row r="2363" customFormat="false" ht="18.7" hidden="false" customHeight="true" outlineLevel="0" collapsed="false">
      <c r="A2363" s="1" t="n">
        <v>2362</v>
      </c>
      <c r="B2363" s="7" t="str">
        <f aca="false">HYPERLINK("https://mncourtfraud.com/file/27-CR-23-7275.pdf","27-CR-23-7275")</f>
        <v>27-CR-23-7275</v>
      </c>
      <c r="C2363" s="1" t="n">
        <v>1</v>
      </c>
      <c r="D2363" s="2" t="s">
        <v>12</v>
      </c>
      <c r="E2363" s="8" t="n">
        <v>45048</v>
      </c>
      <c r="F2363" s="2" t="s">
        <v>80</v>
      </c>
      <c r="G2363" s="7" t="str">
        <f aca="false">HYPERLINK("https://mncourtfraud.com/file/MCRO_27-CR-23-7275_Finding of Incompetency and Order_2023-05-02_20251126190643.pdf","MCRO_27-CR-23-7275_Finding of Incompetency and Order_2023-05-02_20251126190643.pdf")</f>
        <v>MCRO_27-CR-23-7275_Finding of Incompetency and Order_2023-05-02_20251126190643.pdf</v>
      </c>
      <c r="H2363" s="7" t="str">
        <f aca="false">HYPERLINK("https://mncourtfraud.com/file/18befca089509ee2fbaddf9c5b79bf5988523b22d2369743ed9a591b9fc3bdb6.ttf","18befca089509ee2fbaddf9c5b79bf5988523b22d2369743ed9a591b9fc3bdb6")</f>
        <v>18befca089509ee2fbaddf9c5b79bf5988523b22d2369743ed9a591b9fc3bdb6</v>
      </c>
      <c r="I2363" s="1" t="s">
        <v>3413</v>
      </c>
      <c r="J2363" s="2" t="s">
        <v>3421</v>
      </c>
      <c r="K2363" s="2" t="s">
        <v>3450</v>
      </c>
      <c r="L2363" s="2" t="s">
        <v>3415</v>
      </c>
      <c r="M2363" s="2" t="n">
        <v>115928</v>
      </c>
    </row>
    <row r="2364" customFormat="false" ht="18.7" hidden="false" customHeight="true" outlineLevel="0" collapsed="false">
      <c r="A2364" s="1" t="n">
        <v>2363</v>
      </c>
      <c r="B2364" s="7" t="str">
        <f aca="false">HYPERLINK("https://mncourtfraud.com/file/27-CR-23-7275.pdf","27-CR-23-7275")</f>
        <v>27-CR-23-7275</v>
      </c>
      <c r="C2364" s="1" t="n">
        <v>1</v>
      </c>
      <c r="D2364" s="2" t="s">
        <v>12</v>
      </c>
      <c r="E2364" s="8" t="n">
        <v>45048</v>
      </c>
      <c r="F2364" s="2" t="s">
        <v>80</v>
      </c>
      <c r="G2364" s="7" t="str">
        <f aca="false">HYPERLINK("https://mncourtfraud.com/file/MCRO_27-CR-23-7275_Finding of Incompetency and Order_2023-05-02_20251126190643.pdf","MCRO_27-CR-23-7275_Finding of Incompetency and Order_2023-05-02_20251126190643.pdf")</f>
        <v>MCRO_27-CR-23-7275_Finding of Incompetency and Order_2023-05-02_20251126190643.pdf</v>
      </c>
      <c r="H2364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2364" s="1" t="s">
        <v>3413</v>
      </c>
      <c r="J2364" s="2" t="s">
        <v>3446</v>
      </c>
      <c r="K2364" s="2" t="s">
        <v>3446</v>
      </c>
      <c r="L2364" s="2" t="s">
        <v>3415</v>
      </c>
      <c r="M2364" s="2" t="n">
        <v>55072</v>
      </c>
      <c r="N2364" s="2" t="s">
        <v>3447</v>
      </c>
    </row>
    <row r="2365" customFormat="false" ht="18.7" hidden="false" customHeight="true" outlineLevel="0" collapsed="false">
      <c r="A2365" s="1" t="n">
        <v>2364</v>
      </c>
      <c r="B2365" s="7" t="str">
        <f aca="false">HYPERLINK("https://mncourtfraud.com/file/27-CR-23-7275.pdf","27-CR-23-7275")</f>
        <v>27-CR-23-7275</v>
      </c>
      <c r="C2365" s="1" t="n">
        <v>1</v>
      </c>
      <c r="D2365" s="2" t="s">
        <v>12</v>
      </c>
      <c r="E2365" s="8" t="n">
        <v>45048</v>
      </c>
      <c r="F2365" s="2" t="s">
        <v>80</v>
      </c>
      <c r="G2365" s="7" t="str">
        <f aca="false">HYPERLINK("https://mncourtfraud.com/file/MCRO_27-CR-23-7275_Finding of Incompetency and Order_2023-05-02_20251126190643.pdf","MCRO_27-CR-23-7275_Finding of Incompetency and Order_2023-05-02_20251126190643.pdf")</f>
        <v>MCRO_27-CR-23-7275_Finding of Incompetency and Order_2023-05-02_20251126190643.pdf</v>
      </c>
      <c r="H2365" s="7" t="str">
        <f aca="false">HYPERLINK("https://mncourtfraud.com/file/74de35edc438277245281907df817159f3535df7d4852de37d73b2bff8241cd6.png","74de35edc438277245281907df817159f3535df7d4852de37d73b2bff8241cd6")</f>
        <v>74de35edc438277245281907df817159f3535df7d4852de37d73b2bff8241cd6</v>
      </c>
      <c r="I2365" s="1" t="s">
        <v>3406</v>
      </c>
      <c r="K2365" s="2" t="s">
        <v>3451</v>
      </c>
      <c r="L2365" s="2" t="s">
        <v>3408</v>
      </c>
      <c r="M2365" s="2" t="n">
        <v>5295</v>
      </c>
      <c r="O2365" s="2" t="s">
        <v>3452</v>
      </c>
      <c r="P2365" s="2" t="s">
        <v>3410</v>
      </c>
      <c r="S2365" s="2" t="n">
        <v>833</v>
      </c>
      <c r="T2365" s="2" t="n">
        <v>186</v>
      </c>
    </row>
    <row r="2366" customFormat="false" ht="18.7" hidden="false" customHeight="true" outlineLevel="0" collapsed="false">
      <c r="A2366" s="1" t="n">
        <v>2365</v>
      </c>
      <c r="B2366" s="7" t="str">
        <f aca="false">HYPERLINK("https://mncourtfraud.com/file/27-CR-23-7275.pdf","27-CR-23-7275")</f>
        <v>27-CR-23-7275</v>
      </c>
      <c r="C2366" s="1" t="n">
        <v>1</v>
      </c>
      <c r="D2366" s="2" t="s">
        <v>12</v>
      </c>
      <c r="E2366" s="8" t="n">
        <v>45048</v>
      </c>
      <c r="F2366" s="2" t="s">
        <v>80</v>
      </c>
      <c r="G2366" s="7" t="str">
        <f aca="false">HYPERLINK("https://mncourtfraud.com/file/MCRO_27-CR-23-7275_Finding of Incompetency and Order_2023-05-02_20251126190643.pdf","MCRO_27-CR-23-7275_Finding of Incompetency and Order_2023-05-02_20251126190643.pdf")</f>
        <v>MCRO_27-CR-23-7275_Finding of Incompetency and Order_2023-05-02_20251126190643.pdf</v>
      </c>
      <c r="H2366" s="7" t="str">
        <f aca="false">HYPERLINK("https://mncourtfraud.com/file/777acb19e3b9b51a8e7ede12ab82b9174915e30b4d13cd1b6caf60443cfde514.png","777acb19e3b9b51a8e7ede12ab82b9174915e30b4d13cd1b6caf60443cfde514")</f>
        <v>777acb19e3b9b51a8e7ede12ab82b9174915e30b4d13cd1b6caf60443cfde514</v>
      </c>
      <c r="I2366" s="1" t="s">
        <v>3406</v>
      </c>
      <c r="K2366" s="2" t="s">
        <v>3453</v>
      </c>
      <c r="L2366" s="2" t="s">
        <v>3408</v>
      </c>
      <c r="M2366" s="2" t="n">
        <v>3442</v>
      </c>
      <c r="O2366" s="2" t="s">
        <v>3454</v>
      </c>
      <c r="P2366" s="2" t="s">
        <v>3410</v>
      </c>
      <c r="S2366" s="2" t="n">
        <v>857</v>
      </c>
      <c r="T2366" s="2" t="n">
        <v>184</v>
      </c>
    </row>
    <row r="2367" customFormat="false" ht="18.7" hidden="false" customHeight="true" outlineLevel="0" collapsed="false">
      <c r="A2367" s="1" t="n">
        <v>2366</v>
      </c>
      <c r="B2367" s="7" t="str">
        <f aca="false">HYPERLINK("https://mncourtfraud.com/file/27-CR-23-7275.pdf","27-CR-23-7275")</f>
        <v>27-CR-23-7275</v>
      </c>
      <c r="C2367" s="1" t="n">
        <v>1</v>
      </c>
      <c r="D2367" s="2" t="s">
        <v>12</v>
      </c>
      <c r="E2367" s="8" t="n">
        <v>45048</v>
      </c>
      <c r="F2367" s="2" t="s">
        <v>80</v>
      </c>
      <c r="G2367" s="7" t="str">
        <f aca="false">HYPERLINK("https://mncourtfraud.com/file/MCRO_27-CR-23-7275_Finding of Incompetency and Order_2023-05-02_20251126190643.pdf","MCRO_27-CR-23-7275_Finding of Incompetency and Order_2023-05-02_20251126190643.pdf")</f>
        <v>MCRO_27-CR-23-7275_Finding of Incompetency and Order_2023-05-02_20251126190643.pdf</v>
      </c>
      <c r="H2367" s="7" t="str">
        <f aca="false">HYPERLINK("https://mncourtfraud.com/file/b21bd5a694da0b0619bad018fdc82dee375adfcddb2fde89ec9d70dbc1293d62.png","b21bd5a694da0b0619bad018fdc82dee375adfcddb2fde89ec9d70dbc1293d62")</f>
        <v>b21bd5a694da0b0619bad018fdc82dee375adfcddb2fde89ec9d70dbc1293d62</v>
      </c>
      <c r="I2367" s="1" t="s">
        <v>3406</v>
      </c>
      <c r="L2367" s="2" t="s">
        <v>3412</v>
      </c>
      <c r="M2367" s="2" t="n">
        <v>3824</v>
      </c>
      <c r="S2367" s="2" t="n">
        <v>1850</v>
      </c>
      <c r="T2367" s="2" t="n">
        <v>160</v>
      </c>
    </row>
    <row r="2368" customFormat="false" ht="18.7" hidden="false" customHeight="true" outlineLevel="0" collapsed="false">
      <c r="A2368" s="1" t="n">
        <v>2367</v>
      </c>
      <c r="B2368" s="7" t="str">
        <f aca="false">HYPERLINK("https://mncourtfraud.com/file/27-CR-23-7275.pdf","27-CR-23-7275")</f>
        <v>27-CR-23-7275</v>
      </c>
      <c r="C2368" s="1" t="n">
        <v>1</v>
      </c>
      <c r="D2368" s="2" t="s">
        <v>12</v>
      </c>
      <c r="E2368" s="8" t="n">
        <v>45048</v>
      </c>
      <c r="F2368" s="2" t="s">
        <v>80</v>
      </c>
      <c r="G2368" s="7" t="str">
        <f aca="false">HYPERLINK("https://mncourtfraud.com/file/MCRO_27-CR-23-7275_Finding of Incompetency and Order_2023-05-02_20251126190643.pdf","MCRO_27-CR-23-7275_Finding of Incompetency and Order_2023-05-02_20251126190643.pdf")</f>
        <v>MCRO_27-CR-23-7275_Finding of Incompetency and Order_2023-05-02_20251126190643.pdf</v>
      </c>
      <c r="H2368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2368" s="1" t="s">
        <v>3413</v>
      </c>
      <c r="J2368" s="2" t="s">
        <v>3448</v>
      </c>
      <c r="K2368" s="2" t="s">
        <v>3448</v>
      </c>
      <c r="L2368" s="2" t="s">
        <v>3415</v>
      </c>
      <c r="M2368" s="2" t="n">
        <v>916684</v>
      </c>
    </row>
    <row r="2369" customFormat="false" ht="18.7" hidden="false" customHeight="true" outlineLevel="0" collapsed="false">
      <c r="A2369" s="1" t="n">
        <v>2368</v>
      </c>
      <c r="B2369" s="7" t="str">
        <f aca="false">HYPERLINK("https://mncourtfraud.com/file/27-CR-23-7275.pdf","27-CR-23-7275")</f>
        <v>27-CR-23-7275</v>
      </c>
      <c r="C2369" s="1" t="n">
        <v>1</v>
      </c>
      <c r="D2369" s="2" t="s">
        <v>12</v>
      </c>
      <c r="E2369" s="8" t="n">
        <v>45160</v>
      </c>
      <c r="F2369" s="2" t="s">
        <v>15</v>
      </c>
      <c r="G2369" s="7" t="str">
        <f aca="false">HYPERLINK("https://mncourtfraud.com/file/MCRO_27-CR-23-7275_Order-Evaluation for Competency to Proceed (Rule 20.01)_2023-08-22_20251126190704.pdf","MCRO_27-CR-23-7275_Order-Evaluation for Competency to Proceed (Rule 20.01)_2023-08-22_20251126190704.pdf")</f>
        <v>MCRO_27-CR-23-7275_Order-Evaluation for Competency to Proceed (Rule 20.01)_2023-08-22_20251126190704.pdf</v>
      </c>
      <c r="H2369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2369" s="1" t="s">
        <v>3413</v>
      </c>
      <c r="J2369" s="2" t="s">
        <v>3449</v>
      </c>
      <c r="K2369" s="2" t="s">
        <v>3449</v>
      </c>
      <c r="L2369" s="2" t="s">
        <v>3415</v>
      </c>
      <c r="M2369" s="2" t="n">
        <v>125504</v>
      </c>
    </row>
    <row r="2370" customFormat="false" ht="18.7" hidden="false" customHeight="true" outlineLevel="0" collapsed="false">
      <c r="A2370" s="1" t="n">
        <v>2369</v>
      </c>
      <c r="B2370" s="7" t="str">
        <f aca="false">HYPERLINK("https://mncourtfraud.com/file/27-CR-23-7275.pdf","27-CR-23-7275")</f>
        <v>27-CR-23-7275</v>
      </c>
      <c r="C2370" s="1" t="n">
        <v>1</v>
      </c>
      <c r="D2370" s="2" t="s">
        <v>12</v>
      </c>
      <c r="E2370" s="8" t="n">
        <v>45160</v>
      </c>
      <c r="F2370" s="2" t="s">
        <v>15</v>
      </c>
      <c r="G2370" s="7" t="str">
        <f aca="false">HYPERLINK("https://mncourtfraud.com/file/MCRO_27-CR-23-7275_Order-Evaluation for Competency to Proceed (Rule 20.01)_2023-08-22_20251126190704.pdf","MCRO_27-CR-23-7275_Order-Evaluation for Competency to Proceed (Rule 20.01)_2023-08-22_20251126190704.pdf")</f>
        <v>MCRO_27-CR-23-7275_Order-Evaluation for Competency to Proceed (Rule 20.01)_2023-08-22_20251126190704.pdf</v>
      </c>
      <c r="H2370" s="7" t="str">
        <f aca="false">HYPERLINK("https://mncourtfraud.com/file/00bc60d23b23d820d4dcc3f6d8b483934599e58f7f85ddb97d01e5478a8c33d8.ttf","00bc60d23b23d820d4dcc3f6d8b483934599e58f7f85ddb97d01e5478a8c33d8")</f>
        <v>00bc60d23b23d820d4dcc3f6d8b483934599e58f7f85ddb97d01e5478a8c33d8</v>
      </c>
      <c r="I2370" s="1" t="s">
        <v>3413</v>
      </c>
      <c r="J2370" s="2" t="s">
        <v>3449</v>
      </c>
      <c r="K2370" s="2" t="s">
        <v>3449</v>
      </c>
      <c r="L2370" s="2" t="s">
        <v>3415</v>
      </c>
      <c r="M2370" s="2" t="n">
        <v>125504</v>
      </c>
    </row>
    <row r="2371" customFormat="false" ht="18.7" hidden="false" customHeight="true" outlineLevel="0" collapsed="false">
      <c r="A2371" s="1" t="n">
        <v>2370</v>
      </c>
      <c r="B2371" s="7" t="str">
        <f aca="false">HYPERLINK("https://mncourtfraud.com/file/27-CR-23-7275.pdf","27-CR-23-7275")</f>
        <v>27-CR-23-7275</v>
      </c>
      <c r="C2371" s="1" t="n">
        <v>1</v>
      </c>
      <c r="D2371" s="2" t="s">
        <v>12</v>
      </c>
      <c r="E2371" s="8" t="n">
        <v>45160</v>
      </c>
      <c r="F2371" s="2" t="s">
        <v>15</v>
      </c>
      <c r="G2371" s="7" t="str">
        <f aca="false">HYPERLINK("https://mncourtfraud.com/file/MCRO_27-CR-23-7275_Order-Evaluation for Competency to Proceed (Rule 20.01)_2023-08-22_20251126190704.pdf","MCRO_27-CR-23-7275_Order-Evaluation for Competency to Proceed (Rule 20.01)_2023-08-22_20251126190704.pdf")</f>
        <v>MCRO_27-CR-23-7275_Order-Evaluation for Competency to Proceed (Rule 20.01)_2023-08-22_20251126190704.pdf</v>
      </c>
      <c r="H2371" s="7" t="str">
        <f aca="false">HYPERLINK("https://mncourtfraud.com/file/0174a154b1dd2c8824c0108a525fa6ced84bf8b7d2fc9696a847700a4f83bb3b.ttf","0174a154b1dd2c8824c0108a525fa6ced84bf8b7d2fc9696a847700a4f83bb3b")</f>
        <v>0174a154b1dd2c8824c0108a525fa6ced84bf8b7d2fc9696a847700a4f83bb3b</v>
      </c>
      <c r="I2371" s="1" t="s">
        <v>3413</v>
      </c>
      <c r="J2371" s="2" t="s">
        <v>3422</v>
      </c>
      <c r="K2371" s="2" t="s">
        <v>3422</v>
      </c>
      <c r="L2371" s="2" t="s">
        <v>3415</v>
      </c>
      <c r="M2371" s="2" t="n">
        <v>101216</v>
      </c>
    </row>
    <row r="2372" customFormat="false" ht="18.7" hidden="false" customHeight="true" outlineLevel="0" collapsed="false">
      <c r="A2372" s="1" t="n">
        <v>2371</v>
      </c>
      <c r="B2372" s="7" t="str">
        <f aca="false">HYPERLINK("https://mncourtfraud.com/file/27-CR-23-7275.pdf","27-CR-23-7275")</f>
        <v>27-CR-23-7275</v>
      </c>
      <c r="C2372" s="1" t="n">
        <v>1</v>
      </c>
      <c r="D2372" s="2" t="s">
        <v>12</v>
      </c>
      <c r="E2372" s="8" t="n">
        <v>45160</v>
      </c>
      <c r="F2372" s="2" t="s">
        <v>15</v>
      </c>
      <c r="G2372" s="7" t="str">
        <f aca="false">HYPERLINK("https://mncourtfraud.com/file/MCRO_27-CR-23-7275_Order-Evaluation for Competency to Proceed (Rule 20.01)_2023-08-22_20251126190704.pdf","MCRO_27-CR-23-7275_Order-Evaluation for Competency to Proceed (Rule 20.01)_2023-08-22_20251126190704.pdf")</f>
        <v>MCRO_27-CR-23-7275_Order-Evaluation for Competency to Proceed (Rule 20.01)_2023-08-22_20251126190704.pdf</v>
      </c>
      <c r="H2372" s="7" t="str">
        <f aca="false">HYPERLINK("https://mncourtfraud.com/file/086b4c456dbe6f09f8c99517bcda6cd0f82646bc0cf77bf0a1e64dd9a7c38fd3.ttf","086b4c456dbe6f09f8c99517bcda6cd0f82646bc0cf77bf0a1e64dd9a7c38fd3")</f>
        <v>086b4c456dbe6f09f8c99517bcda6cd0f82646bc0cf77bf0a1e64dd9a7c38fd3</v>
      </c>
      <c r="I2372" s="1" t="s">
        <v>3413</v>
      </c>
      <c r="J2372" s="2" t="s">
        <v>3423</v>
      </c>
      <c r="K2372" s="2" t="s">
        <v>3423</v>
      </c>
      <c r="L2372" s="2" t="s">
        <v>3415</v>
      </c>
      <c r="M2372" s="2" t="n">
        <v>11088</v>
      </c>
    </row>
    <row r="2373" customFormat="false" ht="18.7" hidden="false" customHeight="true" outlineLevel="0" collapsed="false">
      <c r="A2373" s="1" t="n">
        <v>2372</v>
      </c>
      <c r="B2373" s="7" t="str">
        <f aca="false">HYPERLINK("https://mncourtfraud.com/file/27-CR-23-7275.pdf","27-CR-23-7275")</f>
        <v>27-CR-23-7275</v>
      </c>
      <c r="C2373" s="1" t="n">
        <v>1</v>
      </c>
      <c r="D2373" s="2" t="s">
        <v>12</v>
      </c>
      <c r="E2373" s="8" t="n">
        <v>45160</v>
      </c>
      <c r="F2373" s="2" t="s">
        <v>15</v>
      </c>
      <c r="G2373" s="7" t="str">
        <f aca="false">HYPERLINK("https://mncourtfraud.com/file/MCRO_27-CR-23-7275_Order-Evaluation for Competency to Proceed (Rule 20.01)_2023-08-22_20251126190704.pdf","MCRO_27-CR-23-7275_Order-Evaluation for Competency to Proceed (Rule 20.01)_2023-08-22_20251126190704.pdf")</f>
        <v>MCRO_27-CR-23-7275_Order-Evaluation for Competency to Proceed (Rule 20.01)_2023-08-22_20251126190704.pdf</v>
      </c>
      <c r="H2373" s="7" t="str">
        <f aca="false">HYPERLINK("https://mncourtfraud.com/file/1fa67c75ff9672377725313c162f83635e9ba546d7c5b3e218008aa88edecef8.ttf","1fa67c75ff9672377725313c162f83635e9ba546d7c5b3e218008aa88edecef8")</f>
        <v>1fa67c75ff9672377725313c162f83635e9ba546d7c5b3e218008aa88edecef8</v>
      </c>
      <c r="I2373" s="1" t="s">
        <v>3413</v>
      </c>
      <c r="J2373" s="2" t="s">
        <v>3446</v>
      </c>
      <c r="K2373" s="2" t="s">
        <v>3446</v>
      </c>
      <c r="L2373" s="2" t="s">
        <v>3415</v>
      </c>
      <c r="M2373" s="2" t="n">
        <v>55072</v>
      </c>
      <c r="N2373" s="2" t="s">
        <v>3447</v>
      </c>
    </row>
    <row r="2374" customFormat="false" ht="18.7" hidden="false" customHeight="true" outlineLevel="0" collapsed="false">
      <c r="A2374" s="1" t="n">
        <v>2373</v>
      </c>
      <c r="B2374" s="7" t="str">
        <f aca="false">HYPERLINK("https://mncourtfraud.com/file/27-CR-23-7275.pdf","27-CR-23-7275")</f>
        <v>27-CR-23-7275</v>
      </c>
      <c r="C2374" s="1" t="n">
        <v>1</v>
      </c>
      <c r="D2374" s="2" t="s">
        <v>12</v>
      </c>
      <c r="E2374" s="8" t="n">
        <v>45160</v>
      </c>
      <c r="F2374" s="2" t="s">
        <v>15</v>
      </c>
      <c r="G2374" s="7" t="str">
        <f aca="false">HYPERLINK("https://mncourtfraud.com/file/MCRO_27-CR-23-7275_Order-Evaluation for Competency to Proceed (Rule 20.01)_2023-08-22_20251126190704.pdf","MCRO_27-CR-23-7275_Order-Evaluation for Competency to Proceed (Rule 20.01)_2023-08-22_20251126190704.pdf")</f>
        <v>MCRO_27-CR-23-7275_Order-Evaluation for Competency to Proceed (Rule 20.01)_2023-08-22_20251126190704.pdf</v>
      </c>
      <c r="H2374" s="7" t="str">
        <f aca="false">HYPERLINK("https://mncourtfraud.com/file/2585ea8d81cf3df47997b77cfea7e291e89a18f758999cf1293c2af484232c44.ttf","2585ea8d81cf3df47997b77cfea7e291e89a18f758999cf1293c2af484232c44")</f>
        <v>2585ea8d81cf3df47997b77cfea7e291e89a18f758999cf1293c2af484232c44</v>
      </c>
      <c r="I2374" s="1" t="s">
        <v>3413</v>
      </c>
      <c r="J2374" s="2" t="s">
        <v>3424</v>
      </c>
      <c r="K2374" s="2" t="s">
        <v>3424</v>
      </c>
      <c r="L2374" s="2" t="s">
        <v>3415</v>
      </c>
      <c r="M2374" s="2" t="n">
        <v>14252</v>
      </c>
    </row>
    <row r="2375" customFormat="false" ht="18.7" hidden="false" customHeight="true" outlineLevel="0" collapsed="false">
      <c r="A2375" s="1" t="n">
        <v>2374</v>
      </c>
      <c r="B2375" s="7" t="str">
        <f aca="false">HYPERLINK("https://mncourtfraud.com/file/27-CR-23-7275.pdf","27-CR-23-7275")</f>
        <v>27-CR-23-7275</v>
      </c>
      <c r="C2375" s="1" t="n">
        <v>1</v>
      </c>
      <c r="D2375" s="2" t="s">
        <v>12</v>
      </c>
      <c r="E2375" s="8" t="n">
        <v>45160</v>
      </c>
      <c r="F2375" s="2" t="s">
        <v>15</v>
      </c>
      <c r="G2375" s="7" t="str">
        <f aca="false">HYPERLINK("https://mncourtfraud.com/file/MCRO_27-CR-23-7275_Order-Evaluation for Competency to Proceed (Rule 20.01)_2023-08-22_20251126190704.pdf","MCRO_27-CR-23-7275_Order-Evaluation for Competency to Proceed (Rule 20.01)_2023-08-22_20251126190704.pdf")</f>
        <v>MCRO_27-CR-23-7275_Order-Evaluation for Competency to Proceed (Rule 20.01)_2023-08-22_20251126190704.pdf</v>
      </c>
      <c r="H2375" s="7" t="str">
        <f aca="false">HYPERLINK("https://mncourtfraud.com/file/26c989f4d93cc154cc5321d75fd8974c68cd1419380d6cfa9fa337b795298e51.png","26c989f4d93cc154cc5321d75fd8974c68cd1419380d6cfa9fa337b795298e51")</f>
        <v>26c989f4d93cc154cc5321d75fd8974c68cd1419380d6cfa9fa337b795298e51</v>
      </c>
      <c r="I2375" s="1" t="s">
        <v>3406</v>
      </c>
      <c r="L2375" s="2" t="s">
        <v>3412</v>
      </c>
      <c r="M2375" s="2" t="n">
        <v>5012</v>
      </c>
      <c r="S2375" s="2" t="n">
        <v>2740</v>
      </c>
      <c r="T2375" s="2" t="n">
        <v>180</v>
      </c>
    </row>
    <row r="2376" customFormat="false" ht="18.7" hidden="false" customHeight="true" outlineLevel="0" collapsed="false">
      <c r="A2376" s="1" t="n">
        <v>2375</v>
      </c>
      <c r="B2376" s="7" t="str">
        <f aca="false">HYPERLINK("https://mncourtfraud.com/file/27-CR-23-7275.pdf","27-CR-23-7275")</f>
        <v>27-CR-23-7275</v>
      </c>
      <c r="C2376" s="1" t="n">
        <v>1</v>
      </c>
      <c r="D2376" s="2" t="s">
        <v>12</v>
      </c>
      <c r="E2376" s="8" t="n">
        <v>45160</v>
      </c>
      <c r="F2376" s="2" t="s">
        <v>15</v>
      </c>
      <c r="G2376" s="7" t="str">
        <f aca="false">HYPERLINK("https://mncourtfraud.com/file/MCRO_27-CR-23-7275_Order-Evaluation for Competency to Proceed (Rule 20.01)_2023-08-22_20251126190704.pdf","MCRO_27-CR-23-7275_Order-Evaluation for Competency to Proceed (Rule 20.01)_2023-08-22_20251126190704.pdf")</f>
        <v>MCRO_27-CR-23-7275_Order-Evaluation for Competency to Proceed (Rule 20.01)_2023-08-22_20251126190704.pdf</v>
      </c>
      <c r="H2376" s="7" t="str">
        <f aca="false">HYPERLINK("https://mncourtfraud.com/file/b50a0345994f437ffae96470d96a83c2efd26724aa15445c3c7068ad26e17692.ttf","b50a0345994f437ffae96470d96a83c2efd26724aa15445c3c7068ad26e17692")</f>
        <v>b50a0345994f437ffae96470d96a83c2efd26724aa15445c3c7068ad26e17692</v>
      </c>
      <c r="I2376" s="1" t="s">
        <v>3413</v>
      </c>
      <c r="J2376" s="2" t="s">
        <v>3448</v>
      </c>
      <c r="K2376" s="2" t="s">
        <v>3448</v>
      </c>
      <c r="L2376" s="2" t="s">
        <v>3415</v>
      </c>
      <c r="M2376" s="2" t="n">
        <v>916684</v>
      </c>
    </row>
    <row r="2377" customFormat="false" ht="18.7" hidden="false" customHeight="true" outlineLevel="0" collapsed="false">
      <c r="A2377" s="1" t="n">
        <v>2376</v>
      </c>
      <c r="B2377" s="7" t="str">
        <f aca="false">HYPERLINK("https://mncourtfraud.com/file/27-CR-23-7275.pdf","27-CR-23-7275")</f>
        <v>27-CR-23-7275</v>
      </c>
      <c r="C2377" s="1" t="n">
        <v>1</v>
      </c>
      <c r="D2377" s="2" t="s">
        <v>12</v>
      </c>
      <c r="E2377" s="8" t="n">
        <v>45160</v>
      </c>
      <c r="F2377" s="2" t="s">
        <v>15</v>
      </c>
      <c r="G2377" s="7" t="str">
        <f aca="false">HYPERLINK("https://mncourtfraud.com/file/MCRO_27-CR-23-7275_Order-Evaluation for Competency to Proceed (Rule 20.01)_2023-08-22_20251126190704.pdf","MCRO_27-CR-23-7275_Order-Evaluation for Competency to Proceed (Rule 20.01)_2023-08-22_20251126190704.pdf")</f>
        <v>MCRO_27-CR-23-7275_Order-Evaluation for Competency to Proceed (Rule 20.01)_2023-08-22_20251126190704.pdf</v>
      </c>
      <c r="H2377" s="7" t="str">
        <f aca="false">HYPERLINK("https://mncourtfraud.com/file/c09827ce81d98cbe2d1554a0411d2582fabde5334823d84bc4c79b3b9cbdb485.png","c09827ce81d98cbe2d1554a0411d2582fabde5334823d84bc4c79b3b9cbdb485")</f>
        <v>c09827ce81d98cbe2d1554a0411d2582fabde5334823d84bc4c79b3b9cbdb485</v>
      </c>
      <c r="I2377" s="1" t="s">
        <v>3406</v>
      </c>
      <c r="K2377" s="2" t="s">
        <v>3459</v>
      </c>
      <c r="L2377" s="2" t="s">
        <v>3408</v>
      </c>
      <c r="M2377" s="2" t="n">
        <v>5220</v>
      </c>
      <c r="O2377" s="2" t="s">
        <v>3460</v>
      </c>
      <c r="P2377" s="2" t="s">
        <v>3410</v>
      </c>
      <c r="S2377" s="2" t="n">
        <v>881</v>
      </c>
      <c r="T2377" s="2" t="n">
        <v>216</v>
      </c>
    </row>
    <row r="2378" customFormat="false" ht="18.7" hidden="false" customHeight="true" outlineLevel="0" collapsed="false">
      <c r="A2378" s="1" t="n">
        <v>2377</v>
      </c>
      <c r="B2378" s="7" t="str">
        <f aca="false">HYPERLINK("https://mncourtfraud.com/file/27-CR-23-7275.pdf","27-CR-23-7275")</f>
        <v>27-CR-23-7275</v>
      </c>
      <c r="C2378" s="1" t="n">
        <v>1</v>
      </c>
      <c r="D2378" s="2" t="s">
        <v>12</v>
      </c>
      <c r="E2378" s="8" t="n">
        <v>45412</v>
      </c>
      <c r="F2378" s="2" t="s">
        <v>24</v>
      </c>
      <c r="G2378" s="7" t="str">
        <f aca="false">HYPERLINK("https://mncourtfraud.com/file/MCRO_27-CR-23-7275_Order for Conditional Release_2024-04-30_20251126190652.pdf","MCRO_27-CR-23-7275_Order for Conditional Release_2024-04-30_20251126190652.pdf")</f>
        <v>MCRO_27-CR-23-7275_Order for Conditional Release_2024-04-30_20251126190652.pdf</v>
      </c>
      <c r="H2378" s="7" t="str">
        <f aca="false">HYPERLINK("https://mncourtfraud.com/file/1e2f4ff42634efc3a49dd7df169d98eae9d2a815440bf30483620e9d6e480257.png","1e2f4ff42634efc3a49dd7df169d98eae9d2a815440bf30483620e9d6e480257")</f>
        <v>1e2f4ff42634efc3a49dd7df169d98eae9d2a815440bf30483620e9d6e480257</v>
      </c>
      <c r="I2378" s="1" t="s">
        <v>3406</v>
      </c>
      <c r="L2378" s="2" t="s">
        <v>3412</v>
      </c>
      <c r="M2378" s="2" t="n">
        <v>38726</v>
      </c>
      <c r="S2378" s="2" t="n">
        <v>2560</v>
      </c>
      <c r="T2378" s="2" t="n">
        <v>3300</v>
      </c>
    </row>
    <row r="2379" customFormat="false" ht="18.7" hidden="false" customHeight="true" outlineLevel="0" collapsed="false">
      <c r="A2379" s="1" t="n">
        <v>2378</v>
      </c>
      <c r="B2379" s="7" t="str">
        <f aca="false">HYPERLINK("https://mncourtfraud.com/file/27-CR-23-7275.pdf","27-CR-23-7275")</f>
        <v>27-CR-23-7275</v>
      </c>
      <c r="C2379" s="1" t="n">
        <v>1</v>
      </c>
      <c r="D2379" s="2" t="s">
        <v>12</v>
      </c>
      <c r="E2379" s="8" t="n">
        <v>45412</v>
      </c>
      <c r="F2379" s="2" t="s">
        <v>24</v>
      </c>
      <c r="G2379" s="7" t="str">
        <f aca="false">HYPERLINK("https://mncourtfraud.com/file/MCRO_27-CR-23-7275_Order for Conditional Release_2024-04-30_20251126190652.pdf","MCRO_27-CR-23-7275_Order for Conditional Release_2024-04-30_20251126190652.pdf")</f>
        <v>MCRO_27-CR-23-7275_Order for Conditional Release_2024-04-30_20251126190652.pdf</v>
      </c>
      <c r="H2379" s="7" t="str">
        <f aca="false">HYPERLINK("https://mncourtfraud.com/file/d5cf4f06aaee8f372e6af86dab12d75d131a3ba68ba6baeac4b7b514ef3e0b85.ttf","d5cf4f06aaee8f372e6af86dab12d75d131a3ba68ba6baeac4b7b514ef3e0b85")</f>
        <v>d5cf4f06aaee8f372e6af86dab12d75d131a3ba68ba6baeac4b7b514ef3e0b85</v>
      </c>
      <c r="I2379" s="1" t="s">
        <v>3413</v>
      </c>
      <c r="L2379" s="2" t="s">
        <v>3415</v>
      </c>
      <c r="M2379" s="2" t="n">
        <v>333576</v>
      </c>
    </row>
    <row r="2380" customFormat="false" ht="18.7" hidden="false" customHeight="true" outlineLevel="0" collapsed="false">
      <c r="A2380" s="1" t="n">
        <v>2379</v>
      </c>
      <c r="B2380" s="7" t="str">
        <f aca="false">HYPERLINK("https://mncourtfraud.com/file/27-CR-23-7275.pdf","27-CR-23-7275")</f>
        <v>27-CR-23-7275</v>
      </c>
      <c r="C2380" s="1" t="n">
        <v>1</v>
      </c>
      <c r="D2380" s="2" t="s">
        <v>12</v>
      </c>
      <c r="E2380" s="8" t="n">
        <v>45412</v>
      </c>
      <c r="F2380" s="2" t="s">
        <v>24</v>
      </c>
      <c r="G2380" s="7" t="str">
        <f aca="false">HYPERLINK("https://mncourtfraud.com/file/MCRO_27-CR-23-7275_Order for Conditional Release_2024-04-30_20251126190652.pdf","MCRO_27-CR-23-7275_Order for Conditional Release_2024-04-30_20251126190652.pdf")</f>
        <v>MCRO_27-CR-23-7275_Order for Conditional Release_2024-04-30_20251126190652.pdf</v>
      </c>
      <c r="H2380" s="7" t="str">
        <f aca="false">HYPERLINK("https://mncourtfraud.com/file/ee97db135b11d23cbd5d4c77ca383f739461f6eb118e860749f5e5f50bba2d17.png","ee97db135b11d23cbd5d4c77ca383f739461f6eb118e860749f5e5f50bba2d17")</f>
        <v>ee97db135b11d23cbd5d4c77ca383f739461f6eb118e860749f5e5f50bba2d17</v>
      </c>
      <c r="I2380" s="1" t="s">
        <v>3406</v>
      </c>
      <c r="L2380" s="2" t="s">
        <v>3412</v>
      </c>
      <c r="M2380" s="2" t="n">
        <v>195018</v>
      </c>
      <c r="S2380" s="2" t="n">
        <v>2560</v>
      </c>
      <c r="T2380" s="2" t="n">
        <v>3300</v>
      </c>
    </row>
    <row r="2381" customFormat="false" ht="18.7" hidden="false" customHeight="true" outlineLevel="0" collapsed="false">
      <c r="E2381" s="8"/>
    </row>
    <row r="2382" customFormat="false" ht="18.7" hidden="false" customHeight="true" outlineLevel="0" collapsed="false">
      <c r="E2382" s="8"/>
    </row>
    <row r="2383" customFormat="false" ht="18.7" hidden="false" customHeight="true" outlineLevel="0" collapsed="false">
      <c r="E2383" s="8"/>
    </row>
    <row r="2384" customFormat="false" ht="18.7" hidden="false" customHeight="true" outlineLevel="0" collapsed="false">
      <c r="E2384" s="8"/>
    </row>
    <row r="1046235" customFormat="false" ht="12.8" hidden="false" customHeight="true" outlineLevel="0" collapsed="false"/>
    <row r="1046236" customFormat="false" ht="12.8" hidden="false" customHeight="true" outlineLevel="0" collapsed="false"/>
    <row r="1046237" customFormat="false" ht="12.8" hidden="false" customHeight="true" outlineLevel="0" collapsed="false"/>
    <row r="1046238" customFormat="false" ht="12.8" hidden="false" customHeight="true" outlineLevel="0" collapsed="false"/>
    <row r="1046239" customFormat="false" ht="12.8" hidden="false" customHeight="true" outlineLevel="0" collapsed="false"/>
    <row r="1046240" customFormat="false" ht="12.8" hidden="false" customHeight="true" outlineLevel="0" collapsed="false"/>
    <row r="1046241" customFormat="false" ht="12.8" hidden="false" customHeight="true" outlineLevel="0" collapsed="false"/>
    <row r="1046242" customFormat="false" ht="12.8" hidden="false" customHeight="true" outlineLevel="0" collapsed="false"/>
    <row r="1046243" customFormat="false" ht="12.8" hidden="false" customHeight="true" outlineLevel="0" collapsed="false"/>
    <row r="1046244" customFormat="false" ht="12.8" hidden="false" customHeight="true" outlineLevel="0" collapsed="false"/>
    <row r="1046245" customFormat="false" ht="12.8" hidden="false" customHeight="true" outlineLevel="0" collapsed="false"/>
    <row r="1046246" customFormat="false" ht="12.8" hidden="false" customHeight="true" outlineLevel="0" collapsed="false"/>
    <row r="1046247" customFormat="false" ht="12.8" hidden="false" customHeight="true" outlineLevel="0" collapsed="false"/>
    <row r="1046248" customFormat="false" ht="12.8" hidden="false" customHeight="true" outlineLevel="0" collapsed="false"/>
    <row r="1046249" customFormat="false" ht="12.8" hidden="false" customHeight="true" outlineLevel="0" collapsed="false"/>
    <row r="1046250" customFormat="false" ht="12.8" hidden="false" customHeight="true" outlineLevel="0" collapsed="false"/>
    <row r="1046251" customFormat="false" ht="12.8" hidden="false" customHeight="true" outlineLevel="0" collapsed="false"/>
    <row r="1046252" customFormat="false" ht="12.8" hidden="false" customHeight="true" outlineLevel="0" collapsed="false"/>
    <row r="1046253" customFormat="false" ht="12.8" hidden="false" customHeight="true" outlineLevel="0" collapsed="false"/>
    <row r="1046254" customFormat="false" ht="12.8" hidden="false" customHeight="true" outlineLevel="0" collapsed="false"/>
    <row r="1046255" customFormat="false" ht="12.8" hidden="false" customHeight="true" outlineLevel="0" collapsed="false"/>
    <row r="1046256" customFormat="false" ht="12.8" hidden="false" customHeight="true" outlineLevel="0" collapsed="false"/>
    <row r="1046257" customFormat="false" ht="12.8" hidden="false" customHeight="true" outlineLevel="0" collapsed="false"/>
    <row r="1046258" customFormat="false" ht="12.8" hidden="false" customHeight="true" outlineLevel="0" collapsed="false"/>
    <row r="1046259" customFormat="false" ht="12.8" hidden="false" customHeight="true" outlineLevel="0" collapsed="false"/>
    <row r="1046260" customFormat="false" ht="12.8" hidden="false" customHeight="true" outlineLevel="0" collapsed="false"/>
    <row r="1046261" customFormat="false" ht="12.8" hidden="false" customHeight="true" outlineLevel="0" collapsed="false"/>
    <row r="1046262" customFormat="false" ht="12.8" hidden="false" customHeight="true" outlineLevel="0" collapsed="false"/>
    <row r="1046263" customFormat="false" ht="12.8" hidden="false" customHeight="true" outlineLevel="0" collapsed="false"/>
    <row r="1046264" customFormat="false" ht="12.8" hidden="false" customHeight="true" outlineLevel="0" collapsed="false"/>
    <row r="1046265" customFormat="false" ht="12.8" hidden="false" customHeight="true" outlineLevel="0" collapsed="false"/>
    <row r="1046266" customFormat="false" ht="12.8" hidden="false" customHeight="true" outlineLevel="0" collapsed="false"/>
    <row r="1046267" customFormat="false" ht="12.8" hidden="false" customHeight="true" outlineLevel="0" collapsed="false"/>
    <row r="1046268" customFormat="false" ht="12.8" hidden="false" customHeight="true" outlineLevel="0" collapsed="false"/>
    <row r="1046269" customFormat="false" ht="12.8" hidden="false" customHeight="true" outlineLevel="0" collapsed="false"/>
    <row r="1046270" customFormat="false" ht="12.8" hidden="false" customHeight="true" outlineLevel="0" collapsed="false"/>
    <row r="1046271" customFormat="false" ht="12.8" hidden="false" customHeight="true" outlineLevel="0" collapsed="false"/>
    <row r="1046272" customFormat="false" ht="12.8" hidden="false" customHeight="true" outlineLevel="0" collapsed="false"/>
    <row r="1046273" customFormat="false" ht="12.8" hidden="false" customHeight="true" outlineLevel="0" collapsed="false"/>
    <row r="1046274" customFormat="false" ht="12.8" hidden="false" customHeight="true" outlineLevel="0" collapsed="false"/>
    <row r="1046275" customFormat="false" ht="12.8" hidden="false" customHeight="true" outlineLevel="0" collapsed="false"/>
    <row r="1046276" customFormat="false" ht="12.8" hidden="false" customHeight="true" outlineLevel="0" collapsed="false"/>
    <row r="1046277" customFormat="false" ht="12.8" hidden="false" customHeight="true" outlineLevel="0" collapsed="false"/>
    <row r="1046278" customFormat="false" ht="12.8" hidden="false" customHeight="true" outlineLevel="0" collapsed="false"/>
    <row r="1046279" customFormat="false" ht="12.8" hidden="false" customHeight="true" outlineLevel="0" collapsed="false"/>
    <row r="1046280" customFormat="false" ht="12.8" hidden="false" customHeight="true" outlineLevel="0" collapsed="false"/>
    <row r="1046281" customFormat="false" ht="12.8" hidden="false" customHeight="true" outlineLevel="0" collapsed="false"/>
    <row r="1046282" customFormat="false" ht="12.8" hidden="false" customHeight="true" outlineLevel="0" collapsed="false"/>
    <row r="1046283" customFormat="false" ht="12.8" hidden="false" customHeight="true" outlineLevel="0" collapsed="false"/>
    <row r="1046284" customFormat="false" ht="12.8" hidden="false" customHeight="true" outlineLevel="0" collapsed="false"/>
    <row r="1046285" customFormat="false" ht="12.8" hidden="false" customHeight="true" outlineLevel="0" collapsed="false"/>
    <row r="1046286" customFormat="false" ht="12.8" hidden="false" customHeight="true" outlineLevel="0" collapsed="false"/>
    <row r="1046287" customFormat="false" ht="12.8" hidden="false" customHeight="true" outlineLevel="0" collapsed="false"/>
    <row r="1046288" customFormat="false" ht="12.8" hidden="false" customHeight="true" outlineLevel="0" collapsed="false"/>
    <row r="1046289" customFormat="false" ht="12.8" hidden="false" customHeight="true" outlineLevel="0" collapsed="false"/>
    <row r="1046290" customFormat="false" ht="12.8" hidden="false" customHeight="true" outlineLevel="0" collapsed="false"/>
    <row r="1046291" customFormat="false" ht="12.8" hidden="false" customHeight="true" outlineLevel="0" collapsed="false"/>
    <row r="1046292" customFormat="false" ht="12.8" hidden="false" customHeight="true" outlineLevel="0" collapsed="false"/>
    <row r="1046293" customFormat="false" ht="12.8" hidden="false" customHeight="true" outlineLevel="0" collapsed="false"/>
    <row r="1046294" customFormat="false" ht="12.8" hidden="false" customHeight="true" outlineLevel="0" collapsed="false"/>
    <row r="1046295" customFormat="false" ht="12.8" hidden="false" customHeight="true" outlineLevel="0" collapsed="false"/>
    <row r="1046296" customFormat="false" ht="12.8" hidden="false" customHeight="true" outlineLevel="0" collapsed="false"/>
    <row r="1046297" customFormat="false" ht="12.8" hidden="false" customHeight="true" outlineLevel="0" collapsed="false"/>
    <row r="1046298" customFormat="false" ht="12.8" hidden="false" customHeight="true" outlineLevel="0" collapsed="false"/>
    <row r="1046299" customFormat="false" ht="12.8" hidden="false" customHeight="true" outlineLevel="0" collapsed="false"/>
    <row r="1046300" customFormat="false" ht="12.8" hidden="false" customHeight="true" outlineLevel="0" collapsed="false"/>
    <row r="1046301" customFormat="false" ht="12.8" hidden="false" customHeight="true" outlineLevel="0" collapsed="false"/>
    <row r="1046302" customFormat="false" ht="12.8" hidden="false" customHeight="true" outlineLevel="0" collapsed="false"/>
    <row r="1046303" customFormat="false" ht="12.8" hidden="false" customHeight="true" outlineLevel="0" collapsed="false"/>
    <row r="1046304" customFormat="false" ht="12.8" hidden="false" customHeight="true" outlineLevel="0" collapsed="false"/>
    <row r="1046305" customFormat="false" ht="12.8" hidden="false" customHeight="true" outlineLevel="0" collapsed="false"/>
    <row r="1046306" customFormat="false" ht="12.8" hidden="false" customHeight="true" outlineLevel="0" collapsed="false"/>
    <row r="1046307" customFormat="false" ht="12.8" hidden="false" customHeight="true" outlineLevel="0" collapsed="false"/>
    <row r="1046308" customFormat="false" ht="12.8" hidden="false" customHeight="true" outlineLevel="0" collapsed="false"/>
    <row r="1046309" customFormat="false" ht="12.8" hidden="false" customHeight="true" outlineLevel="0" collapsed="false"/>
    <row r="1046310" customFormat="false" ht="12.8" hidden="false" customHeight="true" outlineLevel="0" collapsed="false"/>
    <row r="1046311" customFormat="false" ht="12.8" hidden="false" customHeight="true" outlineLevel="0" collapsed="false"/>
    <row r="1046312" customFormat="false" ht="12.8" hidden="false" customHeight="true" outlineLevel="0" collapsed="false"/>
    <row r="1046313" customFormat="false" ht="12.8" hidden="false" customHeight="true" outlineLevel="0" collapsed="false"/>
    <row r="1046314" customFormat="false" ht="12.8" hidden="false" customHeight="true" outlineLevel="0" collapsed="false"/>
    <row r="1046315" customFormat="false" ht="12.8" hidden="false" customHeight="true" outlineLevel="0" collapsed="false"/>
    <row r="1046316" customFormat="false" ht="12.8" hidden="false" customHeight="true" outlineLevel="0" collapsed="false"/>
    <row r="1046317" customFormat="false" ht="12.8" hidden="false" customHeight="true" outlineLevel="0" collapsed="false"/>
    <row r="1046318" customFormat="false" ht="12.8" hidden="false" customHeight="true" outlineLevel="0" collapsed="false"/>
    <row r="1046319" customFormat="false" ht="12.8" hidden="false" customHeight="true" outlineLevel="0" collapsed="false"/>
    <row r="1046320" customFormat="false" ht="12.8" hidden="false" customHeight="true" outlineLevel="0" collapsed="false"/>
    <row r="1046321" customFormat="false" ht="12.8" hidden="false" customHeight="true" outlineLevel="0" collapsed="false"/>
    <row r="1046322" customFormat="false" ht="12.8" hidden="false" customHeight="true" outlineLevel="0" collapsed="false"/>
    <row r="1046323" customFormat="false" ht="12.8" hidden="false" customHeight="true" outlineLevel="0" collapsed="false"/>
    <row r="1046324" customFormat="false" ht="12.8" hidden="false" customHeight="true" outlineLevel="0" collapsed="false"/>
    <row r="1046325" customFormat="false" ht="12.8" hidden="false" customHeight="true" outlineLevel="0" collapsed="false"/>
    <row r="1046326" customFormat="false" ht="12.8" hidden="false" customHeight="true" outlineLevel="0" collapsed="false"/>
    <row r="1046327" customFormat="false" ht="12.8" hidden="false" customHeight="true" outlineLevel="0" collapsed="false"/>
    <row r="1046328" customFormat="false" ht="12.8" hidden="false" customHeight="true" outlineLevel="0" collapsed="false"/>
    <row r="1046329" customFormat="false" ht="12.8" hidden="false" customHeight="true" outlineLevel="0" collapsed="false"/>
    <row r="1046330" customFormat="false" ht="12.8" hidden="false" customHeight="true" outlineLevel="0" collapsed="false"/>
    <row r="1046331" customFormat="false" ht="12.8" hidden="false" customHeight="true" outlineLevel="0" collapsed="false"/>
    <row r="1046332" customFormat="false" ht="12.8" hidden="false" customHeight="true" outlineLevel="0" collapsed="false"/>
    <row r="1046333" customFormat="false" ht="12.8" hidden="false" customHeight="true" outlineLevel="0" collapsed="false"/>
    <row r="1046334" customFormat="false" ht="12.8" hidden="false" customHeight="true" outlineLevel="0" collapsed="false"/>
    <row r="1046335" customFormat="false" ht="12.8" hidden="false" customHeight="true" outlineLevel="0" collapsed="false"/>
    <row r="1046336" customFormat="false" ht="12.8" hidden="false" customHeight="true" outlineLevel="0" collapsed="false"/>
    <row r="1046337" customFormat="false" ht="12.8" hidden="false" customHeight="true" outlineLevel="0" collapsed="false"/>
    <row r="1046338" customFormat="false" ht="12.8" hidden="false" customHeight="true" outlineLevel="0" collapsed="false"/>
    <row r="1046339" customFormat="false" ht="12.8" hidden="false" customHeight="true" outlineLevel="0" collapsed="false"/>
    <row r="1046340" customFormat="false" ht="12.8" hidden="false" customHeight="true" outlineLevel="0" collapsed="false"/>
    <row r="1046341" customFormat="false" ht="12.8" hidden="false" customHeight="true" outlineLevel="0" collapsed="false"/>
    <row r="1046342" customFormat="false" ht="12.8" hidden="false" customHeight="true" outlineLevel="0" collapsed="false"/>
    <row r="1046343" customFormat="false" ht="12.8" hidden="false" customHeight="true" outlineLevel="0" collapsed="false"/>
    <row r="1046344" customFormat="false" ht="12.8" hidden="false" customHeight="true" outlineLevel="0" collapsed="false"/>
    <row r="1046345" customFormat="false" ht="12.8" hidden="false" customHeight="true" outlineLevel="0" collapsed="false"/>
    <row r="1046346" customFormat="false" ht="12.8" hidden="false" customHeight="true" outlineLevel="0" collapsed="false"/>
    <row r="1046347" customFormat="false" ht="12.8" hidden="false" customHeight="true" outlineLevel="0" collapsed="false"/>
    <row r="1046348" customFormat="false" ht="12.8" hidden="false" customHeight="true" outlineLevel="0" collapsed="false"/>
    <row r="1046349" customFormat="false" ht="12.8" hidden="false" customHeight="true" outlineLevel="0" collapsed="false"/>
    <row r="1046350" customFormat="false" ht="12.8" hidden="false" customHeight="true" outlineLevel="0" collapsed="false"/>
    <row r="1046351" customFormat="false" ht="12.8" hidden="false" customHeight="true" outlineLevel="0" collapsed="false"/>
    <row r="1046352" customFormat="false" ht="12.8" hidden="false" customHeight="true" outlineLevel="0" collapsed="false"/>
    <row r="1046353" customFormat="false" ht="12.8" hidden="false" customHeight="true" outlineLevel="0" collapsed="false"/>
    <row r="1046354" customFormat="false" ht="12.8" hidden="false" customHeight="true" outlineLevel="0" collapsed="false"/>
    <row r="1046355" customFormat="false" ht="12.8" hidden="false" customHeight="true" outlineLevel="0" collapsed="false"/>
    <row r="1046356" customFormat="false" ht="12.8" hidden="false" customHeight="true" outlineLevel="0" collapsed="false"/>
    <row r="1046357" customFormat="false" ht="12.8" hidden="false" customHeight="true" outlineLevel="0" collapsed="false"/>
    <row r="1046358" customFormat="false" ht="12.8" hidden="false" customHeight="true" outlineLevel="0" collapsed="false"/>
    <row r="1046359" customFormat="false" ht="12.8" hidden="false" customHeight="true" outlineLevel="0" collapsed="false"/>
    <row r="1046360" customFormat="false" ht="12.8" hidden="false" customHeight="true" outlineLevel="0" collapsed="false"/>
    <row r="1046361" customFormat="false" ht="12.8" hidden="false" customHeight="true" outlineLevel="0" collapsed="false"/>
    <row r="1046362" customFormat="false" ht="12.8" hidden="false" customHeight="true" outlineLevel="0" collapsed="false"/>
    <row r="1046363" customFormat="false" ht="12.8" hidden="false" customHeight="true" outlineLevel="0" collapsed="false"/>
    <row r="1046364" customFormat="false" ht="12.8" hidden="false" customHeight="true" outlineLevel="0" collapsed="false"/>
    <row r="1046365" customFormat="false" ht="12.8" hidden="false" customHeight="true" outlineLevel="0" collapsed="false"/>
    <row r="1046366" customFormat="false" ht="12.8" hidden="false" customHeight="true" outlineLevel="0" collapsed="false"/>
    <row r="1046367" customFormat="false" ht="12.8" hidden="false" customHeight="true" outlineLevel="0" collapsed="false"/>
    <row r="1046368" customFormat="false" ht="12.8" hidden="false" customHeight="true" outlineLevel="0" collapsed="false"/>
    <row r="1046369" customFormat="false" ht="12.8" hidden="false" customHeight="true" outlineLevel="0" collapsed="false"/>
    <row r="1046370" customFormat="false" ht="12.8" hidden="false" customHeight="true" outlineLevel="0" collapsed="false"/>
    <row r="1046371" customFormat="false" ht="12.8" hidden="false" customHeight="true" outlineLevel="0" collapsed="false"/>
    <row r="1046372" customFormat="false" ht="12.8" hidden="false" customHeight="true" outlineLevel="0" collapsed="false"/>
    <row r="1046373" customFormat="false" ht="12.8" hidden="false" customHeight="true" outlineLevel="0" collapsed="false"/>
    <row r="1046374" customFormat="false" ht="12.8" hidden="false" customHeight="true" outlineLevel="0" collapsed="false"/>
    <row r="1046375" customFormat="false" ht="12.8" hidden="false" customHeight="true" outlineLevel="0" collapsed="false"/>
    <row r="1046376" customFormat="false" ht="12.8" hidden="false" customHeight="true" outlineLevel="0" collapsed="false"/>
    <row r="1046377" customFormat="false" ht="12.8" hidden="false" customHeight="true" outlineLevel="0" collapsed="false"/>
    <row r="1046378" customFormat="false" ht="12.8" hidden="false" customHeight="true" outlineLevel="0" collapsed="false"/>
    <row r="1046379" customFormat="false" ht="12.8" hidden="false" customHeight="true" outlineLevel="0" collapsed="false"/>
    <row r="1046380" customFormat="false" ht="12.8" hidden="false" customHeight="true" outlineLevel="0" collapsed="false"/>
    <row r="1046381" customFormat="false" ht="12.8" hidden="false" customHeight="true" outlineLevel="0" collapsed="false"/>
    <row r="1046382" customFormat="false" ht="12.8" hidden="false" customHeight="true" outlineLevel="0" collapsed="false"/>
    <row r="1046383" customFormat="false" ht="12.8" hidden="false" customHeight="true" outlineLevel="0" collapsed="false"/>
    <row r="1046384" customFormat="false" ht="12.8" hidden="false" customHeight="true" outlineLevel="0" collapsed="false"/>
    <row r="1046385" customFormat="false" ht="12.8" hidden="false" customHeight="true" outlineLevel="0" collapsed="false"/>
    <row r="1046386" customFormat="false" ht="12.8" hidden="false" customHeight="true" outlineLevel="0" collapsed="false"/>
    <row r="1046387" customFormat="false" ht="12.8" hidden="false" customHeight="true" outlineLevel="0" collapsed="false"/>
    <row r="1046388" customFormat="false" ht="12.8" hidden="false" customHeight="true" outlineLevel="0" collapsed="false"/>
    <row r="1046389" customFormat="false" ht="12.8" hidden="false" customHeight="true" outlineLevel="0" collapsed="false"/>
    <row r="1046390" customFormat="false" ht="12.8" hidden="false" customHeight="true" outlineLevel="0" collapsed="false"/>
    <row r="1046391" customFormat="false" ht="12.8" hidden="false" customHeight="true" outlineLevel="0" collapsed="false"/>
    <row r="1046392" customFormat="false" ht="12.8" hidden="false" customHeight="true" outlineLevel="0" collapsed="false"/>
    <row r="1046393" customFormat="false" ht="12.8" hidden="false" customHeight="true" outlineLevel="0" collapsed="false"/>
    <row r="1046394" customFormat="false" ht="12.8" hidden="false" customHeight="true" outlineLevel="0" collapsed="false"/>
    <row r="1046395" customFormat="false" ht="12.8" hidden="false" customHeight="true" outlineLevel="0" collapsed="false"/>
    <row r="1046396" customFormat="false" ht="12.8" hidden="false" customHeight="true" outlineLevel="0" collapsed="false"/>
    <row r="1046397" customFormat="false" ht="12.8" hidden="false" customHeight="true" outlineLevel="0" collapsed="false"/>
    <row r="1046398" customFormat="false" ht="12.8" hidden="false" customHeight="true" outlineLevel="0" collapsed="false"/>
    <row r="1046399" customFormat="false" ht="12.8" hidden="false" customHeight="true" outlineLevel="0" collapsed="false"/>
    <row r="1046400" customFormat="false" ht="12.8" hidden="false" customHeight="true" outlineLevel="0" collapsed="false"/>
    <row r="1046401" customFormat="false" ht="12.8" hidden="false" customHeight="true" outlineLevel="0" collapsed="false"/>
    <row r="1046402" customFormat="false" ht="12.8" hidden="false" customHeight="true" outlineLevel="0" collapsed="false"/>
    <row r="1046403" customFormat="false" ht="12.8" hidden="false" customHeight="true" outlineLevel="0" collapsed="false"/>
    <row r="1046404" customFormat="false" ht="12.8" hidden="false" customHeight="true" outlineLevel="0" collapsed="false"/>
    <row r="1046405" customFormat="false" ht="12.8" hidden="false" customHeight="true" outlineLevel="0" collapsed="false"/>
    <row r="1046406" customFormat="false" ht="12.8" hidden="false" customHeight="true" outlineLevel="0" collapsed="false"/>
    <row r="1046407" customFormat="false" ht="12.8" hidden="false" customHeight="true" outlineLevel="0" collapsed="false"/>
    <row r="1046408" customFormat="false" ht="12.8" hidden="false" customHeight="true" outlineLevel="0" collapsed="false"/>
    <row r="1046409" customFormat="false" ht="12.8" hidden="false" customHeight="true" outlineLevel="0" collapsed="false"/>
    <row r="1046410" customFormat="false" ht="12.8" hidden="false" customHeight="true" outlineLevel="0" collapsed="false"/>
    <row r="1046411" customFormat="false" ht="12.8" hidden="false" customHeight="true" outlineLevel="0" collapsed="false"/>
    <row r="1046412" customFormat="false" ht="12.8" hidden="false" customHeight="true" outlineLevel="0" collapsed="false"/>
    <row r="1046413" customFormat="false" ht="12.8" hidden="false" customHeight="true" outlineLevel="0" collapsed="false"/>
    <row r="1046414" customFormat="false" ht="12.8" hidden="false" customHeight="true" outlineLevel="0" collapsed="false"/>
    <row r="1046415" customFormat="false" ht="12.8" hidden="false" customHeight="true" outlineLevel="0" collapsed="false"/>
    <row r="1046416" customFormat="false" ht="12.8" hidden="false" customHeight="true" outlineLevel="0" collapsed="false"/>
    <row r="1046417" customFormat="false" ht="12.8" hidden="false" customHeight="true" outlineLevel="0" collapsed="false"/>
    <row r="1046418" customFormat="false" ht="12.8" hidden="false" customHeight="true" outlineLevel="0" collapsed="false"/>
    <row r="1046419" customFormat="false" ht="12.8" hidden="false" customHeight="true" outlineLevel="0" collapsed="false"/>
    <row r="1046420" customFormat="false" ht="12.8" hidden="false" customHeight="true" outlineLevel="0" collapsed="false"/>
    <row r="1046421" customFormat="false" ht="12.8" hidden="false" customHeight="true" outlineLevel="0" collapsed="false"/>
    <row r="1046422" customFormat="false" ht="12.8" hidden="false" customHeight="true" outlineLevel="0" collapsed="false"/>
    <row r="1046423" customFormat="false" ht="12.8" hidden="false" customHeight="true" outlineLevel="0" collapsed="false"/>
    <row r="1046424" customFormat="false" ht="12.8" hidden="false" customHeight="true" outlineLevel="0" collapsed="false"/>
    <row r="1046425" customFormat="false" ht="12.8" hidden="false" customHeight="true" outlineLevel="0" collapsed="false"/>
    <row r="1046426" customFormat="false" ht="12.8" hidden="false" customHeight="true" outlineLevel="0" collapsed="false"/>
    <row r="1046427" customFormat="false" ht="12.8" hidden="false" customHeight="true" outlineLevel="0" collapsed="false"/>
    <row r="1046428" customFormat="false" ht="12.8" hidden="false" customHeight="true" outlineLevel="0" collapsed="false"/>
    <row r="1046429" customFormat="false" ht="12.8" hidden="false" customHeight="true" outlineLevel="0" collapsed="false"/>
    <row r="1046430" customFormat="false" ht="12.8" hidden="false" customHeight="true" outlineLevel="0" collapsed="false"/>
    <row r="1046431" customFormat="false" ht="12.8" hidden="false" customHeight="true" outlineLevel="0" collapsed="false"/>
    <row r="1046432" customFormat="false" ht="12.8" hidden="false" customHeight="true" outlineLevel="0" collapsed="false"/>
    <row r="1046433" customFormat="false" ht="12.8" hidden="false" customHeight="true" outlineLevel="0" collapsed="false"/>
    <row r="1046434" customFormat="false" ht="12.8" hidden="false" customHeight="true" outlineLevel="0" collapsed="false"/>
    <row r="1046435" customFormat="false" ht="12.8" hidden="false" customHeight="true" outlineLevel="0" collapsed="false"/>
    <row r="1046436" customFormat="false" ht="12.8" hidden="false" customHeight="true" outlineLevel="0" collapsed="false"/>
    <row r="1046437" customFormat="false" ht="12.8" hidden="false" customHeight="true" outlineLevel="0" collapsed="false"/>
    <row r="1046438" customFormat="false" ht="12.8" hidden="false" customHeight="true" outlineLevel="0" collapsed="false"/>
    <row r="1046439" customFormat="false" ht="12.8" hidden="false" customHeight="true" outlineLevel="0" collapsed="false"/>
    <row r="1046440" customFormat="false" ht="12.8" hidden="false" customHeight="true" outlineLevel="0" collapsed="false"/>
    <row r="1046441" customFormat="false" ht="12.8" hidden="false" customHeight="true" outlineLevel="0" collapsed="false"/>
    <row r="1046442" customFormat="false" ht="12.8" hidden="false" customHeight="true" outlineLevel="0" collapsed="false"/>
    <row r="1046443" customFormat="false" ht="12.8" hidden="false" customHeight="true" outlineLevel="0" collapsed="false"/>
    <row r="1046444" customFormat="false" ht="12.8" hidden="false" customHeight="true" outlineLevel="0" collapsed="false"/>
    <row r="1046445" customFormat="false" ht="12.8" hidden="false" customHeight="true" outlineLevel="0" collapsed="false"/>
    <row r="1046446" customFormat="false" ht="12.8" hidden="false" customHeight="true" outlineLevel="0" collapsed="false"/>
    <row r="1046447" customFormat="false" ht="12.8" hidden="false" customHeight="true" outlineLevel="0" collapsed="false"/>
    <row r="1046448" customFormat="false" ht="12.8" hidden="false" customHeight="true" outlineLevel="0" collapsed="false"/>
    <row r="1046449" customFormat="false" ht="12.8" hidden="false" customHeight="true" outlineLevel="0" collapsed="false"/>
    <row r="1046450" customFormat="false" ht="12.8" hidden="false" customHeight="true" outlineLevel="0" collapsed="false"/>
    <row r="1046451" customFormat="false" ht="12.8" hidden="false" customHeight="true" outlineLevel="0" collapsed="false"/>
    <row r="1046452" customFormat="false" ht="12.8" hidden="false" customHeight="true" outlineLevel="0" collapsed="false"/>
    <row r="1046453" customFormat="false" ht="12.8" hidden="false" customHeight="true" outlineLevel="0" collapsed="false"/>
    <row r="1046454" customFormat="false" ht="12.8" hidden="false" customHeight="true" outlineLevel="0" collapsed="false"/>
    <row r="1046455" customFormat="false" ht="12.8" hidden="false" customHeight="true" outlineLevel="0" collapsed="false"/>
    <row r="1046456" customFormat="false" ht="12.8" hidden="false" customHeight="true" outlineLevel="0" collapsed="false"/>
    <row r="1046457" customFormat="false" ht="12.8" hidden="false" customHeight="true" outlineLevel="0" collapsed="false"/>
    <row r="1046458" customFormat="false" ht="12.8" hidden="false" customHeight="true" outlineLevel="0" collapsed="false"/>
    <row r="1046459" customFormat="false" ht="12.8" hidden="false" customHeight="true" outlineLevel="0" collapsed="false"/>
    <row r="1046460" customFormat="false" ht="12.8" hidden="false" customHeight="true" outlineLevel="0" collapsed="false"/>
    <row r="1046461" customFormat="false" ht="12.8" hidden="false" customHeight="true" outlineLevel="0" collapsed="false"/>
    <row r="1046462" customFormat="false" ht="12.8" hidden="false" customHeight="true" outlineLevel="0" collapsed="false"/>
    <row r="1046463" customFormat="false" ht="12.8" hidden="false" customHeight="true" outlineLevel="0" collapsed="false"/>
    <row r="1046464" customFormat="false" ht="12.8" hidden="false" customHeight="true" outlineLevel="0" collapsed="false"/>
    <row r="1046465" customFormat="false" ht="12.8" hidden="false" customHeight="true" outlineLevel="0" collapsed="false"/>
    <row r="1046466" customFormat="false" ht="12.8" hidden="false" customHeight="true" outlineLevel="0" collapsed="false"/>
    <row r="1046467" customFormat="false" ht="12.8" hidden="false" customHeight="true" outlineLevel="0" collapsed="false"/>
    <row r="1046468" customFormat="false" ht="12.8" hidden="false" customHeight="true" outlineLevel="0" collapsed="false"/>
    <row r="1046469" customFormat="false" ht="12.8" hidden="false" customHeight="true" outlineLevel="0" collapsed="false"/>
    <row r="1046470" customFormat="false" ht="12.8" hidden="false" customHeight="true" outlineLevel="0" collapsed="false"/>
    <row r="1046471" customFormat="false" ht="12.8" hidden="false" customHeight="true" outlineLevel="0" collapsed="false"/>
    <row r="1046472" customFormat="false" ht="12.8" hidden="false" customHeight="true" outlineLevel="0" collapsed="false"/>
    <row r="1046473" customFormat="false" ht="12.8" hidden="false" customHeight="true" outlineLevel="0" collapsed="false"/>
    <row r="1046474" customFormat="false" ht="12.8" hidden="false" customHeight="true" outlineLevel="0" collapsed="false"/>
    <row r="1046475" customFormat="false" ht="12.8" hidden="false" customHeight="true" outlineLevel="0" collapsed="false"/>
    <row r="1046476" customFormat="false" ht="12.8" hidden="false" customHeight="true" outlineLevel="0" collapsed="false"/>
    <row r="1046477" customFormat="false" ht="12.8" hidden="false" customHeight="true" outlineLevel="0" collapsed="false"/>
    <row r="1046478" customFormat="false" ht="12.8" hidden="false" customHeight="true" outlineLevel="0" collapsed="false"/>
    <row r="1046479" customFormat="false" ht="12.8" hidden="false" customHeight="true" outlineLevel="0" collapsed="false"/>
    <row r="1046480" customFormat="false" ht="12.8" hidden="false" customHeight="true" outlineLevel="0" collapsed="false"/>
    <row r="1046481" customFormat="false" ht="12.8" hidden="false" customHeight="true" outlineLevel="0" collapsed="false"/>
    <row r="1046482" customFormat="false" ht="12.8" hidden="false" customHeight="true" outlineLevel="0" collapsed="false"/>
    <row r="1046483" customFormat="false" ht="12.8" hidden="false" customHeight="true" outlineLevel="0" collapsed="false"/>
    <row r="1046484" customFormat="false" ht="12.8" hidden="false" customHeight="true" outlineLevel="0" collapsed="false"/>
    <row r="1046485" customFormat="false" ht="12.8" hidden="false" customHeight="true" outlineLevel="0" collapsed="false"/>
    <row r="1046486" customFormat="false" ht="12.8" hidden="false" customHeight="true" outlineLevel="0" collapsed="false"/>
    <row r="1046487" customFormat="false" ht="12.8" hidden="false" customHeight="true" outlineLevel="0" collapsed="false"/>
    <row r="1046488" customFormat="false" ht="12.8" hidden="false" customHeight="true" outlineLevel="0" collapsed="false"/>
    <row r="1046489" customFormat="false" ht="12.8" hidden="false" customHeight="true" outlineLevel="0" collapsed="false"/>
    <row r="1046490" customFormat="false" ht="12.8" hidden="false" customHeight="true" outlineLevel="0" collapsed="false"/>
    <row r="1046491" customFormat="false" ht="12.8" hidden="false" customHeight="true" outlineLevel="0" collapsed="false"/>
    <row r="1046492" customFormat="false" ht="12.8" hidden="false" customHeight="true" outlineLevel="0" collapsed="false"/>
    <row r="1046493" customFormat="false" ht="12.8" hidden="false" customHeight="true" outlineLevel="0" collapsed="false"/>
    <row r="1046494" customFormat="false" ht="12.8" hidden="false" customHeight="true" outlineLevel="0" collapsed="false"/>
    <row r="1046495" customFormat="false" ht="12.8" hidden="false" customHeight="true" outlineLevel="0" collapsed="false"/>
    <row r="1046496" customFormat="false" ht="12.8" hidden="false" customHeight="true" outlineLevel="0" collapsed="false"/>
    <row r="1046497" customFormat="false" ht="12.8" hidden="false" customHeight="true" outlineLevel="0" collapsed="false"/>
    <row r="1046498" customFormat="false" ht="12.8" hidden="false" customHeight="true" outlineLevel="0" collapsed="false"/>
    <row r="1046499" customFormat="false" ht="12.8" hidden="false" customHeight="true" outlineLevel="0" collapsed="false"/>
    <row r="1046500" customFormat="false" ht="12.8" hidden="false" customHeight="true" outlineLevel="0" collapsed="false"/>
    <row r="1046501" customFormat="false" ht="12.8" hidden="false" customHeight="true" outlineLevel="0" collapsed="false"/>
    <row r="1046502" customFormat="false" ht="12.8" hidden="false" customHeight="true" outlineLevel="0" collapsed="false"/>
    <row r="1046503" customFormat="false" ht="12.8" hidden="false" customHeight="true" outlineLevel="0" collapsed="false"/>
    <row r="1046504" customFormat="false" ht="12.8" hidden="false" customHeight="true" outlineLevel="0" collapsed="false"/>
    <row r="1046505" customFormat="false" ht="12.8" hidden="false" customHeight="true" outlineLevel="0" collapsed="false"/>
    <row r="1046506" customFormat="false" ht="12.8" hidden="false" customHeight="true" outlineLevel="0" collapsed="false"/>
    <row r="1046507" customFormat="false" ht="12.8" hidden="false" customHeight="true" outlineLevel="0" collapsed="false"/>
    <row r="1046508" customFormat="false" ht="12.8" hidden="false" customHeight="true" outlineLevel="0" collapsed="false"/>
    <row r="1046509" customFormat="false" ht="12.8" hidden="false" customHeight="true" outlineLevel="0" collapsed="false"/>
    <row r="1046510" customFormat="false" ht="12.8" hidden="false" customHeight="true" outlineLevel="0" collapsed="false"/>
    <row r="1046511" customFormat="false" ht="12.8" hidden="false" customHeight="true" outlineLevel="0" collapsed="false"/>
    <row r="1046512" customFormat="false" ht="12.8" hidden="false" customHeight="true" outlineLevel="0" collapsed="false"/>
    <row r="1046513" customFormat="false" ht="12.8" hidden="false" customHeight="true" outlineLevel="0" collapsed="false"/>
    <row r="1046514" customFormat="false" ht="12.8" hidden="false" customHeight="true" outlineLevel="0" collapsed="false"/>
    <row r="1046515" customFormat="false" ht="12.8" hidden="false" customHeight="true" outlineLevel="0" collapsed="false"/>
    <row r="1046516" customFormat="false" ht="12.8" hidden="false" customHeight="true" outlineLevel="0" collapsed="false"/>
    <row r="1046517" customFormat="false" ht="12.8" hidden="false" customHeight="true" outlineLevel="0" collapsed="false"/>
    <row r="1046518" customFormat="false" ht="12.8" hidden="false" customHeight="true" outlineLevel="0" collapsed="false"/>
    <row r="1046519" customFormat="false" ht="12.8" hidden="false" customHeight="true" outlineLevel="0" collapsed="false"/>
    <row r="1046520" customFormat="false" ht="12.8" hidden="false" customHeight="true" outlineLevel="0" collapsed="false"/>
    <row r="1046521" customFormat="false" ht="12.8" hidden="false" customHeight="true" outlineLevel="0" collapsed="false"/>
    <row r="1046522" customFormat="false" ht="12.8" hidden="false" customHeight="true" outlineLevel="0" collapsed="false"/>
    <row r="1046523" customFormat="false" ht="12.8" hidden="false" customHeight="true" outlineLevel="0" collapsed="false"/>
    <row r="1046524" customFormat="false" ht="12.8" hidden="false" customHeight="true" outlineLevel="0" collapsed="false"/>
    <row r="1046525" customFormat="false" ht="12.8" hidden="false" customHeight="true" outlineLevel="0" collapsed="false"/>
    <row r="1046526" customFormat="false" ht="12.8" hidden="false" customHeight="true" outlineLevel="0" collapsed="false"/>
    <row r="1046527" customFormat="false" ht="12.8" hidden="false" customHeight="true" outlineLevel="0" collapsed="false"/>
    <row r="1046528" customFormat="false" ht="12.8" hidden="false" customHeight="true" outlineLevel="0" collapsed="false"/>
    <row r="1046529" customFormat="false" ht="12.8" hidden="false" customHeight="true" outlineLevel="0" collapsed="false"/>
    <row r="1046530" customFormat="false" ht="12.8" hidden="false" customHeight="true" outlineLevel="0" collapsed="false"/>
    <row r="1046531" customFormat="false" ht="12.8" hidden="false" customHeight="true" outlineLevel="0" collapsed="false"/>
    <row r="1046532" customFormat="false" ht="12.8" hidden="false" customHeight="true" outlineLevel="0" collapsed="false"/>
    <row r="1046533" customFormat="false" ht="12.8" hidden="false" customHeight="true" outlineLevel="0" collapsed="false"/>
    <row r="1046534" customFormat="false" ht="12.8" hidden="false" customHeight="true" outlineLevel="0" collapsed="false"/>
    <row r="1046535" customFormat="false" ht="12.8" hidden="false" customHeight="true" outlineLevel="0" collapsed="false"/>
    <row r="1046536" customFormat="false" ht="12.8" hidden="false" customHeight="true" outlineLevel="0" collapsed="false"/>
    <row r="1046537" customFormat="false" ht="12.8" hidden="false" customHeight="true" outlineLevel="0" collapsed="false"/>
    <row r="1046538" customFormat="false" ht="12.8" hidden="false" customHeight="true" outlineLevel="0" collapsed="false"/>
    <row r="1046539" customFormat="false" ht="12.8" hidden="false" customHeight="true" outlineLevel="0" collapsed="false"/>
    <row r="1046540" customFormat="false" ht="12.8" hidden="false" customHeight="true" outlineLevel="0" collapsed="false"/>
    <row r="1046541" customFormat="false" ht="12.8" hidden="false" customHeight="true" outlineLevel="0" collapsed="false"/>
    <row r="1046542" customFormat="false" ht="12.8" hidden="false" customHeight="true" outlineLevel="0" collapsed="false"/>
    <row r="1046543" customFormat="false" ht="12.8" hidden="false" customHeight="true" outlineLevel="0" collapsed="false"/>
    <row r="1046544" customFormat="false" ht="12.8" hidden="false" customHeight="true" outlineLevel="0" collapsed="false"/>
    <row r="1046545" customFormat="false" ht="12.8" hidden="false" customHeight="true" outlineLevel="0" collapsed="false"/>
    <row r="1046546" customFormat="false" ht="12.8" hidden="false" customHeight="true" outlineLevel="0" collapsed="false"/>
    <row r="1046547" customFormat="false" ht="12.8" hidden="false" customHeight="true" outlineLevel="0" collapsed="false"/>
    <row r="1046548" customFormat="false" ht="12.8" hidden="false" customHeight="true" outlineLevel="0" collapsed="false"/>
    <row r="1046549" customFormat="false" ht="12.8" hidden="false" customHeight="true" outlineLevel="0" collapsed="false"/>
    <row r="1046550" customFormat="false" ht="12.8" hidden="false" customHeight="true" outlineLevel="0" collapsed="false"/>
    <row r="1046551" customFormat="false" ht="12.8" hidden="false" customHeight="true" outlineLevel="0" collapsed="false"/>
    <row r="1046552" customFormat="false" ht="12.8" hidden="false" customHeight="true" outlineLevel="0" collapsed="false"/>
    <row r="1046553" customFormat="false" ht="12.8" hidden="false" customHeight="true" outlineLevel="0" collapsed="false"/>
    <row r="1046554" customFormat="false" ht="12.8" hidden="false" customHeight="true" outlineLevel="0" collapsed="false"/>
    <row r="1046555" customFormat="false" ht="12.8" hidden="false" customHeight="true" outlineLevel="0" collapsed="false"/>
    <row r="1046556" customFormat="false" ht="12.8" hidden="false" customHeight="true" outlineLevel="0" collapsed="false"/>
    <row r="1046557" customFormat="false" ht="12.8" hidden="false" customHeight="true" outlineLevel="0" collapsed="false"/>
    <row r="1046558" customFormat="false" ht="12.8" hidden="false" customHeight="true" outlineLevel="0" collapsed="false"/>
    <row r="1046559" customFormat="false" ht="12.8" hidden="false" customHeight="true" outlineLevel="0" collapsed="false"/>
    <row r="1046560" customFormat="false" ht="12.8" hidden="false" customHeight="true" outlineLevel="0" collapsed="false"/>
    <row r="1046561" customFormat="false" ht="12.8" hidden="false" customHeight="true" outlineLevel="0" collapsed="false"/>
    <row r="1046562" customFormat="false" ht="12.8" hidden="false" customHeight="true" outlineLevel="0" collapsed="false"/>
    <row r="1046563" customFormat="false" ht="12.8" hidden="false" customHeight="true" outlineLevel="0" collapsed="false"/>
    <row r="1046564" customFormat="false" ht="12.8" hidden="false" customHeight="true" outlineLevel="0" collapsed="false"/>
    <row r="1046565" customFormat="false" ht="12.8" hidden="false" customHeight="true" outlineLevel="0" collapsed="false"/>
    <row r="1046566" customFormat="false" ht="12.8" hidden="false" customHeight="true" outlineLevel="0" collapsed="false"/>
    <row r="1046567" customFormat="false" ht="12.8" hidden="false" customHeight="true" outlineLevel="0" collapsed="false"/>
    <row r="1046568" customFormat="false" ht="12.8" hidden="false" customHeight="true" outlineLevel="0" collapsed="false"/>
    <row r="1046569" customFormat="false" ht="12.8" hidden="false" customHeight="true" outlineLevel="0" collapsed="false"/>
    <row r="1046570" customFormat="false" ht="12.8" hidden="false" customHeight="true" outlineLevel="0" collapsed="false"/>
    <row r="1046571" customFormat="false" ht="12.8" hidden="false" customHeight="true" outlineLevel="0" collapsed="false"/>
    <row r="1046572" customFormat="false" ht="12.8" hidden="false" customHeight="true" outlineLevel="0" collapsed="false"/>
    <row r="1046573" customFormat="false" ht="12.8" hidden="false" customHeight="true" outlineLevel="0" collapsed="false"/>
    <row r="1046574" customFormat="false" ht="12.8" hidden="false" customHeight="true" outlineLevel="0" collapsed="false"/>
    <row r="1046575" customFormat="false" ht="12.8" hidden="false" customHeight="true" outlineLevel="0" collapsed="false"/>
    <row r="1046576" customFormat="false" ht="12.8" hidden="false" customHeight="true" outlineLevel="0" collapsed="false"/>
    <row r="1046577" customFormat="false" ht="12.8" hidden="false" customHeight="true" outlineLevel="0" collapsed="false"/>
    <row r="1046578" customFormat="false" ht="12.8" hidden="false" customHeight="true" outlineLevel="0" collapsed="false"/>
    <row r="1046579" customFormat="false" ht="12.8" hidden="false" customHeight="true" outlineLevel="0" collapsed="false"/>
    <row r="1046580" customFormat="false" ht="12.8" hidden="false" customHeight="true" outlineLevel="0" collapsed="false"/>
    <row r="1046581" customFormat="false" ht="12.8" hidden="false" customHeight="true" outlineLevel="0" collapsed="false"/>
    <row r="1046582" customFormat="false" ht="12.8" hidden="false" customHeight="true" outlineLevel="0" collapsed="false"/>
    <row r="1046583" customFormat="false" ht="12.8" hidden="false" customHeight="true" outlineLevel="0" collapsed="false"/>
    <row r="1046584" customFormat="false" ht="12.8" hidden="false" customHeight="true" outlineLevel="0" collapsed="false"/>
    <row r="1046585" customFormat="false" ht="12.8" hidden="false" customHeight="true" outlineLevel="0" collapsed="false"/>
    <row r="1046586" customFormat="false" ht="12.8" hidden="false" customHeight="true" outlineLevel="0" collapsed="false"/>
    <row r="1046587" customFormat="false" ht="12.8" hidden="false" customHeight="true" outlineLevel="0" collapsed="false"/>
    <row r="1046588" customFormat="false" ht="12.8" hidden="false" customHeight="true" outlineLevel="0" collapsed="false"/>
    <row r="1046589" customFormat="false" ht="12.8" hidden="false" customHeight="true" outlineLevel="0" collapsed="false"/>
    <row r="1046590" customFormat="false" ht="12.8" hidden="false" customHeight="true" outlineLevel="0" collapsed="false"/>
    <row r="1046591" customFormat="false" ht="12.8" hidden="false" customHeight="true" outlineLevel="0" collapsed="false"/>
    <row r="1046592" customFormat="false" ht="12.8" hidden="false" customHeight="true" outlineLevel="0" collapsed="false"/>
    <row r="1046593" customFormat="false" ht="12.8" hidden="false" customHeight="true" outlineLevel="0" collapsed="false"/>
    <row r="1046594" customFormat="false" ht="12.8" hidden="false" customHeight="true" outlineLevel="0" collapsed="false"/>
    <row r="1046595" customFormat="false" ht="12.8" hidden="false" customHeight="true" outlineLevel="0" collapsed="false"/>
    <row r="1046596" customFormat="false" ht="12.8" hidden="false" customHeight="true" outlineLevel="0" collapsed="false"/>
    <row r="1046597" customFormat="false" ht="12.8" hidden="false" customHeight="true" outlineLevel="0" collapsed="false"/>
    <row r="1046598" customFormat="false" ht="12.8" hidden="false" customHeight="true" outlineLevel="0" collapsed="false"/>
    <row r="1046599" customFormat="false" ht="12.8" hidden="false" customHeight="true" outlineLevel="0" collapsed="false"/>
    <row r="1046600" customFormat="false" ht="12.8" hidden="false" customHeight="true" outlineLevel="0" collapsed="false"/>
    <row r="1046601" customFormat="false" ht="12.8" hidden="false" customHeight="true" outlineLevel="0" collapsed="false"/>
    <row r="1046602" customFormat="false" ht="12.8" hidden="false" customHeight="true" outlineLevel="0" collapsed="false"/>
    <row r="1046603" customFormat="false" ht="12.8" hidden="false" customHeight="true" outlineLevel="0" collapsed="false"/>
    <row r="1046604" customFormat="false" ht="12.8" hidden="false" customHeight="true" outlineLevel="0" collapsed="false"/>
    <row r="1046605" customFormat="false" ht="12.8" hidden="false" customHeight="true" outlineLevel="0" collapsed="false"/>
    <row r="1046606" customFormat="false" ht="12.8" hidden="false" customHeight="true" outlineLevel="0" collapsed="false"/>
    <row r="1046607" customFormat="false" ht="12.8" hidden="false" customHeight="true" outlineLevel="0" collapsed="false"/>
    <row r="1046608" customFormat="false" ht="12.8" hidden="false" customHeight="true" outlineLevel="0" collapsed="false"/>
    <row r="1046609" customFormat="false" ht="12.8" hidden="false" customHeight="true" outlineLevel="0" collapsed="false"/>
    <row r="1046610" customFormat="false" ht="12.8" hidden="false" customHeight="true" outlineLevel="0" collapsed="false"/>
    <row r="1046611" customFormat="false" ht="12.8" hidden="false" customHeight="true" outlineLevel="0" collapsed="false"/>
    <row r="1046612" customFormat="false" ht="12.8" hidden="false" customHeight="true" outlineLevel="0" collapsed="false"/>
    <row r="1046613" customFormat="false" ht="12.8" hidden="false" customHeight="true" outlineLevel="0" collapsed="false"/>
    <row r="1046614" customFormat="false" ht="12.8" hidden="false" customHeight="true" outlineLevel="0" collapsed="false"/>
    <row r="1046615" customFormat="false" ht="12.8" hidden="false" customHeight="true" outlineLevel="0" collapsed="false"/>
    <row r="1046616" customFormat="false" ht="12.8" hidden="false" customHeight="true" outlineLevel="0" collapsed="false"/>
    <row r="1046617" customFormat="false" ht="12.8" hidden="false" customHeight="true" outlineLevel="0" collapsed="false"/>
    <row r="1046618" customFormat="false" ht="12.8" hidden="false" customHeight="true" outlineLevel="0" collapsed="false"/>
    <row r="1046619" customFormat="false" ht="12.8" hidden="false" customHeight="true" outlineLevel="0" collapsed="false"/>
    <row r="1046620" customFormat="false" ht="12.8" hidden="false" customHeight="true" outlineLevel="0" collapsed="false"/>
    <row r="1046621" customFormat="false" ht="12.8" hidden="false" customHeight="true" outlineLevel="0" collapsed="false"/>
    <row r="1046622" customFormat="false" ht="12.8" hidden="false" customHeight="true" outlineLevel="0" collapsed="false"/>
    <row r="1046623" customFormat="false" ht="12.8" hidden="false" customHeight="true" outlineLevel="0" collapsed="false"/>
    <row r="1046624" customFormat="false" ht="12.8" hidden="false" customHeight="true" outlineLevel="0" collapsed="false"/>
    <row r="1046625" customFormat="false" ht="12.8" hidden="false" customHeight="true" outlineLevel="0" collapsed="false"/>
    <row r="1046626" customFormat="false" ht="12.8" hidden="false" customHeight="true" outlineLevel="0" collapsed="false"/>
    <row r="1046627" customFormat="false" ht="12.8" hidden="false" customHeight="true" outlineLevel="0" collapsed="false"/>
    <row r="1046628" customFormat="false" ht="12.8" hidden="false" customHeight="true" outlineLevel="0" collapsed="false"/>
    <row r="1046629" customFormat="false" ht="12.8" hidden="false" customHeight="true" outlineLevel="0" collapsed="false"/>
    <row r="1046630" customFormat="false" ht="12.8" hidden="false" customHeight="true" outlineLevel="0" collapsed="false"/>
    <row r="1046631" customFormat="false" ht="12.8" hidden="false" customHeight="true" outlineLevel="0" collapsed="false"/>
    <row r="1046632" customFormat="false" ht="12.8" hidden="false" customHeight="true" outlineLevel="0" collapsed="false"/>
    <row r="1046633" customFormat="false" ht="12.8" hidden="false" customHeight="true" outlineLevel="0" collapsed="false"/>
    <row r="1046634" customFormat="false" ht="12.8" hidden="false" customHeight="true" outlineLevel="0" collapsed="false"/>
    <row r="1046635" customFormat="false" ht="12.8" hidden="false" customHeight="true" outlineLevel="0" collapsed="false"/>
    <row r="1046636" customFormat="false" ht="12.8" hidden="false" customHeight="true" outlineLevel="0" collapsed="false"/>
    <row r="1046637" customFormat="false" ht="12.8" hidden="false" customHeight="true" outlineLevel="0" collapsed="false"/>
    <row r="1046638" customFormat="false" ht="12.8" hidden="false" customHeight="true" outlineLevel="0" collapsed="false"/>
    <row r="1046639" customFormat="false" ht="12.8" hidden="false" customHeight="true" outlineLevel="0" collapsed="false"/>
    <row r="1046640" customFormat="false" ht="12.8" hidden="false" customHeight="true" outlineLevel="0" collapsed="false"/>
    <row r="1046641" customFormat="false" ht="12.8" hidden="false" customHeight="true" outlineLevel="0" collapsed="false"/>
    <row r="1046642" customFormat="false" ht="12.8" hidden="false" customHeight="true" outlineLevel="0" collapsed="false"/>
    <row r="1046643" customFormat="false" ht="12.8" hidden="false" customHeight="true" outlineLevel="0" collapsed="false"/>
    <row r="1046644" customFormat="false" ht="12.8" hidden="false" customHeight="true" outlineLevel="0" collapsed="false"/>
    <row r="1046645" customFormat="false" ht="12.8" hidden="false" customHeight="true" outlineLevel="0" collapsed="false"/>
    <row r="1046646" customFormat="false" ht="12.8" hidden="false" customHeight="true" outlineLevel="0" collapsed="false"/>
    <row r="1046647" customFormat="false" ht="12.8" hidden="false" customHeight="true" outlineLevel="0" collapsed="false"/>
    <row r="1046648" customFormat="false" ht="12.8" hidden="false" customHeight="true" outlineLevel="0" collapsed="false"/>
    <row r="1046649" customFormat="false" ht="12.8" hidden="false" customHeight="true" outlineLevel="0" collapsed="false"/>
    <row r="1046650" customFormat="false" ht="12.8" hidden="false" customHeight="true" outlineLevel="0" collapsed="false"/>
    <row r="1046651" customFormat="false" ht="12.8" hidden="false" customHeight="true" outlineLevel="0" collapsed="false"/>
    <row r="1046652" customFormat="false" ht="12.8" hidden="false" customHeight="true" outlineLevel="0" collapsed="false"/>
    <row r="1046653" customFormat="false" ht="12.8" hidden="false" customHeight="true" outlineLevel="0" collapsed="false"/>
    <row r="1046654" customFormat="false" ht="12.8" hidden="false" customHeight="true" outlineLevel="0" collapsed="false"/>
    <row r="1046655" customFormat="false" ht="12.8" hidden="false" customHeight="true" outlineLevel="0" collapsed="false"/>
    <row r="1046656" customFormat="false" ht="12.8" hidden="false" customHeight="true" outlineLevel="0" collapsed="false"/>
    <row r="1046657" customFormat="false" ht="12.8" hidden="false" customHeight="true" outlineLevel="0" collapsed="false"/>
    <row r="1046658" customFormat="false" ht="12.8" hidden="false" customHeight="true" outlineLevel="0" collapsed="false"/>
    <row r="1046659" customFormat="false" ht="12.8" hidden="false" customHeight="true" outlineLevel="0" collapsed="false"/>
    <row r="1046660" customFormat="false" ht="12.8" hidden="false" customHeight="true" outlineLevel="0" collapsed="false"/>
    <row r="1046661" customFormat="false" ht="12.8" hidden="false" customHeight="true" outlineLevel="0" collapsed="false"/>
    <row r="1046662" customFormat="false" ht="12.8" hidden="false" customHeight="true" outlineLevel="0" collapsed="false"/>
    <row r="1046663" customFormat="false" ht="12.8" hidden="false" customHeight="true" outlineLevel="0" collapsed="false"/>
    <row r="1046664" customFormat="false" ht="12.8" hidden="false" customHeight="true" outlineLevel="0" collapsed="false"/>
    <row r="1046665" customFormat="false" ht="12.8" hidden="false" customHeight="true" outlineLevel="0" collapsed="false"/>
    <row r="1046666" customFormat="false" ht="12.8" hidden="false" customHeight="true" outlineLevel="0" collapsed="false"/>
    <row r="1046667" customFormat="false" ht="12.8" hidden="false" customHeight="true" outlineLevel="0" collapsed="false"/>
    <row r="1046668" customFormat="false" ht="12.8" hidden="false" customHeight="true" outlineLevel="0" collapsed="false"/>
    <row r="1046669" customFormat="false" ht="12.8" hidden="false" customHeight="true" outlineLevel="0" collapsed="false"/>
    <row r="1046670" customFormat="false" ht="12.8" hidden="false" customHeight="true" outlineLevel="0" collapsed="false"/>
    <row r="1046671" customFormat="false" ht="12.8" hidden="false" customHeight="true" outlineLevel="0" collapsed="false"/>
    <row r="1046672" customFormat="false" ht="12.8" hidden="false" customHeight="true" outlineLevel="0" collapsed="false"/>
    <row r="1046673" customFormat="false" ht="12.8" hidden="false" customHeight="true" outlineLevel="0" collapsed="false"/>
    <row r="1046674" customFormat="false" ht="12.8" hidden="false" customHeight="true" outlineLevel="0" collapsed="false"/>
    <row r="1046675" customFormat="false" ht="12.8" hidden="false" customHeight="true" outlineLevel="0" collapsed="false"/>
    <row r="1046676" customFormat="false" ht="12.8" hidden="false" customHeight="true" outlineLevel="0" collapsed="false"/>
    <row r="1046677" customFormat="false" ht="12.8" hidden="false" customHeight="true" outlineLevel="0" collapsed="false"/>
    <row r="1046678" customFormat="false" ht="12.8" hidden="false" customHeight="true" outlineLevel="0" collapsed="false"/>
    <row r="1046679" customFormat="false" ht="12.8" hidden="false" customHeight="true" outlineLevel="0" collapsed="false"/>
    <row r="1046680" customFormat="false" ht="12.8" hidden="false" customHeight="true" outlineLevel="0" collapsed="false"/>
    <row r="1046681" customFormat="false" ht="12.8" hidden="false" customHeight="true" outlineLevel="0" collapsed="false"/>
    <row r="1046682" customFormat="false" ht="12.8" hidden="false" customHeight="true" outlineLevel="0" collapsed="false"/>
    <row r="1046683" customFormat="false" ht="12.8" hidden="false" customHeight="true" outlineLevel="0" collapsed="false"/>
    <row r="1046684" customFormat="false" ht="12.8" hidden="false" customHeight="true" outlineLevel="0" collapsed="false"/>
    <row r="1046685" customFormat="false" ht="12.8" hidden="false" customHeight="true" outlineLevel="0" collapsed="false"/>
    <row r="1046686" customFormat="false" ht="12.8" hidden="false" customHeight="true" outlineLevel="0" collapsed="false"/>
    <row r="1046687" customFormat="false" ht="12.8" hidden="false" customHeight="true" outlineLevel="0" collapsed="false"/>
    <row r="1046688" customFormat="false" ht="12.8" hidden="false" customHeight="true" outlineLevel="0" collapsed="false"/>
    <row r="1046689" customFormat="false" ht="12.8" hidden="false" customHeight="true" outlineLevel="0" collapsed="false"/>
    <row r="1046690" customFormat="false" ht="12.8" hidden="false" customHeight="true" outlineLevel="0" collapsed="false"/>
    <row r="1046691" customFormat="false" ht="12.8" hidden="false" customHeight="true" outlineLevel="0" collapsed="false"/>
    <row r="1046692" customFormat="false" ht="12.8" hidden="false" customHeight="true" outlineLevel="0" collapsed="false"/>
    <row r="1046693" customFormat="false" ht="12.8" hidden="false" customHeight="true" outlineLevel="0" collapsed="false"/>
    <row r="1046694" customFormat="false" ht="12.8" hidden="false" customHeight="true" outlineLevel="0" collapsed="false"/>
    <row r="1046695" customFormat="false" ht="12.8" hidden="false" customHeight="true" outlineLevel="0" collapsed="false"/>
    <row r="1046696" customFormat="false" ht="12.8" hidden="false" customHeight="true" outlineLevel="0" collapsed="false"/>
    <row r="1046697" customFormat="false" ht="12.8" hidden="false" customHeight="true" outlineLevel="0" collapsed="false"/>
    <row r="1046698" customFormat="false" ht="12.8" hidden="false" customHeight="true" outlineLevel="0" collapsed="false"/>
    <row r="1046699" customFormat="false" ht="12.8" hidden="false" customHeight="true" outlineLevel="0" collapsed="false"/>
    <row r="1046700" customFormat="false" ht="12.8" hidden="false" customHeight="true" outlineLevel="0" collapsed="false"/>
    <row r="1046701" customFormat="false" ht="12.8" hidden="false" customHeight="true" outlineLevel="0" collapsed="false"/>
    <row r="1046702" customFormat="false" ht="12.8" hidden="false" customHeight="true" outlineLevel="0" collapsed="false"/>
    <row r="1046703" customFormat="false" ht="12.8" hidden="false" customHeight="true" outlineLevel="0" collapsed="false"/>
    <row r="1046704" customFormat="false" ht="12.8" hidden="false" customHeight="true" outlineLevel="0" collapsed="false"/>
    <row r="1046705" customFormat="false" ht="12.8" hidden="false" customHeight="true" outlineLevel="0" collapsed="false"/>
    <row r="1046706" customFormat="false" ht="12.8" hidden="false" customHeight="true" outlineLevel="0" collapsed="false"/>
    <row r="1046707" customFormat="false" ht="12.8" hidden="false" customHeight="true" outlineLevel="0" collapsed="false"/>
    <row r="1046708" customFormat="false" ht="12.8" hidden="false" customHeight="true" outlineLevel="0" collapsed="false"/>
    <row r="1046709" customFormat="false" ht="12.8" hidden="false" customHeight="true" outlineLevel="0" collapsed="false"/>
    <row r="1046710" customFormat="false" ht="12.8" hidden="false" customHeight="true" outlineLevel="0" collapsed="false"/>
    <row r="1046711" customFormat="false" ht="12.8" hidden="false" customHeight="true" outlineLevel="0" collapsed="false"/>
    <row r="1046712" customFormat="false" ht="12.8" hidden="false" customHeight="true" outlineLevel="0" collapsed="false"/>
    <row r="1046713" customFormat="false" ht="12.8" hidden="false" customHeight="true" outlineLevel="0" collapsed="false"/>
    <row r="1046714" customFormat="false" ht="12.8" hidden="false" customHeight="true" outlineLevel="0" collapsed="false"/>
    <row r="1046715" customFormat="false" ht="12.8" hidden="false" customHeight="true" outlineLevel="0" collapsed="false"/>
    <row r="1046716" customFormat="false" ht="12.8" hidden="false" customHeight="true" outlineLevel="0" collapsed="false"/>
    <row r="1046717" customFormat="false" ht="12.8" hidden="false" customHeight="true" outlineLevel="0" collapsed="false"/>
    <row r="1046718" customFormat="false" ht="12.8" hidden="false" customHeight="true" outlineLevel="0" collapsed="false"/>
    <row r="1046719" customFormat="false" ht="12.8" hidden="false" customHeight="true" outlineLevel="0" collapsed="false"/>
    <row r="1046720" customFormat="false" ht="12.8" hidden="false" customHeight="true" outlineLevel="0" collapsed="false"/>
    <row r="1046721" customFormat="false" ht="12.8" hidden="false" customHeight="true" outlineLevel="0" collapsed="false"/>
    <row r="1046722" customFormat="false" ht="12.8" hidden="false" customHeight="true" outlineLevel="0" collapsed="false"/>
    <row r="1046723" customFormat="false" ht="12.8" hidden="false" customHeight="true" outlineLevel="0" collapsed="false"/>
    <row r="1046724" customFormat="false" ht="12.8" hidden="false" customHeight="true" outlineLevel="0" collapsed="false"/>
    <row r="1046725" customFormat="false" ht="12.8" hidden="false" customHeight="true" outlineLevel="0" collapsed="false"/>
    <row r="1046726" customFormat="false" ht="12.8" hidden="false" customHeight="true" outlineLevel="0" collapsed="false"/>
    <row r="1046727" customFormat="false" ht="12.8" hidden="false" customHeight="true" outlineLevel="0" collapsed="false"/>
    <row r="1046728" customFormat="false" ht="12.8" hidden="false" customHeight="true" outlineLevel="0" collapsed="false"/>
    <row r="1046729" customFormat="false" ht="12.8" hidden="false" customHeight="true" outlineLevel="0" collapsed="false"/>
    <row r="1046730" customFormat="false" ht="12.8" hidden="false" customHeight="true" outlineLevel="0" collapsed="false"/>
    <row r="1046731" customFormat="false" ht="12.8" hidden="false" customHeight="true" outlineLevel="0" collapsed="false"/>
    <row r="1046732" customFormat="false" ht="12.8" hidden="false" customHeight="true" outlineLevel="0" collapsed="false"/>
    <row r="1046733" customFormat="false" ht="12.8" hidden="false" customHeight="true" outlineLevel="0" collapsed="false"/>
    <row r="1046734" customFormat="false" ht="12.8" hidden="false" customHeight="true" outlineLevel="0" collapsed="false"/>
    <row r="1046735" customFormat="false" ht="12.8" hidden="false" customHeight="true" outlineLevel="0" collapsed="false"/>
    <row r="1046736" customFormat="false" ht="12.8" hidden="false" customHeight="true" outlineLevel="0" collapsed="false"/>
    <row r="1046737" customFormat="false" ht="12.8" hidden="false" customHeight="true" outlineLevel="0" collapsed="false"/>
    <row r="1046738" customFormat="false" ht="12.8" hidden="false" customHeight="true" outlineLevel="0" collapsed="false"/>
    <row r="1046739" customFormat="false" ht="12.8" hidden="false" customHeight="true" outlineLevel="0" collapsed="false"/>
    <row r="1046740" customFormat="false" ht="12.8" hidden="false" customHeight="true" outlineLevel="0" collapsed="false"/>
    <row r="1046741" customFormat="false" ht="12.8" hidden="false" customHeight="true" outlineLevel="0" collapsed="false"/>
    <row r="1046742" customFormat="false" ht="12.8" hidden="false" customHeight="true" outlineLevel="0" collapsed="false"/>
    <row r="1046743" customFormat="false" ht="12.8" hidden="false" customHeight="true" outlineLevel="0" collapsed="false"/>
    <row r="1046744" customFormat="false" ht="12.8" hidden="false" customHeight="true" outlineLevel="0" collapsed="false"/>
    <row r="1046745" customFormat="false" ht="12.8" hidden="false" customHeight="true" outlineLevel="0" collapsed="false"/>
    <row r="1046746" customFormat="false" ht="12.8" hidden="false" customHeight="true" outlineLevel="0" collapsed="false"/>
    <row r="1046747" customFormat="false" ht="12.8" hidden="false" customHeight="true" outlineLevel="0" collapsed="false"/>
    <row r="1046748" customFormat="false" ht="12.8" hidden="false" customHeight="true" outlineLevel="0" collapsed="false"/>
    <row r="1046749" customFormat="false" ht="12.8" hidden="false" customHeight="true" outlineLevel="0" collapsed="false"/>
    <row r="1046750" customFormat="false" ht="12.8" hidden="false" customHeight="true" outlineLevel="0" collapsed="false"/>
    <row r="1046751" customFormat="false" ht="12.8" hidden="false" customHeight="true" outlineLevel="0" collapsed="false"/>
    <row r="1046752" customFormat="false" ht="12.8" hidden="false" customHeight="true" outlineLevel="0" collapsed="false"/>
    <row r="1046753" customFormat="false" ht="12.8" hidden="false" customHeight="true" outlineLevel="0" collapsed="false"/>
    <row r="1046754" customFormat="false" ht="12.8" hidden="false" customHeight="true" outlineLevel="0" collapsed="false"/>
    <row r="1046755" customFormat="false" ht="12.8" hidden="false" customHeight="true" outlineLevel="0" collapsed="false"/>
    <row r="1046756" customFormat="false" ht="12.8" hidden="false" customHeight="true" outlineLevel="0" collapsed="false"/>
    <row r="1046757" customFormat="false" ht="12.8" hidden="false" customHeight="true" outlineLevel="0" collapsed="false"/>
    <row r="1046758" customFormat="false" ht="12.8" hidden="false" customHeight="true" outlineLevel="0" collapsed="false"/>
    <row r="1046759" customFormat="false" ht="12.8" hidden="false" customHeight="true" outlineLevel="0" collapsed="false"/>
    <row r="1046760" customFormat="false" ht="12.8" hidden="false" customHeight="true" outlineLevel="0" collapsed="false"/>
    <row r="1046761" customFormat="false" ht="12.8" hidden="false" customHeight="true" outlineLevel="0" collapsed="false"/>
    <row r="1046762" customFormat="false" ht="12.8" hidden="false" customHeight="true" outlineLevel="0" collapsed="false"/>
    <row r="1046763" customFormat="false" ht="12.8" hidden="false" customHeight="true" outlineLevel="0" collapsed="false"/>
    <row r="1046764" customFormat="false" ht="12.8" hidden="false" customHeight="true" outlineLevel="0" collapsed="false"/>
    <row r="1046765" customFormat="false" ht="12.8" hidden="false" customHeight="true" outlineLevel="0" collapsed="false"/>
    <row r="1046766" customFormat="false" ht="12.8" hidden="false" customHeight="true" outlineLevel="0" collapsed="false"/>
    <row r="1046767" customFormat="false" ht="12.8" hidden="false" customHeight="true" outlineLevel="0" collapsed="false"/>
    <row r="1046768" customFormat="false" ht="12.8" hidden="false" customHeight="true" outlineLevel="0" collapsed="false"/>
    <row r="1046769" customFormat="false" ht="12.8" hidden="false" customHeight="true" outlineLevel="0" collapsed="false"/>
    <row r="1046770" customFormat="false" ht="12.8" hidden="false" customHeight="true" outlineLevel="0" collapsed="false"/>
    <row r="1046771" customFormat="false" ht="12.8" hidden="false" customHeight="true" outlineLevel="0" collapsed="false"/>
    <row r="1046772" customFormat="false" ht="12.8" hidden="false" customHeight="true" outlineLevel="0" collapsed="false"/>
    <row r="1046773" customFormat="false" ht="12.8" hidden="false" customHeight="true" outlineLevel="0" collapsed="false"/>
    <row r="1046774" customFormat="false" ht="12.8" hidden="false" customHeight="true" outlineLevel="0" collapsed="false"/>
    <row r="1046775" customFormat="false" ht="12.8" hidden="false" customHeight="true" outlineLevel="0" collapsed="false"/>
    <row r="1046776" customFormat="false" ht="12.8" hidden="false" customHeight="true" outlineLevel="0" collapsed="false"/>
    <row r="1046777" customFormat="false" ht="12.8" hidden="false" customHeight="true" outlineLevel="0" collapsed="false"/>
    <row r="1046778" customFormat="false" ht="12.8" hidden="false" customHeight="true" outlineLevel="0" collapsed="false"/>
    <row r="1046779" customFormat="false" ht="12.8" hidden="false" customHeight="true" outlineLevel="0" collapsed="false"/>
    <row r="1046780" customFormat="false" ht="12.8" hidden="false" customHeight="true" outlineLevel="0" collapsed="false"/>
    <row r="1046781" customFormat="false" ht="12.8" hidden="false" customHeight="true" outlineLevel="0" collapsed="false"/>
    <row r="1046782" customFormat="false" ht="12.8" hidden="false" customHeight="true" outlineLevel="0" collapsed="false"/>
    <row r="1046783" customFormat="false" ht="12.8" hidden="false" customHeight="true" outlineLevel="0" collapsed="false"/>
    <row r="1046784" customFormat="false" ht="12.8" hidden="false" customHeight="true" outlineLevel="0" collapsed="false"/>
    <row r="1046785" customFormat="false" ht="12.8" hidden="false" customHeight="true" outlineLevel="0" collapsed="false"/>
    <row r="1046786" customFormat="false" ht="12.8" hidden="false" customHeight="true" outlineLevel="0" collapsed="false"/>
    <row r="1046787" customFormat="false" ht="12.8" hidden="false" customHeight="true" outlineLevel="0" collapsed="false"/>
    <row r="1046788" customFormat="false" ht="12.8" hidden="false" customHeight="true" outlineLevel="0" collapsed="false"/>
    <row r="1046789" customFormat="false" ht="12.8" hidden="false" customHeight="true" outlineLevel="0" collapsed="false"/>
    <row r="1046790" customFormat="false" ht="12.8" hidden="false" customHeight="true" outlineLevel="0" collapsed="false"/>
    <row r="1046791" customFormat="false" ht="12.8" hidden="false" customHeight="true" outlineLevel="0" collapsed="false"/>
    <row r="1046792" customFormat="false" ht="12.8" hidden="false" customHeight="true" outlineLevel="0" collapsed="false"/>
    <row r="1046793" customFormat="false" ht="12.8" hidden="false" customHeight="true" outlineLevel="0" collapsed="false"/>
    <row r="1046794" customFormat="false" ht="12.8" hidden="false" customHeight="true" outlineLevel="0" collapsed="false"/>
    <row r="1046795" customFormat="false" ht="12.8" hidden="false" customHeight="true" outlineLevel="0" collapsed="false"/>
    <row r="1046796" customFormat="false" ht="12.8" hidden="false" customHeight="true" outlineLevel="0" collapsed="false"/>
    <row r="1046797" customFormat="false" ht="12.8" hidden="false" customHeight="true" outlineLevel="0" collapsed="false"/>
    <row r="1046798" customFormat="false" ht="12.8" hidden="false" customHeight="true" outlineLevel="0" collapsed="false"/>
    <row r="1046799" customFormat="false" ht="12.8" hidden="false" customHeight="true" outlineLevel="0" collapsed="false"/>
    <row r="1046800" customFormat="false" ht="12.8" hidden="false" customHeight="true" outlineLevel="0" collapsed="false"/>
    <row r="1046801" customFormat="false" ht="12.8" hidden="false" customHeight="true" outlineLevel="0" collapsed="false"/>
    <row r="1046802" customFormat="false" ht="12.8" hidden="false" customHeight="true" outlineLevel="0" collapsed="false"/>
    <row r="1046803" customFormat="false" ht="12.8" hidden="false" customHeight="true" outlineLevel="0" collapsed="false"/>
    <row r="1046804" customFormat="false" ht="12.8" hidden="false" customHeight="true" outlineLevel="0" collapsed="false"/>
    <row r="1046805" customFormat="false" ht="12.8" hidden="false" customHeight="true" outlineLevel="0" collapsed="false"/>
    <row r="1046806" customFormat="false" ht="12.8" hidden="false" customHeight="true" outlineLevel="0" collapsed="false"/>
    <row r="1046807" customFormat="false" ht="12.8" hidden="false" customHeight="true" outlineLevel="0" collapsed="false"/>
    <row r="1046808" customFormat="false" ht="12.8" hidden="false" customHeight="true" outlineLevel="0" collapsed="false"/>
    <row r="1046809" customFormat="false" ht="12.8" hidden="false" customHeight="true" outlineLevel="0" collapsed="false"/>
    <row r="1046810" customFormat="false" ht="12.8" hidden="false" customHeight="true" outlineLevel="0" collapsed="false"/>
    <row r="1046811" customFormat="false" ht="12.8" hidden="false" customHeight="true" outlineLevel="0" collapsed="false"/>
    <row r="1046812" customFormat="false" ht="12.8" hidden="false" customHeight="true" outlineLevel="0" collapsed="false"/>
    <row r="1046813" customFormat="false" ht="12.8" hidden="false" customHeight="true" outlineLevel="0" collapsed="false"/>
    <row r="1046814" customFormat="false" ht="12.8" hidden="false" customHeight="true" outlineLevel="0" collapsed="false"/>
    <row r="1046815" customFormat="false" ht="12.8" hidden="false" customHeight="true" outlineLevel="0" collapsed="false"/>
    <row r="1046816" customFormat="false" ht="12.8" hidden="false" customHeight="true" outlineLevel="0" collapsed="false"/>
    <row r="1046817" customFormat="false" ht="12.8" hidden="false" customHeight="true" outlineLevel="0" collapsed="false"/>
    <row r="1046818" customFormat="false" ht="12.8" hidden="false" customHeight="true" outlineLevel="0" collapsed="false"/>
    <row r="1046819" customFormat="false" ht="12.8" hidden="false" customHeight="true" outlineLevel="0" collapsed="false"/>
    <row r="1046820" customFormat="false" ht="12.8" hidden="false" customHeight="true" outlineLevel="0" collapsed="false"/>
    <row r="1046821" customFormat="false" ht="12.8" hidden="false" customHeight="true" outlineLevel="0" collapsed="false"/>
    <row r="1046822" customFormat="false" ht="12.8" hidden="false" customHeight="true" outlineLevel="0" collapsed="false"/>
    <row r="1046823" customFormat="false" ht="12.8" hidden="false" customHeight="true" outlineLevel="0" collapsed="false"/>
    <row r="1046824" customFormat="false" ht="12.8" hidden="false" customHeight="true" outlineLevel="0" collapsed="false"/>
    <row r="1046825" customFormat="false" ht="12.8" hidden="false" customHeight="true" outlineLevel="0" collapsed="false"/>
    <row r="1046826" customFormat="false" ht="12.8" hidden="false" customHeight="true" outlineLevel="0" collapsed="false"/>
    <row r="1046827" customFormat="false" ht="12.8" hidden="false" customHeight="true" outlineLevel="0" collapsed="false"/>
    <row r="1046828" customFormat="false" ht="12.8" hidden="false" customHeight="true" outlineLevel="0" collapsed="false"/>
    <row r="1046829" customFormat="false" ht="12.8" hidden="false" customHeight="true" outlineLevel="0" collapsed="false"/>
    <row r="1046830" customFormat="false" ht="12.8" hidden="false" customHeight="true" outlineLevel="0" collapsed="false"/>
    <row r="1046831" customFormat="false" ht="12.8" hidden="false" customHeight="true" outlineLevel="0" collapsed="false"/>
    <row r="1046832" customFormat="false" ht="12.8" hidden="false" customHeight="true" outlineLevel="0" collapsed="false"/>
    <row r="1046833" customFormat="false" ht="12.8" hidden="false" customHeight="true" outlineLevel="0" collapsed="false"/>
    <row r="1046834" customFormat="false" ht="12.8" hidden="false" customHeight="true" outlineLevel="0" collapsed="false"/>
    <row r="1046835" customFormat="false" ht="12.8" hidden="false" customHeight="true" outlineLevel="0" collapsed="false"/>
    <row r="1046836" customFormat="false" ht="12.8" hidden="false" customHeight="true" outlineLevel="0" collapsed="false"/>
    <row r="1046837" customFormat="false" ht="12.8" hidden="false" customHeight="true" outlineLevel="0" collapsed="false"/>
    <row r="1046838" customFormat="false" ht="12.8" hidden="false" customHeight="true" outlineLevel="0" collapsed="false"/>
    <row r="1046839" customFormat="false" ht="12.8" hidden="false" customHeight="true" outlineLevel="0" collapsed="false"/>
    <row r="1046840" customFormat="false" ht="12.8" hidden="false" customHeight="true" outlineLevel="0" collapsed="false"/>
    <row r="1046841" customFormat="false" ht="12.8" hidden="false" customHeight="true" outlineLevel="0" collapsed="false"/>
    <row r="1046842" customFormat="false" ht="12.8" hidden="false" customHeight="true" outlineLevel="0" collapsed="false"/>
    <row r="1046843" customFormat="false" ht="12.8" hidden="false" customHeight="true" outlineLevel="0" collapsed="false"/>
    <row r="1046844" customFormat="false" ht="12.8" hidden="false" customHeight="true" outlineLevel="0" collapsed="false"/>
    <row r="1046845" customFormat="false" ht="12.8" hidden="false" customHeight="true" outlineLevel="0" collapsed="false"/>
    <row r="1046846" customFormat="false" ht="12.8" hidden="false" customHeight="true" outlineLevel="0" collapsed="false"/>
    <row r="1046847" customFormat="false" ht="12.8" hidden="false" customHeight="true" outlineLevel="0" collapsed="false"/>
    <row r="1046848" customFormat="false" ht="12.8" hidden="false" customHeight="true" outlineLevel="0" collapsed="false"/>
    <row r="1046849" customFormat="false" ht="12.8" hidden="false" customHeight="true" outlineLevel="0" collapsed="false"/>
    <row r="1046850" customFormat="false" ht="12.8" hidden="false" customHeight="true" outlineLevel="0" collapsed="false"/>
    <row r="1046851" customFormat="false" ht="12.8" hidden="false" customHeight="true" outlineLevel="0" collapsed="false"/>
    <row r="1046852" customFormat="false" ht="12.8" hidden="false" customHeight="true" outlineLevel="0" collapsed="false"/>
    <row r="1046853" customFormat="false" ht="12.8" hidden="false" customHeight="true" outlineLevel="0" collapsed="false"/>
    <row r="1046854" customFormat="false" ht="12.8" hidden="false" customHeight="true" outlineLevel="0" collapsed="false"/>
    <row r="1046855" customFormat="false" ht="12.8" hidden="false" customHeight="true" outlineLevel="0" collapsed="false"/>
    <row r="1046856" customFormat="false" ht="12.8" hidden="false" customHeight="true" outlineLevel="0" collapsed="false"/>
    <row r="1046857" customFormat="false" ht="12.8" hidden="false" customHeight="true" outlineLevel="0" collapsed="false"/>
    <row r="1046858" customFormat="false" ht="12.8" hidden="false" customHeight="true" outlineLevel="0" collapsed="false"/>
    <row r="1046859" customFormat="false" ht="12.8" hidden="false" customHeight="true" outlineLevel="0" collapsed="false"/>
    <row r="1046860" customFormat="false" ht="12.8" hidden="false" customHeight="true" outlineLevel="0" collapsed="false"/>
    <row r="1046861" customFormat="false" ht="12.8" hidden="false" customHeight="true" outlineLevel="0" collapsed="false"/>
    <row r="1046862" customFormat="false" ht="12.8" hidden="false" customHeight="true" outlineLevel="0" collapsed="false"/>
    <row r="1046863" customFormat="false" ht="12.8" hidden="false" customHeight="true" outlineLevel="0" collapsed="false"/>
    <row r="1046864" customFormat="false" ht="12.8" hidden="false" customHeight="true" outlineLevel="0" collapsed="false"/>
    <row r="1046865" customFormat="false" ht="12.8" hidden="false" customHeight="true" outlineLevel="0" collapsed="false"/>
    <row r="1046866" customFormat="false" ht="12.8" hidden="false" customHeight="true" outlineLevel="0" collapsed="false"/>
    <row r="1046867" customFormat="false" ht="12.8" hidden="false" customHeight="true" outlineLevel="0" collapsed="false"/>
    <row r="1046868" customFormat="false" ht="12.8" hidden="false" customHeight="true" outlineLevel="0" collapsed="false"/>
    <row r="1046869" customFormat="false" ht="12.8" hidden="false" customHeight="true" outlineLevel="0" collapsed="false"/>
    <row r="1046870" customFormat="false" ht="12.8" hidden="false" customHeight="true" outlineLevel="0" collapsed="false"/>
    <row r="1046871" customFormat="false" ht="12.8" hidden="false" customHeight="true" outlineLevel="0" collapsed="false"/>
    <row r="1046872" customFormat="false" ht="12.8" hidden="false" customHeight="true" outlineLevel="0" collapsed="false"/>
    <row r="1046873" customFormat="false" ht="12.8" hidden="false" customHeight="true" outlineLevel="0" collapsed="false"/>
    <row r="1046874" customFormat="false" ht="12.8" hidden="false" customHeight="true" outlineLevel="0" collapsed="false"/>
    <row r="1046875" customFormat="false" ht="12.8" hidden="false" customHeight="true" outlineLevel="0" collapsed="false"/>
    <row r="1046876" customFormat="false" ht="12.8" hidden="false" customHeight="true" outlineLevel="0" collapsed="false"/>
    <row r="1046877" customFormat="false" ht="12.8" hidden="false" customHeight="true" outlineLevel="0" collapsed="false"/>
    <row r="1046878" customFormat="false" ht="12.8" hidden="false" customHeight="true" outlineLevel="0" collapsed="false"/>
    <row r="1046879" customFormat="false" ht="12.8" hidden="false" customHeight="true" outlineLevel="0" collapsed="false"/>
    <row r="1046880" customFormat="false" ht="12.8" hidden="false" customHeight="true" outlineLevel="0" collapsed="false"/>
    <row r="1046881" customFormat="false" ht="12.8" hidden="false" customHeight="true" outlineLevel="0" collapsed="false"/>
    <row r="1046882" customFormat="false" ht="12.8" hidden="false" customHeight="true" outlineLevel="0" collapsed="false"/>
    <row r="1046883" customFormat="false" ht="12.8" hidden="false" customHeight="true" outlineLevel="0" collapsed="false"/>
    <row r="1046884" customFormat="false" ht="12.8" hidden="false" customHeight="true" outlineLevel="0" collapsed="false"/>
    <row r="1046885" customFormat="false" ht="12.8" hidden="false" customHeight="true" outlineLevel="0" collapsed="false"/>
    <row r="1046886" customFormat="false" ht="12.8" hidden="false" customHeight="true" outlineLevel="0" collapsed="false"/>
    <row r="1046887" customFormat="false" ht="12.8" hidden="false" customHeight="true" outlineLevel="0" collapsed="false"/>
    <row r="1046888" customFormat="false" ht="12.8" hidden="false" customHeight="true" outlineLevel="0" collapsed="false"/>
    <row r="1046889" customFormat="false" ht="12.8" hidden="false" customHeight="true" outlineLevel="0" collapsed="false"/>
    <row r="1046890" customFormat="false" ht="12.8" hidden="false" customHeight="true" outlineLevel="0" collapsed="false"/>
    <row r="1046891" customFormat="false" ht="12.8" hidden="false" customHeight="true" outlineLevel="0" collapsed="false"/>
    <row r="1046892" customFormat="false" ht="12.8" hidden="false" customHeight="true" outlineLevel="0" collapsed="false"/>
    <row r="1046893" customFormat="false" ht="12.8" hidden="false" customHeight="true" outlineLevel="0" collapsed="false"/>
    <row r="1046894" customFormat="false" ht="12.8" hidden="false" customHeight="true" outlineLevel="0" collapsed="false"/>
    <row r="1046895" customFormat="false" ht="12.8" hidden="false" customHeight="true" outlineLevel="0" collapsed="false"/>
    <row r="1046896" customFormat="false" ht="12.8" hidden="false" customHeight="true" outlineLevel="0" collapsed="false"/>
    <row r="1046897" customFormat="false" ht="12.8" hidden="false" customHeight="true" outlineLevel="0" collapsed="false"/>
    <row r="1046898" customFormat="false" ht="12.8" hidden="false" customHeight="true" outlineLevel="0" collapsed="false"/>
    <row r="1046899" customFormat="false" ht="12.8" hidden="false" customHeight="true" outlineLevel="0" collapsed="false"/>
    <row r="1046900" customFormat="false" ht="12.8" hidden="false" customHeight="true" outlineLevel="0" collapsed="false"/>
    <row r="1046901" customFormat="false" ht="12.8" hidden="false" customHeight="true" outlineLevel="0" collapsed="false"/>
    <row r="1046902" customFormat="false" ht="12.8" hidden="false" customHeight="true" outlineLevel="0" collapsed="false"/>
    <row r="1046903" customFormat="false" ht="12.8" hidden="false" customHeight="true" outlineLevel="0" collapsed="false"/>
    <row r="1046904" customFormat="false" ht="12.8" hidden="false" customHeight="true" outlineLevel="0" collapsed="false"/>
    <row r="1046905" customFormat="false" ht="12.8" hidden="false" customHeight="true" outlineLevel="0" collapsed="false"/>
    <row r="1046906" customFormat="false" ht="12.8" hidden="false" customHeight="true" outlineLevel="0" collapsed="false"/>
    <row r="1046907" customFormat="false" ht="12.8" hidden="false" customHeight="true" outlineLevel="0" collapsed="false"/>
    <row r="1046908" customFormat="false" ht="12.8" hidden="false" customHeight="true" outlineLevel="0" collapsed="false"/>
    <row r="1046909" customFormat="false" ht="12.8" hidden="false" customHeight="true" outlineLevel="0" collapsed="false"/>
    <row r="1046910" customFormat="false" ht="12.8" hidden="false" customHeight="true" outlineLevel="0" collapsed="false"/>
    <row r="1046911" customFormat="false" ht="12.8" hidden="false" customHeight="true" outlineLevel="0" collapsed="false"/>
    <row r="1046912" customFormat="false" ht="12.8" hidden="false" customHeight="true" outlineLevel="0" collapsed="false"/>
    <row r="1046913" customFormat="false" ht="12.8" hidden="false" customHeight="true" outlineLevel="0" collapsed="false"/>
    <row r="1046914" customFormat="false" ht="12.8" hidden="false" customHeight="true" outlineLevel="0" collapsed="false"/>
    <row r="1046915" customFormat="false" ht="12.8" hidden="false" customHeight="true" outlineLevel="0" collapsed="false"/>
    <row r="1046916" customFormat="false" ht="12.8" hidden="false" customHeight="true" outlineLevel="0" collapsed="false"/>
    <row r="1046917" customFormat="false" ht="12.8" hidden="false" customHeight="true" outlineLevel="0" collapsed="false"/>
    <row r="1046918" customFormat="false" ht="12.8" hidden="false" customHeight="true" outlineLevel="0" collapsed="false"/>
    <row r="1046919" customFormat="false" ht="12.8" hidden="false" customHeight="true" outlineLevel="0" collapsed="false"/>
    <row r="1046920" customFormat="false" ht="12.8" hidden="false" customHeight="true" outlineLevel="0" collapsed="false"/>
    <row r="1046921" customFormat="false" ht="12.8" hidden="false" customHeight="true" outlineLevel="0" collapsed="false"/>
    <row r="1046922" customFormat="false" ht="12.8" hidden="false" customHeight="true" outlineLevel="0" collapsed="false"/>
    <row r="1046923" customFormat="false" ht="12.8" hidden="false" customHeight="true" outlineLevel="0" collapsed="false"/>
    <row r="1046924" customFormat="false" ht="12.8" hidden="false" customHeight="true" outlineLevel="0" collapsed="false"/>
    <row r="1046925" customFormat="false" ht="12.8" hidden="false" customHeight="true" outlineLevel="0" collapsed="false"/>
    <row r="1046926" customFormat="false" ht="12.8" hidden="false" customHeight="true" outlineLevel="0" collapsed="false"/>
    <row r="1046927" customFormat="false" ht="12.8" hidden="false" customHeight="true" outlineLevel="0" collapsed="false"/>
    <row r="1046928" customFormat="false" ht="12.8" hidden="false" customHeight="true" outlineLevel="0" collapsed="false"/>
    <row r="1046929" customFormat="false" ht="12.8" hidden="false" customHeight="true" outlineLevel="0" collapsed="false"/>
    <row r="1046930" customFormat="false" ht="12.8" hidden="false" customHeight="true" outlineLevel="0" collapsed="false"/>
    <row r="1046931" customFormat="false" ht="12.8" hidden="false" customHeight="true" outlineLevel="0" collapsed="false"/>
    <row r="1046932" customFormat="false" ht="12.8" hidden="false" customHeight="true" outlineLevel="0" collapsed="false"/>
    <row r="1046933" customFormat="false" ht="12.8" hidden="false" customHeight="true" outlineLevel="0" collapsed="false"/>
    <row r="1046934" customFormat="false" ht="12.8" hidden="false" customHeight="true" outlineLevel="0" collapsed="false"/>
    <row r="1046935" customFormat="false" ht="12.8" hidden="false" customHeight="true" outlineLevel="0" collapsed="false"/>
    <row r="1046936" customFormat="false" ht="12.8" hidden="false" customHeight="true" outlineLevel="0" collapsed="false"/>
    <row r="1046937" customFormat="false" ht="12.8" hidden="false" customHeight="true" outlineLevel="0" collapsed="false"/>
    <row r="1046938" customFormat="false" ht="12.8" hidden="false" customHeight="true" outlineLevel="0" collapsed="false"/>
    <row r="1046939" customFormat="false" ht="12.8" hidden="false" customHeight="true" outlineLevel="0" collapsed="false"/>
    <row r="1046940" customFormat="false" ht="12.8" hidden="false" customHeight="true" outlineLevel="0" collapsed="false"/>
    <row r="1046941" customFormat="false" ht="12.8" hidden="false" customHeight="true" outlineLevel="0" collapsed="false"/>
    <row r="1046942" customFormat="false" ht="12.8" hidden="false" customHeight="true" outlineLevel="0" collapsed="false"/>
    <row r="1046943" customFormat="false" ht="12.8" hidden="false" customHeight="true" outlineLevel="0" collapsed="false"/>
    <row r="1046944" customFormat="false" ht="12.8" hidden="false" customHeight="true" outlineLevel="0" collapsed="false"/>
    <row r="1046945" customFormat="false" ht="12.8" hidden="false" customHeight="true" outlineLevel="0" collapsed="false"/>
    <row r="1046946" customFormat="false" ht="12.8" hidden="false" customHeight="true" outlineLevel="0" collapsed="false"/>
    <row r="1046947" customFormat="false" ht="12.8" hidden="false" customHeight="true" outlineLevel="0" collapsed="false"/>
    <row r="1046948" customFormat="false" ht="12.8" hidden="false" customHeight="true" outlineLevel="0" collapsed="false"/>
    <row r="1046949" customFormat="false" ht="12.8" hidden="false" customHeight="true" outlineLevel="0" collapsed="false"/>
    <row r="1046950" customFormat="false" ht="12.8" hidden="false" customHeight="true" outlineLevel="0" collapsed="false"/>
    <row r="1046951" customFormat="false" ht="12.8" hidden="false" customHeight="true" outlineLevel="0" collapsed="false"/>
    <row r="1046952" customFormat="false" ht="12.8" hidden="false" customHeight="true" outlineLevel="0" collapsed="false"/>
    <row r="1046953" customFormat="false" ht="12.8" hidden="false" customHeight="true" outlineLevel="0" collapsed="false"/>
    <row r="1046954" customFormat="false" ht="12.8" hidden="false" customHeight="true" outlineLevel="0" collapsed="false"/>
    <row r="1046955" customFormat="false" ht="12.8" hidden="false" customHeight="true" outlineLevel="0" collapsed="false"/>
    <row r="1046956" customFormat="false" ht="12.8" hidden="false" customHeight="true" outlineLevel="0" collapsed="false"/>
    <row r="1046957" customFormat="false" ht="12.8" hidden="false" customHeight="true" outlineLevel="0" collapsed="false"/>
    <row r="1046958" customFormat="false" ht="12.8" hidden="false" customHeight="true" outlineLevel="0" collapsed="false"/>
    <row r="1046959" customFormat="false" ht="12.8" hidden="false" customHeight="true" outlineLevel="0" collapsed="false"/>
    <row r="1046960" customFormat="false" ht="12.8" hidden="false" customHeight="true" outlineLevel="0" collapsed="false"/>
    <row r="1046961" customFormat="false" ht="12.8" hidden="false" customHeight="true" outlineLevel="0" collapsed="false"/>
    <row r="1046962" customFormat="false" ht="12.8" hidden="false" customHeight="true" outlineLevel="0" collapsed="false"/>
    <row r="1046963" customFormat="false" ht="12.8" hidden="false" customHeight="true" outlineLevel="0" collapsed="false"/>
    <row r="1046964" customFormat="false" ht="12.8" hidden="false" customHeight="true" outlineLevel="0" collapsed="false"/>
    <row r="1046965" customFormat="false" ht="12.8" hidden="false" customHeight="true" outlineLevel="0" collapsed="false"/>
    <row r="1046966" customFormat="false" ht="12.8" hidden="false" customHeight="true" outlineLevel="0" collapsed="false"/>
    <row r="1046967" customFormat="false" ht="12.8" hidden="false" customHeight="true" outlineLevel="0" collapsed="false"/>
    <row r="1046968" customFormat="false" ht="12.8" hidden="false" customHeight="true" outlineLevel="0" collapsed="false"/>
    <row r="1046969" customFormat="false" ht="12.8" hidden="false" customHeight="true" outlineLevel="0" collapsed="false"/>
    <row r="1046970" customFormat="false" ht="12.8" hidden="false" customHeight="true" outlineLevel="0" collapsed="false"/>
    <row r="1046971" customFormat="false" ht="12.8" hidden="false" customHeight="true" outlineLevel="0" collapsed="false"/>
    <row r="1046972" customFormat="false" ht="12.8" hidden="false" customHeight="true" outlineLevel="0" collapsed="false"/>
    <row r="1046973" customFormat="false" ht="12.8" hidden="false" customHeight="true" outlineLevel="0" collapsed="false"/>
    <row r="1046974" customFormat="false" ht="12.8" hidden="false" customHeight="true" outlineLevel="0" collapsed="false"/>
    <row r="1046975" customFormat="false" ht="12.8" hidden="false" customHeight="true" outlineLevel="0" collapsed="false"/>
    <row r="1046976" customFormat="false" ht="12.8" hidden="false" customHeight="true" outlineLevel="0" collapsed="false"/>
    <row r="1046977" customFormat="false" ht="12.8" hidden="false" customHeight="true" outlineLevel="0" collapsed="false"/>
    <row r="1046978" customFormat="false" ht="12.8" hidden="false" customHeight="true" outlineLevel="0" collapsed="false"/>
    <row r="1046979" customFormat="false" ht="12.8" hidden="false" customHeight="true" outlineLevel="0" collapsed="false"/>
    <row r="1046980" customFormat="false" ht="12.8" hidden="false" customHeight="true" outlineLevel="0" collapsed="false"/>
    <row r="1046981" customFormat="false" ht="12.8" hidden="false" customHeight="true" outlineLevel="0" collapsed="false"/>
    <row r="1046982" customFormat="false" ht="12.8" hidden="false" customHeight="true" outlineLevel="0" collapsed="false"/>
    <row r="1046983" customFormat="false" ht="12.8" hidden="false" customHeight="true" outlineLevel="0" collapsed="false"/>
    <row r="1046984" customFormat="false" ht="12.8" hidden="false" customHeight="true" outlineLevel="0" collapsed="false"/>
    <row r="1046985" customFormat="false" ht="12.8" hidden="false" customHeight="true" outlineLevel="0" collapsed="false"/>
    <row r="1046986" customFormat="false" ht="12.8" hidden="false" customHeight="true" outlineLevel="0" collapsed="false"/>
    <row r="1046987" customFormat="false" ht="12.8" hidden="false" customHeight="true" outlineLevel="0" collapsed="false"/>
    <row r="1046988" customFormat="false" ht="12.8" hidden="false" customHeight="true" outlineLevel="0" collapsed="false"/>
    <row r="1046989" customFormat="false" ht="12.8" hidden="false" customHeight="true" outlineLevel="0" collapsed="false"/>
    <row r="1046990" customFormat="false" ht="12.8" hidden="false" customHeight="true" outlineLevel="0" collapsed="false"/>
    <row r="1046991" customFormat="false" ht="12.8" hidden="false" customHeight="true" outlineLevel="0" collapsed="false"/>
    <row r="1046992" customFormat="false" ht="12.8" hidden="false" customHeight="true" outlineLevel="0" collapsed="false"/>
    <row r="1046993" customFormat="false" ht="12.8" hidden="false" customHeight="true" outlineLevel="0" collapsed="false"/>
    <row r="1046994" customFormat="false" ht="12.8" hidden="false" customHeight="true" outlineLevel="0" collapsed="false"/>
    <row r="1046995" customFormat="false" ht="12.8" hidden="false" customHeight="true" outlineLevel="0" collapsed="false"/>
    <row r="1046996" customFormat="false" ht="12.8" hidden="false" customHeight="true" outlineLevel="0" collapsed="false"/>
    <row r="1046997" customFormat="false" ht="12.8" hidden="false" customHeight="true" outlineLevel="0" collapsed="false"/>
    <row r="1046998" customFormat="false" ht="12.8" hidden="false" customHeight="true" outlineLevel="0" collapsed="false"/>
    <row r="1046999" customFormat="false" ht="12.8" hidden="false" customHeight="true" outlineLevel="0" collapsed="false"/>
    <row r="1047000" customFormat="false" ht="12.8" hidden="false" customHeight="true" outlineLevel="0" collapsed="false"/>
    <row r="1047001" customFormat="false" ht="12.8" hidden="false" customHeight="true" outlineLevel="0" collapsed="false"/>
    <row r="1047002" customFormat="false" ht="12.8" hidden="false" customHeight="true" outlineLevel="0" collapsed="false"/>
    <row r="1047003" customFormat="false" ht="12.8" hidden="false" customHeight="true" outlineLevel="0" collapsed="false"/>
    <row r="1047004" customFormat="false" ht="12.8" hidden="false" customHeight="true" outlineLevel="0" collapsed="false"/>
    <row r="1047005" customFormat="false" ht="12.8" hidden="false" customHeight="true" outlineLevel="0" collapsed="false"/>
    <row r="1047006" customFormat="false" ht="12.8" hidden="false" customHeight="true" outlineLevel="0" collapsed="false"/>
    <row r="1047007" customFormat="false" ht="12.8" hidden="false" customHeight="true" outlineLevel="0" collapsed="false"/>
    <row r="1047008" customFormat="false" ht="12.8" hidden="false" customHeight="true" outlineLevel="0" collapsed="false"/>
    <row r="1047009" customFormat="false" ht="12.8" hidden="false" customHeight="true" outlineLevel="0" collapsed="false"/>
    <row r="1047010" customFormat="false" ht="12.8" hidden="false" customHeight="true" outlineLevel="0" collapsed="false"/>
    <row r="1047011" customFormat="false" ht="12.8" hidden="false" customHeight="true" outlineLevel="0" collapsed="false"/>
    <row r="1047012" customFormat="false" ht="12.8" hidden="false" customHeight="true" outlineLevel="0" collapsed="false"/>
    <row r="1047013" customFormat="false" ht="12.8" hidden="false" customHeight="true" outlineLevel="0" collapsed="false"/>
    <row r="1047014" customFormat="false" ht="12.8" hidden="false" customHeight="true" outlineLevel="0" collapsed="false"/>
    <row r="1047015" customFormat="false" ht="12.8" hidden="false" customHeight="true" outlineLevel="0" collapsed="false"/>
    <row r="1047016" customFormat="false" ht="12.8" hidden="false" customHeight="true" outlineLevel="0" collapsed="false"/>
    <row r="1047017" customFormat="false" ht="12.8" hidden="false" customHeight="true" outlineLevel="0" collapsed="false"/>
    <row r="1047018" customFormat="false" ht="12.8" hidden="false" customHeight="true" outlineLevel="0" collapsed="false"/>
    <row r="1047019" customFormat="false" ht="12.8" hidden="false" customHeight="true" outlineLevel="0" collapsed="false"/>
    <row r="1047020" customFormat="false" ht="12.8" hidden="false" customHeight="true" outlineLevel="0" collapsed="false"/>
    <row r="1047021" customFormat="false" ht="12.8" hidden="false" customHeight="true" outlineLevel="0" collapsed="false"/>
    <row r="1047022" customFormat="false" ht="12.8" hidden="false" customHeight="true" outlineLevel="0" collapsed="false"/>
    <row r="1047023" customFormat="false" ht="12.8" hidden="false" customHeight="true" outlineLevel="0" collapsed="false"/>
    <row r="1047024" customFormat="false" ht="12.8" hidden="false" customHeight="true" outlineLevel="0" collapsed="false"/>
    <row r="1047025" customFormat="false" ht="12.8" hidden="false" customHeight="true" outlineLevel="0" collapsed="false"/>
    <row r="1047026" customFormat="false" ht="12.8" hidden="false" customHeight="true" outlineLevel="0" collapsed="false"/>
    <row r="1047027" customFormat="false" ht="12.8" hidden="false" customHeight="true" outlineLevel="0" collapsed="false"/>
    <row r="1047028" customFormat="false" ht="12.8" hidden="false" customHeight="true" outlineLevel="0" collapsed="false"/>
    <row r="1047029" customFormat="false" ht="12.8" hidden="false" customHeight="true" outlineLevel="0" collapsed="false"/>
    <row r="1047030" customFormat="false" ht="12.8" hidden="false" customHeight="true" outlineLevel="0" collapsed="false"/>
    <row r="1047031" customFormat="false" ht="12.8" hidden="false" customHeight="true" outlineLevel="0" collapsed="false"/>
    <row r="1047032" customFormat="false" ht="12.8" hidden="false" customHeight="true" outlineLevel="0" collapsed="false"/>
    <row r="1047033" customFormat="false" ht="12.8" hidden="false" customHeight="true" outlineLevel="0" collapsed="false"/>
    <row r="1047034" customFormat="false" ht="12.8" hidden="false" customHeight="true" outlineLevel="0" collapsed="false"/>
    <row r="1047035" customFormat="false" ht="12.8" hidden="false" customHeight="true" outlineLevel="0" collapsed="false"/>
    <row r="1047036" customFormat="false" ht="12.8" hidden="false" customHeight="true" outlineLevel="0" collapsed="false"/>
    <row r="1047037" customFormat="false" ht="12.8" hidden="false" customHeight="true" outlineLevel="0" collapsed="false"/>
    <row r="1047038" customFormat="false" ht="12.8" hidden="false" customHeight="true" outlineLevel="0" collapsed="false"/>
    <row r="1047039" customFormat="false" ht="12.8" hidden="false" customHeight="true" outlineLevel="0" collapsed="false"/>
    <row r="1047040" customFormat="false" ht="12.8" hidden="false" customHeight="true" outlineLevel="0" collapsed="false"/>
    <row r="1047041" customFormat="false" ht="12.8" hidden="false" customHeight="true" outlineLevel="0" collapsed="false"/>
    <row r="1047042" customFormat="false" ht="12.8" hidden="false" customHeight="true" outlineLevel="0" collapsed="false"/>
    <row r="1047043" customFormat="false" ht="12.8" hidden="false" customHeight="true" outlineLevel="0" collapsed="false"/>
    <row r="1047044" customFormat="false" ht="12.8" hidden="false" customHeight="true" outlineLevel="0" collapsed="false"/>
    <row r="1047045" customFormat="false" ht="12.8" hidden="false" customHeight="true" outlineLevel="0" collapsed="false"/>
    <row r="1047046" customFormat="false" ht="12.8" hidden="false" customHeight="true" outlineLevel="0" collapsed="false"/>
    <row r="1047047" customFormat="false" ht="12.8" hidden="false" customHeight="true" outlineLevel="0" collapsed="false"/>
    <row r="1047048" customFormat="false" ht="12.8" hidden="false" customHeight="true" outlineLevel="0" collapsed="false"/>
    <row r="1047049" customFormat="false" ht="12.8" hidden="false" customHeight="true" outlineLevel="0" collapsed="false"/>
    <row r="1047050" customFormat="false" ht="12.8" hidden="false" customHeight="true" outlineLevel="0" collapsed="false"/>
    <row r="1047051" customFormat="false" ht="12.8" hidden="false" customHeight="true" outlineLevel="0" collapsed="false"/>
    <row r="1047052" customFormat="false" ht="12.8" hidden="false" customHeight="true" outlineLevel="0" collapsed="false"/>
    <row r="1047053" customFormat="false" ht="12.8" hidden="false" customHeight="true" outlineLevel="0" collapsed="false"/>
    <row r="1047054" customFormat="false" ht="12.8" hidden="false" customHeight="true" outlineLevel="0" collapsed="false"/>
    <row r="1047055" customFormat="false" ht="12.8" hidden="false" customHeight="true" outlineLevel="0" collapsed="false"/>
    <row r="1047056" customFormat="false" ht="12.8" hidden="false" customHeight="true" outlineLevel="0" collapsed="false"/>
    <row r="1047057" customFormat="false" ht="12.8" hidden="false" customHeight="true" outlineLevel="0" collapsed="false"/>
    <row r="1047058" customFormat="false" ht="12.8" hidden="false" customHeight="true" outlineLevel="0" collapsed="false"/>
    <row r="1047059" customFormat="false" ht="12.8" hidden="false" customHeight="true" outlineLevel="0" collapsed="false"/>
    <row r="1047060" customFormat="false" ht="12.8" hidden="false" customHeight="true" outlineLevel="0" collapsed="false"/>
    <row r="1047061" customFormat="false" ht="12.8" hidden="false" customHeight="true" outlineLevel="0" collapsed="false"/>
    <row r="1047062" customFormat="false" ht="12.8" hidden="false" customHeight="true" outlineLevel="0" collapsed="false"/>
    <row r="1047063" customFormat="false" ht="12.8" hidden="false" customHeight="true" outlineLevel="0" collapsed="false"/>
    <row r="1047064" customFormat="false" ht="12.8" hidden="false" customHeight="true" outlineLevel="0" collapsed="false"/>
    <row r="1047065" customFormat="false" ht="12.8" hidden="false" customHeight="true" outlineLevel="0" collapsed="false"/>
    <row r="1047066" customFormat="false" ht="12.8" hidden="false" customHeight="true" outlineLevel="0" collapsed="false"/>
    <row r="1047067" customFormat="false" ht="12.8" hidden="false" customHeight="true" outlineLevel="0" collapsed="false"/>
    <row r="1047068" customFormat="false" ht="12.8" hidden="false" customHeight="true" outlineLevel="0" collapsed="false"/>
    <row r="1047069" customFormat="false" ht="12.8" hidden="false" customHeight="true" outlineLevel="0" collapsed="false"/>
    <row r="1047070" customFormat="false" ht="12.8" hidden="false" customHeight="true" outlineLevel="0" collapsed="false"/>
    <row r="1047071" customFormat="false" ht="12.8" hidden="false" customHeight="true" outlineLevel="0" collapsed="false"/>
    <row r="1047072" customFormat="false" ht="12.8" hidden="false" customHeight="true" outlineLevel="0" collapsed="false"/>
    <row r="1047073" customFormat="false" ht="12.8" hidden="false" customHeight="true" outlineLevel="0" collapsed="false"/>
    <row r="1047074" customFormat="false" ht="12.8" hidden="false" customHeight="true" outlineLevel="0" collapsed="false"/>
    <row r="1047075" customFormat="false" ht="12.8" hidden="false" customHeight="true" outlineLevel="0" collapsed="false"/>
    <row r="1047076" customFormat="false" ht="12.8" hidden="false" customHeight="true" outlineLevel="0" collapsed="false"/>
    <row r="1047077" customFormat="false" ht="12.8" hidden="false" customHeight="true" outlineLevel="0" collapsed="false"/>
    <row r="1047078" customFormat="false" ht="12.8" hidden="false" customHeight="true" outlineLevel="0" collapsed="false"/>
    <row r="1047079" customFormat="false" ht="12.8" hidden="false" customHeight="true" outlineLevel="0" collapsed="false"/>
    <row r="1047080" customFormat="false" ht="12.8" hidden="false" customHeight="true" outlineLevel="0" collapsed="false"/>
    <row r="1047081" customFormat="false" ht="12.8" hidden="false" customHeight="true" outlineLevel="0" collapsed="false"/>
    <row r="1047082" customFormat="false" ht="12.8" hidden="false" customHeight="true" outlineLevel="0" collapsed="false"/>
    <row r="1047083" customFormat="false" ht="12.8" hidden="false" customHeight="true" outlineLevel="0" collapsed="false"/>
    <row r="1047084" customFormat="false" ht="12.8" hidden="false" customHeight="true" outlineLevel="0" collapsed="false"/>
    <row r="1047085" customFormat="false" ht="12.8" hidden="false" customHeight="true" outlineLevel="0" collapsed="false"/>
    <row r="1047086" customFormat="false" ht="12.8" hidden="false" customHeight="true" outlineLevel="0" collapsed="false"/>
    <row r="1047087" customFormat="false" ht="12.8" hidden="false" customHeight="true" outlineLevel="0" collapsed="false"/>
    <row r="1047088" customFormat="false" ht="12.8" hidden="false" customHeight="true" outlineLevel="0" collapsed="false"/>
    <row r="1047089" customFormat="false" ht="12.8" hidden="false" customHeight="true" outlineLevel="0" collapsed="false"/>
    <row r="1047090" customFormat="false" ht="12.8" hidden="false" customHeight="true" outlineLevel="0" collapsed="false"/>
    <row r="1047091" customFormat="false" ht="12.8" hidden="false" customHeight="true" outlineLevel="0" collapsed="false"/>
    <row r="1047092" customFormat="false" ht="12.8" hidden="false" customHeight="true" outlineLevel="0" collapsed="false"/>
    <row r="1047093" customFormat="false" ht="12.8" hidden="false" customHeight="true" outlineLevel="0" collapsed="false"/>
    <row r="1047094" customFormat="false" ht="12.8" hidden="false" customHeight="true" outlineLevel="0" collapsed="false"/>
    <row r="1047095" customFormat="false" ht="12.8" hidden="false" customHeight="true" outlineLevel="0" collapsed="false"/>
    <row r="1047096" customFormat="false" ht="12.8" hidden="false" customHeight="true" outlineLevel="0" collapsed="false"/>
    <row r="1047097" customFormat="false" ht="12.8" hidden="false" customHeight="true" outlineLevel="0" collapsed="false"/>
    <row r="1047098" customFormat="false" ht="12.8" hidden="false" customHeight="true" outlineLevel="0" collapsed="false"/>
    <row r="1047099" customFormat="false" ht="12.8" hidden="false" customHeight="true" outlineLevel="0" collapsed="false"/>
    <row r="1047100" customFormat="false" ht="12.8" hidden="false" customHeight="true" outlineLevel="0" collapsed="false"/>
    <row r="1047101" customFormat="false" ht="12.8" hidden="false" customHeight="true" outlineLevel="0" collapsed="false"/>
    <row r="1047102" customFormat="false" ht="12.8" hidden="false" customHeight="true" outlineLevel="0" collapsed="false"/>
    <row r="1047103" customFormat="false" ht="12.8" hidden="false" customHeight="true" outlineLevel="0" collapsed="false"/>
    <row r="1047104" customFormat="false" ht="12.8" hidden="false" customHeight="true" outlineLevel="0" collapsed="false"/>
    <row r="1047105" customFormat="false" ht="12.8" hidden="false" customHeight="true" outlineLevel="0" collapsed="false"/>
    <row r="1047106" customFormat="false" ht="12.8" hidden="false" customHeight="true" outlineLevel="0" collapsed="false"/>
    <row r="1047107" customFormat="false" ht="12.8" hidden="false" customHeight="true" outlineLevel="0" collapsed="false"/>
    <row r="1047108" customFormat="false" ht="12.8" hidden="false" customHeight="true" outlineLevel="0" collapsed="false"/>
    <row r="1047109" customFormat="false" ht="12.8" hidden="false" customHeight="true" outlineLevel="0" collapsed="false"/>
    <row r="1047110" customFormat="false" ht="12.8" hidden="false" customHeight="true" outlineLevel="0" collapsed="false"/>
    <row r="1047111" customFormat="false" ht="12.8" hidden="false" customHeight="true" outlineLevel="0" collapsed="false"/>
    <row r="1047112" customFormat="false" ht="12.8" hidden="false" customHeight="true" outlineLevel="0" collapsed="false"/>
    <row r="1047113" customFormat="false" ht="12.8" hidden="false" customHeight="true" outlineLevel="0" collapsed="false"/>
    <row r="1047114" customFormat="false" ht="12.8" hidden="false" customHeight="true" outlineLevel="0" collapsed="false"/>
    <row r="1047115" customFormat="false" ht="12.8" hidden="false" customHeight="true" outlineLevel="0" collapsed="false"/>
    <row r="1047116" customFormat="false" ht="12.8" hidden="false" customHeight="true" outlineLevel="0" collapsed="false"/>
    <row r="1047117" customFormat="false" ht="12.8" hidden="false" customHeight="true" outlineLevel="0" collapsed="false"/>
    <row r="1047118" customFormat="false" ht="12.8" hidden="false" customHeight="true" outlineLevel="0" collapsed="false"/>
    <row r="1047119" customFormat="false" ht="12.8" hidden="false" customHeight="true" outlineLevel="0" collapsed="false"/>
    <row r="1047120" customFormat="false" ht="12.8" hidden="false" customHeight="true" outlineLevel="0" collapsed="false"/>
    <row r="1047121" customFormat="false" ht="12.8" hidden="false" customHeight="true" outlineLevel="0" collapsed="false"/>
    <row r="1047122" customFormat="false" ht="12.8" hidden="false" customHeight="true" outlineLevel="0" collapsed="false"/>
    <row r="1047123" customFormat="false" ht="12.8" hidden="false" customHeight="true" outlineLevel="0" collapsed="false"/>
    <row r="1047124" customFormat="false" ht="12.8" hidden="false" customHeight="true" outlineLevel="0" collapsed="false"/>
    <row r="1047125" customFormat="false" ht="12.8" hidden="false" customHeight="true" outlineLevel="0" collapsed="false"/>
    <row r="1047126" customFormat="false" ht="12.8" hidden="false" customHeight="true" outlineLevel="0" collapsed="false"/>
    <row r="1047127" customFormat="false" ht="12.8" hidden="false" customHeight="true" outlineLevel="0" collapsed="false"/>
    <row r="1047128" customFormat="false" ht="12.8" hidden="false" customHeight="true" outlineLevel="0" collapsed="false"/>
    <row r="1047129" customFormat="false" ht="12.8" hidden="false" customHeight="true" outlineLevel="0" collapsed="false"/>
    <row r="1047130" customFormat="false" ht="12.8" hidden="false" customHeight="true" outlineLevel="0" collapsed="false"/>
    <row r="1047131" customFormat="false" ht="12.8" hidden="false" customHeight="true" outlineLevel="0" collapsed="false"/>
    <row r="1047132" customFormat="false" ht="12.8" hidden="false" customHeight="true" outlineLevel="0" collapsed="false"/>
    <row r="1047133" customFormat="false" ht="12.8" hidden="false" customHeight="true" outlineLevel="0" collapsed="false"/>
    <row r="1047134" customFormat="false" ht="12.8" hidden="false" customHeight="true" outlineLevel="0" collapsed="false"/>
    <row r="1047135" customFormat="false" ht="12.8" hidden="false" customHeight="true" outlineLevel="0" collapsed="false"/>
    <row r="1047136" customFormat="false" ht="12.8" hidden="false" customHeight="true" outlineLevel="0" collapsed="false"/>
    <row r="1047137" customFormat="false" ht="12.8" hidden="false" customHeight="true" outlineLevel="0" collapsed="false"/>
    <row r="1047138" customFormat="false" ht="12.8" hidden="false" customHeight="true" outlineLevel="0" collapsed="false"/>
    <row r="1047139" customFormat="false" ht="12.8" hidden="false" customHeight="true" outlineLevel="0" collapsed="false"/>
    <row r="1047140" customFormat="false" ht="12.8" hidden="false" customHeight="true" outlineLevel="0" collapsed="false"/>
    <row r="1047141" customFormat="false" ht="12.8" hidden="false" customHeight="true" outlineLevel="0" collapsed="false"/>
    <row r="1047142" customFormat="false" ht="12.8" hidden="false" customHeight="true" outlineLevel="0" collapsed="false"/>
    <row r="1047143" customFormat="false" ht="12.8" hidden="false" customHeight="true" outlineLevel="0" collapsed="false"/>
    <row r="1047144" customFormat="false" ht="12.8" hidden="false" customHeight="true" outlineLevel="0" collapsed="false"/>
    <row r="1047145" customFormat="false" ht="12.8" hidden="false" customHeight="true" outlineLevel="0" collapsed="false"/>
    <row r="1047146" customFormat="false" ht="12.8" hidden="false" customHeight="true" outlineLevel="0" collapsed="false"/>
    <row r="1047147" customFormat="false" ht="12.8" hidden="false" customHeight="true" outlineLevel="0" collapsed="false"/>
    <row r="1047148" customFormat="false" ht="12.8" hidden="false" customHeight="true" outlineLevel="0" collapsed="false"/>
    <row r="1047149" customFormat="false" ht="12.8" hidden="false" customHeight="true" outlineLevel="0" collapsed="false"/>
    <row r="1047150" customFormat="false" ht="12.8" hidden="false" customHeight="true" outlineLevel="0" collapsed="false"/>
    <row r="1047151" customFormat="false" ht="12.8" hidden="false" customHeight="true" outlineLevel="0" collapsed="false"/>
    <row r="1047152" customFormat="false" ht="12.8" hidden="false" customHeight="true" outlineLevel="0" collapsed="false"/>
    <row r="1047153" customFormat="false" ht="12.8" hidden="false" customHeight="true" outlineLevel="0" collapsed="false"/>
    <row r="1047154" customFormat="false" ht="12.8" hidden="false" customHeight="true" outlineLevel="0" collapsed="false"/>
    <row r="1047155" customFormat="false" ht="12.8" hidden="false" customHeight="true" outlineLevel="0" collapsed="false"/>
    <row r="1047156" customFormat="false" ht="12.8" hidden="false" customHeight="true" outlineLevel="0" collapsed="false"/>
    <row r="1047157" customFormat="false" ht="12.8" hidden="false" customHeight="true" outlineLevel="0" collapsed="false"/>
    <row r="1047158" customFormat="false" ht="12.8" hidden="false" customHeight="true" outlineLevel="0" collapsed="false"/>
    <row r="1047159" customFormat="false" ht="12.8" hidden="false" customHeight="true" outlineLevel="0" collapsed="false"/>
    <row r="1047160" customFormat="false" ht="12.8" hidden="false" customHeight="true" outlineLevel="0" collapsed="false"/>
    <row r="1047161" customFormat="false" ht="12.8" hidden="false" customHeight="true" outlineLevel="0" collapsed="false"/>
    <row r="1047162" customFormat="false" ht="12.8" hidden="false" customHeight="true" outlineLevel="0" collapsed="false"/>
    <row r="1047163" customFormat="false" ht="12.8" hidden="false" customHeight="true" outlineLevel="0" collapsed="false"/>
    <row r="1047164" customFormat="false" ht="12.8" hidden="false" customHeight="true" outlineLevel="0" collapsed="false"/>
    <row r="1047165" customFormat="false" ht="12.8" hidden="false" customHeight="true" outlineLevel="0" collapsed="false"/>
    <row r="1047166" customFormat="false" ht="12.8" hidden="false" customHeight="true" outlineLevel="0" collapsed="false"/>
    <row r="1047167" customFormat="false" ht="12.8" hidden="false" customHeight="true" outlineLevel="0" collapsed="false"/>
    <row r="1047168" customFormat="false" ht="12.8" hidden="false" customHeight="true" outlineLevel="0" collapsed="false"/>
    <row r="1047169" customFormat="false" ht="12.8" hidden="false" customHeight="true" outlineLevel="0" collapsed="false"/>
    <row r="1047170" customFormat="false" ht="12.8" hidden="false" customHeight="true" outlineLevel="0" collapsed="false"/>
    <row r="1047171" customFormat="false" ht="12.8" hidden="false" customHeight="true" outlineLevel="0" collapsed="false"/>
    <row r="1047172" customFormat="false" ht="12.8" hidden="false" customHeight="true" outlineLevel="0" collapsed="false"/>
    <row r="1047173" customFormat="false" ht="12.8" hidden="false" customHeight="true" outlineLevel="0" collapsed="false"/>
    <row r="1047174" customFormat="false" ht="12.8" hidden="false" customHeight="true" outlineLevel="0" collapsed="false"/>
    <row r="1047175" customFormat="false" ht="12.8" hidden="false" customHeight="true" outlineLevel="0" collapsed="false"/>
    <row r="1047176" customFormat="false" ht="12.8" hidden="false" customHeight="true" outlineLevel="0" collapsed="false"/>
    <row r="1047177" customFormat="false" ht="12.8" hidden="false" customHeight="true" outlineLevel="0" collapsed="false"/>
    <row r="1047178" customFormat="false" ht="12.8" hidden="false" customHeight="true" outlineLevel="0" collapsed="false"/>
    <row r="1047179" customFormat="false" ht="12.8" hidden="false" customHeight="true" outlineLevel="0" collapsed="false"/>
    <row r="1047180" customFormat="false" ht="12.8" hidden="false" customHeight="true" outlineLevel="0" collapsed="false"/>
    <row r="1047181" customFormat="false" ht="12.8" hidden="false" customHeight="true" outlineLevel="0" collapsed="false"/>
    <row r="1047182" customFormat="false" ht="12.8" hidden="false" customHeight="true" outlineLevel="0" collapsed="false"/>
    <row r="1047183" customFormat="false" ht="12.8" hidden="false" customHeight="true" outlineLevel="0" collapsed="false"/>
    <row r="1047184" customFormat="false" ht="12.8" hidden="false" customHeight="true" outlineLevel="0" collapsed="false"/>
    <row r="1047185" customFormat="false" ht="12.8" hidden="false" customHeight="true" outlineLevel="0" collapsed="false"/>
    <row r="1047186" customFormat="false" ht="12.8" hidden="false" customHeight="true" outlineLevel="0" collapsed="false"/>
    <row r="1047187" customFormat="false" ht="12.8" hidden="false" customHeight="true" outlineLevel="0" collapsed="false"/>
    <row r="1047188" customFormat="false" ht="12.8" hidden="false" customHeight="true" outlineLevel="0" collapsed="false"/>
    <row r="1047189" customFormat="false" ht="12.8" hidden="false" customHeight="true" outlineLevel="0" collapsed="false"/>
    <row r="1047190" customFormat="false" ht="12.8" hidden="false" customHeight="true" outlineLevel="0" collapsed="false"/>
    <row r="1047191" customFormat="false" ht="12.8" hidden="false" customHeight="true" outlineLevel="0" collapsed="false"/>
    <row r="1047192" customFormat="false" ht="12.8" hidden="false" customHeight="true" outlineLevel="0" collapsed="false"/>
    <row r="1047193" customFormat="false" ht="12.8" hidden="false" customHeight="true" outlineLevel="0" collapsed="false"/>
    <row r="1047194" customFormat="false" ht="12.8" hidden="false" customHeight="true" outlineLevel="0" collapsed="false"/>
    <row r="1047195" customFormat="false" ht="12.8" hidden="false" customHeight="true" outlineLevel="0" collapsed="false"/>
    <row r="1047196" customFormat="false" ht="12.8" hidden="false" customHeight="true" outlineLevel="0" collapsed="false"/>
    <row r="1047197" customFormat="false" ht="12.8" hidden="false" customHeight="true" outlineLevel="0" collapsed="false"/>
    <row r="1047198" customFormat="false" ht="12.8" hidden="false" customHeight="true" outlineLevel="0" collapsed="false"/>
    <row r="1047199" customFormat="false" ht="12.8" hidden="false" customHeight="true" outlineLevel="0" collapsed="false"/>
    <row r="1047200" customFormat="false" ht="12.8" hidden="false" customHeight="true" outlineLevel="0" collapsed="false"/>
    <row r="1047201" customFormat="false" ht="12.8" hidden="false" customHeight="true" outlineLevel="0" collapsed="false"/>
    <row r="1047202" customFormat="false" ht="12.8" hidden="false" customHeight="true" outlineLevel="0" collapsed="false"/>
    <row r="1047203" customFormat="false" ht="12.8" hidden="false" customHeight="true" outlineLevel="0" collapsed="false"/>
    <row r="1047204" customFormat="false" ht="12.8" hidden="false" customHeight="true" outlineLevel="0" collapsed="false"/>
    <row r="1047205" customFormat="false" ht="12.8" hidden="false" customHeight="true" outlineLevel="0" collapsed="false"/>
    <row r="1047206" customFormat="false" ht="12.8" hidden="false" customHeight="true" outlineLevel="0" collapsed="false"/>
    <row r="1047207" customFormat="false" ht="12.8" hidden="false" customHeight="true" outlineLevel="0" collapsed="false"/>
    <row r="1047208" customFormat="false" ht="12.8" hidden="false" customHeight="true" outlineLevel="0" collapsed="false"/>
    <row r="1047209" customFormat="false" ht="12.8" hidden="false" customHeight="true" outlineLevel="0" collapsed="false"/>
    <row r="1047210" customFormat="false" ht="12.8" hidden="false" customHeight="true" outlineLevel="0" collapsed="false"/>
    <row r="1047211" customFormat="false" ht="12.8" hidden="false" customHeight="true" outlineLevel="0" collapsed="false"/>
    <row r="1047212" customFormat="false" ht="12.8" hidden="false" customHeight="true" outlineLevel="0" collapsed="false"/>
    <row r="1047213" customFormat="false" ht="12.8" hidden="false" customHeight="true" outlineLevel="0" collapsed="false"/>
    <row r="1047214" customFormat="false" ht="12.8" hidden="false" customHeight="true" outlineLevel="0" collapsed="false"/>
    <row r="1047215" customFormat="false" ht="12.8" hidden="false" customHeight="true" outlineLevel="0" collapsed="false"/>
    <row r="1047216" customFormat="false" ht="12.8" hidden="false" customHeight="true" outlineLevel="0" collapsed="false"/>
    <row r="1047217" customFormat="false" ht="12.8" hidden="false" customHeight="true" outlineLevel="0" collapsed="false"/>
    <row r="1047218" customFormat="false" ht="12.8" hidden="false" customHeight="true" outlineLevel="0" collapsed="false"/>
    <row r="1047219" customFormat="false" ht="12.8" hidden="false" customHeight="true" outlineLevel="0" collapsed="false"/>
    <row r="1047220" customFormat="false" ht="12.8" hidden="false" customHeight="true" outlineLevel="0" collapsed="false"/>
    <row r="1047221" customFormat="false" ht="12.8" hidden="false" customHeight="true" outlineLevel="0" collapsed="false"/>
    <row r="1047222" customFormat="false" ht="12.8" hidden="false" customHeight="true" outlineLevel="0" collapsed="false"/>
    <row r="1047223" customFormat="false" ht="12.8" hidden="false" customHeight="true" outlineLevel="0" collapsed="false"/>
    <row r="1047224" customFormat="false" ht="12.8" hidden="false" customHeight="true" outlineLevel="0" collapsed="false"/>
    <row r="1047225" customFormat="false" ht="12.8" hidden="false" customHeight="true" outlineLevel="0" collapsed="false"/>
    <row r="1047226" customFormat="false" ht="12.8" hidden="false" customHeight="true" outlineLevel="0" collapsed="false"/>
    <row r="1047227" customFormat="false" ht="12.8" hidden="false" customHeight="true" outlineLevel="0" collapsed="false"/>
    <row r="1047228" customFormat="false" ht="12.8" hidden="false" customHeight="true" outlineLevel="0" collapsed="false"/>
    <row r="1047229" customFormat="false" ht="12.8" hidden="false" customHeight="true" outlineLevel="0" collapsed="false"/>
    <row r="1047230" customFormat="false" ht="12.8" hidden="false" customHeight="true" outlineLevel="0" collapsed="false"/>
    <row r="1047231" customFormat="false" ht="12.8" hidden="false" customHeight="true" outlineLevel="0" collapsed="false"/>
    <row r="1047232" customFormat="false" ht="12.8" hidden="false" customHeight="true" outlineLevel="0" collapsed="false"/>
    <row r="1047233" customFormat="false" ht="12.8" hidden="false" customHeight="true" outlineLevel="0" collapsed="false"/>
    <row r="1047234" customFormat="false" ht="12.8" hidden="false" customHeight="true" outlineLevel="0" collapsed="false"/>
    <row r="1047235" customFormat="false" ht="12.8" hidden="false" customHeight="true" outlineLevel="0" collapsed="false"/>
    <row r="1047236" customFormat="false" ht="12.8" hidden="false" customHeight="true" outlineLevel="0" collapsed="false"/>
    <row r="1047237" customFormat="false" ht="12.8" hidden="false" customHeight="true" outlineLevel="0" collapsed="false"/>
    <row r="1047238" customFormat="false" ht="12.8" hidden="false" customHeight="true" outlineLevel="0" collapsed="false"/>
    <row r="1047239" customFormat="false" ht="12.8" hidden="false" customHeight="true" outlineLevel="0" collapsed="false"/>
    <row r="1047240" customFormat="false" ht="12.8" hidden="false" customHeight="true" outlineLevel="0" collapsed="false"/>
    <row r="1047241" customFormat="false" ht="12.8" hidden="false" customHeight="true" outlineLevel="0" collapsed="false"/>
    <row r="1047242" customFormat="false" ht="12.8" hidden="false" customHeight="true" outlineLevel="0" collapsed="false"/>
    <row r="1047243" customFormat="false" ht="12.8" hidden="false" customHeight="true" outlineLevel="0" collapsed="false"/>
    <row r="1047244" customFormat="false" ht="12.8" hidden="false" customHeight="true" outlineLevel="0" collapsed="false"/>
    <row r="1047245" customFormat="false" ht="12.8" hidden="false" customHeight="true" outlineLevel="0" collapsed="false"/>
    <row r="1047246" customFormat="false" ht="12.8" hidden="false" customHeight="true" outlineLevel="0" collapsed="false"/>
    <row r="1047247" customFormat="false" ht="12.8" hidden="false" customHeight="true" outlineLevel="0" collapsed="false"/>
    <row r="1047248" customFormat="false" ht="12.8" hidden="false" customHeight="true" outlineLevel="0" collapsed="false"/>
    <row r="1047249" customFormat="false" ht="12.8" hidden="false" customHeight="true" outlineLevel="0" collapsed="false"/>
    <row r="1047250" customFormat="false" ht="12.8" hidden="false" customHeight="true" outlineLevel="0" collapsed="false"/>
    <row r="1047251" customFormat="false" ht="12.8" hidden="false" customHeight="true" outlineLevel="0" collapsed="false"/>
    <row r="1047252" customFormat="false" ht="12.8" hidden="false" customHeight="true" outlineLevel="0" collapsed="false"/>
    <row r="1047253" customFormat="false" ht="12.8" hidden="false" customHeight="true" outlineLevel="0" collapsed="false"/>
    <row r="1047254" customFormat="false" ht="12.8" hidden="false" customHeight="true" outlineLevel="0" collapsed="false"/>
    <row r="1047255" customFormat="false" ht="12.8" hidden="false" customHeight="true" outlineLevel="0" collapsed="false"/>
    <row r="1047256" customFormat="false" ht="12.8" hidden="false" customHeight="true" outlineLevel="0" collapsed="false"/>
    <row r="1047257" customFormat="false" ht="12.8" hidden="false" customHeight="true" outlineLevel="0" collapsed="false"/>
    <row r="1047258" customFormat="false" ht="12.8" hidden="false" customHeight="true" outlineLevel="0" collapsed="false"/>
    <row r="1047259" customFormat="false" ht="12.8" hidden="false" customHeight="true" outlineLevel="0" collapsed="false"/>
    <row r="1047260" customFormat="false" ht="12.8" hidden="false" customHeight="true" outlineLevel="0" collapsed="false"/>
    <row r="1047261" customFormat="false" ht="12.8" hidden="false" customHeight="true" outlineLevel="0" collapsed="false"/>
    <row r="1047262" customFormat="false" ht="12.8" hidden="false" customHeight="true" outlineLevel="0" collapsed="false"/>
    <row r="1047263" customFormat="false" ht="12.8" hidden="false" customHeight="true" outlineLevel="0" collapsed="false"/>
    <row r="1047264" customFormat="false" ht="12.8" hidden="false" customHeight="true" outlineLevel="0" collapsed="false"/>
    <row r="1047265" customFormat="false" ht="12.8" hidden="false" customHeight="true" outlineLevel="0" collapsed="false"/>
    <row r="1047266" customFormat="false" ht="12.8" hidden="false" customHeight="true" outlineLevel="0" collapsed="false"/>
    <row r="1047267" customFormat="false" ht="12.8" hidden="false" customHeight="true" outlineLevel="0" collapsed="false"/>
    <row r="1047268" customFormat="false" ht="12.8" hidden="false" customHeight="true" outlineLevel="0" collapsed="false"/>
    <row r="1047269" customFormat="false" ht="12.8" hidden="false" customHeight="true" outlineLevel="0" collapsed="false"/>
    <row r="1047270" customFormat="false" ht="12.8" hidden="false" customHeight="true" outlineLevel="0" collapsed="false"/>
    <row r="1047271" customFormat="false" ht="12.8" hidden="false" customHeight="true" outlineLevel="0" collapsed="false"/>
    <row r="1047272" customFormat="false" ht="12.8" hidden="false" customHeight="true" outlineLevel="0" collapsed="false"/>
    <row r="1047273" customFormat="false" ht="12.8" hidden="false" customHeight="true" outlineLevel="0" collapsed="false"/>
    <row r="1047274" customFormat="false" ht="12.8" hidden="false" customHeight="true" outlineLevel="0" collapsed="false"/>
    <row r="1047275" customFormat="false" ht="12.8" hidden="false" customHeight="true" outlineLevel="0" collapsed="false"/>
    <row r="1047276" customFormat="false" ht="12.8" hidden="false" customHeight="true" outlineLevel="0" collapsed="false"/>
    <row r="1047277" customFormat="false" ht="12.8" hidden="false" customHeight="true" outlineLevel="0" collapsed="false"/>
    <row r="1047278" customFormat="false" ht="12.8" hidden="false" customHeight="true" outlineLevel="0" collapsed="false"/>
    <row r="1047279" customFormat="false" ht="12.8" hidden="false" customHeight="true" outlineLevel="0" collapsed="false"/>
    <row r="1047280" customFormat="false" ht="12.8" hidden="false" customHeight="true" outlineLevel="0" collapsed="false"/>
    <row r="1047281" customFormat="false" ht="12.8" hidden="false" customHeight="true" outlineLevel="0" collapsed="false"/>
    <row r="1047282" customFormat="false" ht="12.8" hidden="false" customHeight="true" outlineLevel="0" collapsed="false"/>
    <row r="1047283" customFormat="false" ht="12.8" hidden="false" customHeight="true" outlineLevel="0" collapsed="false"/>
    <row r="1047284" customFormat="false" ht="12.8" hidden="false" customHeight="true" outlineLevel="0" collapsed="false"/>
    <row r="1047285" customFormat="false" ht="12.8" hidden="false" customHeight="true" outlineLevel="0" collapsed="false"/>
    <row r="1047286" customFormat="false" ht="12.8" hidden="false" customHeight="true" outlineLevel="0" collapsed="false"/>
    <row r="1047287" customFormat="false" ht="12.8" hidden="false" customHeight="true" outlineLevel="0" collapsed="false"/>
    <row r="1047288" customFormat="false" ht="12.8" hidden="false" customHeight="true" outlineLevel="0" collapsed="false"/>
    <row r="1047289" customFormat="false" ht="12.8" hidden="false" customHeight="true" outlineLevel="0" collapsed="false"/>
    <row r="1047290" customFormat="false" ht="12.8" hidden="false" customHeight="true" outlineLevel="0" collapsed="false"/>
    <row r="1047291" customFormat="false" ht="12.8" hidden="false" customHeight="true" outlineLevel="0" collapsed="false"/>
    <row r="1047292" customFormat="false" ht="12.8" hidden="false" customHeight="true" outlineLevel="0" collapsed="false"/>
    <row r="1047293" customFormat="false" ht="12.8" hidden="false" customHeight="true" outlineLevel="0" collapsed="false"/>
    <row r="1047294" customFormat="false" ht="12.8" hidden="false" customHeight="true" outlineLevel="0" collapsed="false"/>
    <row r="1047295" customFormat="false" ht="12.8" hidden="false" customHeight="true" outlineLevel="0" collapsed="false"/>
    <row r="1047296" customFormat="false" ht="12.8" hidden="false" customHeight="true" outlineLevel="0" collapsed="false"/>
    <row r="1047297" customFormat="false" ht="12.8" hidden="false" customHeight="true" outlineLevel="0" collapsed="false"/>
    <row r="1047298" customFormat="false" ht="12.8" hidden="false" customHeight="true" outlineLevel="0" collapsed="false"/>
    <row r="1047299" customFormat="false" ht="12.8" hidden="false" customHeight="true" outlineLevel="0" collapsed="false"/>
    <row r="1047300" customFormat="false" ht="12.8" hidden="false" customHeight="true" outlineLevel="0" collapsed="false"/>
    <row r="1047301" customFormat="false" ht="12.8" hidden="false" customHeight="true" outlineLevel="0" collapsed="false"/>
    <row r="1047302" customFormat="false" ht="12.8" hidden="false" customHeight="true" outlineLevel="0" collapsed="false"/>
    <row r="1047303" customFormat="false" ht="12.8" hidden="false" customHeight="true" outlineLevel="0" collapsed="false"/>
    <row r="1047304" customFormat="false" ht="12.8" hidden="false" customHeight="true" outlineLevel="0" collapsed="false"/>
    <row r="1047305" customFormat="false" ht="12.8" hidden="false" customHeight="true" outlineLevel="0" collapsed="false"/>
    <row r="1047306" customFormat="false" ht="12.8" hidden="false" customHeight="true" outlineLevel="0" collapsed="false"/>
    <row r="1047307" customFormat="false" ht="12.8" hidden="false" customHeight="true" outlineLevel="0" collapsed="false"/>
    <row r="1047308" customFormat="false" ht="12.8" hidden="false" customHeight="true" outlineLevel="0" collapsed="false"/>
    <row r="1047309" customFormat="false" ht="12.8" hidden="false" customHeight="true" outlineLevel="0" collapsed="false"/>
    <row r="1047310" customFormat="false" ht="12.8" hidden="false" customHeight="true" outlineLevel="0" collapsed="false"/>
    <row r="1047311" customFormat="false" ht="12.8" hidden="false" customHeight="true" outlineLevel="0" collapsed="false"/>
    <row r="1047312" customFormat="false" ht="12.8" hidden="false" customHeight="true" outlineLevel="0" collapsed="false"/>
    <row r="1047313" customFormat="false" ht="12.8" hidden="false" customHeight="true" outlineLevel="0" collapsed="false"/>
    <row r="1047314" customFormat="false" ht="12.8" hidden="false" customHeight="true" outlineLevel="0" collapsed="false"/>
    <row r="1047315" customFormat="false" ht="12.8" hidden="false" customHeight="true" outlineLevel="0" collapsed="false"/>
    <row r="1047316" customFormat="false" ht="12.8" hidden="false" customHeight="true" outlineLevel="0" collapsed="false"/>
    <row r="1047317" customFormat="false" ht="12.8" hidden="false" customHeight="true" outlineLevel="0" collapsed="false"/>
    <row r="1047318" customFormat="false" ht="12.8" hidden="false" customHeight="true" outlineLevel="0" collapsed="false"/>
    <row r="1047319" customFormat="false" ht="12.8" hidden="false" customHeight="true" outlineLevel="0" collapsed="false"/>
    <row r="1047320" customFormat="false" ht="12.8" hidden="false" customHeight="true" outlineLevel="0" collapsed="false"/>
    <row r="1047321" customFormat="false" ht="12.8" hidden="false" customHeight="true" outlineLevel="0" collapsed="false"/>
    <row r="1047322" customFormat="false" ht="12.8" hidden="false" customHeight="true" outlineLevel="0" collapsed="false"/>
    <row r="1047323" customFormat="false" ht="12.8" hidden="false" customHeight="true" outlineLevel="0" collapsed="false"/>
    <row r="1047324" customFormat="false" ht="12.8" hidden="false" customHeight="true" outlineLevel="0" collapsed="false"/>
    <row r="1047325" customFormat="false" ht="12.8" hidden="false" customHeight="true" outlineLevel="0" collapsed="false"/>
    <row r="1047326" customFormat="false" ht="12.8" hidden="false" customHeight="true" outlineLevel="0" collapsed="false"/>
    <row r="1047327" customFormat="false" ht="12.8" hidden="false" customHeight="true" outlineLevel="0" collapsed="false"/>
    <row r="1047328" customFormat="false" ht="12.8" hidden="false" customHeight="true" outlineLevel="0" collapsed="false"/>
    <row r="1047329" customFormat="false" ht="12.8" hidden="false" customHeight="true" outlineLevel="0" collapsed="false"/>
    <row r="1047330" customFormat="false" ht="12.8" hidden="false" customHeight="true" outlineLevel="0" collapsed="false"/>
    <row r="1047331" customFormat="false" ht="12.8" hidden="false" customHeight="true" outlineLevel="0" collapsed="false"/>
    <row r="1047332" customFormat="false" ht="12.8" hidden="false" customHeight="true" outlineLevel="0" collapsed="false"/>
    <row r="1047333" customFormat="false" ht="12.8" hidden="false" customHeight="true" outlineLevel="0" collapsed="false"/>
    <row r="1047334" customFormat="false" ht="12.8" hidden="false" customHeight="true" outlineLevel="0" collapsed="false"/>
    <row r="1047335" customFormat="false" ht="12.8" hidden="false" customHeight="true" outlineLevel="0" collapsed="false"/>
    <row r="1047336" customFormat="false" ht="12.8" hidden="false" customHeight="true" outlineLevel="0" collapsed="false"/>
    <row r="1047337" customFormat="false" ht="12.8" hidden="false" customHeight="true" outlineLevel="0" collapsed="false"/>
    <row r="1047338" customFormat="false" ht="12.8" hidden="false" customHeight="true" outlineLevel="0" collapsed="false"/>
    <row r="1047339" customFormat="false" ht="12.8" hidden="false" customHeight="true" outlineLevel="0" collapsed="false"/>
    <row r="1047340" customFormat="false" ht="12.8" hidden="false" customHeight="true" outlineLevel="0" collapsed="false"/>
    <row r="1047341" customFormat="false" ht="12.8" hidden="false" customHeight="true" outlineLevel="0" collapsed="false"/>
    <row r="1047342" customFormat="false" ht="12.8" hidden="false" customHeight="true" outlineLevel="0" collapsed="false"/>
    <row r="1047343" customFormat="false" ht="12.8" hidden="false" customHeight="true" outlineLevel="0" collapsed="false"/>
    <row r="1047344" customFormat="false" ht="12.8" hidden="false" customHeight="true" outlineLevel="0" collapsed="false"/>
    <row r="1047345" customFormat="false" ht="12.8" hidden="false" customHeight="true" outlineLevel="0" collapsed="false"/>
    <row r="1047346" customFormat="false" ht="12.8" hidden="false" customHeight="true" outlineLevel="0" collapsed="false"/>
    <row r="1047347" customFormat="false" ht="12.8" hidden="false" customHeight="true" outlineLevel="0" collapsed="false"/>
    <row r="1047348" customFormat="false" ht="12.8" hidden="false" customHeight="true" outlineLevel="0" collapsed="false"/>
    <row r="1047349" customFormat="false" ht="12.8" hidden="false" customHeight="true" outlineLevel="0" collapsed="false"/>
    <row r="1047350" customFormat="false" ht="12.8" hidden="false" customHeight="true" outlineLevel="0" collapsed="false"/>
    <row r="1047351" customFormat="false" ht="12.8" hidden="false" customHeight="true" outlineLevel="0" collapsed="false"/>
    <row r="1047352" customFormat="false" ht="12.8" hidden="false" customHeight="true" outlineLevel="0" collapsed="false"/>
    <row r="1047353" customFormat="false" ht="12.8" hidden="false" customHeight="true" outlineLevel="0" collapsed="false"/>
    <row r="1047354" customFormat="false" ht="12.8" hidden="false" customHeight="true" outlineLevel="0" collapsed="false"/>
    <row r="1047355" customFormat="false" ht="12.8" hidden="false" customHeight="true" outlineLevel="0" collapsed="false"/>
    <row r="1047356" customFormat="false" ht="12.8" hidden="false" customHeight="true" outlineLevel="0" collapsed="false"/>
    <row r="1047357" customFormat="false" ht="12.8" hidden="false" customHeight="true" outlineLevel="0" collapsed="false"/>
    <row r="1047358" customFormat="false" ht="12.8" hidden="false" customHeight="true" outlineLevel="0" collapsed="false"/>
    <row r="1047359" customFormat="false" ht="12.8" hidden="false" customHeight="true" outlineLevel="0" collapsed="false"/>
    <row r="1047360" customFormat="false" ht="12.8" hidden="false" customHeight="true" outlineLevel="0" collapsed="false"/>
    <row r="1047361" customFormat="false" ht="12.8" hidden="false" customHeight="true" outlineLevel="0" collapsed="false"/>
    <row r="1047362" customFormat="false" ht="12.8" hidden="false" customHeight="true" outlineLevel="0" collapsed="false"/>
    <row r="1047363" customFormat="false" ht="12.8" hidden="false" customHeight="true" outlineLevel="0" collapsed="false"/>
    <row r="1047364" customFormat="false" ht="12.8" hidden="false" customHeight="true" outlineLevel="0" collapsed="false"/>
    <row r="1047365" customFormat="false" ht="12.8" hidden="false" customHeight="true" outlineLevel="0" collapsed="false"/>
    <row r="1047366" customFormat="false" ht="12.8" hidden="false" customHeight="true" outlineLevel="0" collapsed="false"/>
    <row r="1047367" customFormat="false" ht="12.8" hidden="false" customHeight="true" outlineLevel="0" collapsed="false"/>
    <row r="1047368" customFormat="false" ht="12.8" hidden="false" customHeight="true" outlineLevel="0" collapsed="false"/>
    <row r="1047369" customFormat="false" ht="12.8" hidden="false" customHeight="true" outlineLevel="0" collapsed="false"/>
    <row r="1047370" customFormat="false" ht="12.8" hidden="false" customHeight="true" outlineLevel="0" collapsed="false"/>
    <row r="1047371" customFormat="false" ht="12.8" hidden="false" customHeight="true" outlineLevel="0" collapsed="false"/>
    <row r="1047372" customFormat="false" ht="12.8" hidden="false" customHeight="true" outlineLevel="0" collapsed="false"/>
    <row r="1047373" customFormat="false" ht="12.8" hidden="false" customHeight="true" outlineLevel="0" collapsed="false"/>
    <row r="1047374" customFormat="false" ht="12.8" hidden="false" customHeight="true" outlineLevel="0" collapsed="false"/>
    <row r="1047375" customFormat="false" ht="12.8" hidden="false" customHeight="true" outlineLevel="0" collapsed="false"/>
    <row r="1047376" customFormat="false" ht="12.8" hidden="false" customHeight="true" outlineLevel="0" collapsed="false"/>
    <row r="1047377" customFormat="false" ht="12.8" hidden="false" customHeight="true" outlineLevel="0" collapsed="false"/>
    <row r="1047378" customFormat="false" ht="12.8" hidden="false" customHeight="true" outlineLevel="0" collapsed="false"/>
    <row r="1047379" customFormat="false" ht="12.8" hidden="false" customHeight="true" outlineLevel="0" collapsed="false"/>
    <row r="1047380" customFormat="false" ht="12.8" hidden="false" customHeight="true" outlineLevel="0" collapsed="false"/>
    <row r="1047381" customFormat="false" ht="12.8" hidden="false" customHeight="true" outlineLevel="0" collapsed="false"/>
    <row r="1047382" customFormat="false" ht="12.8" hidden="false" customHeight="true" outlineLevel="0" collapsed="false"/>
    <row r="1047383" customFormat="false" ht="12.8" hidden="false" customHeight="true" outlineLevel="0" collapsed="false"/>
    <row r="1047384" customFormat="false" ht="12.8" hidden="false" customHeight="true" outlineLevel="0" collapsed="false"/>
    <row r="1047385" customFormat="false" ht="12.8" hidden="false" customHeight="true" outlineLevel="0" collapsed="false"/>
    <row r="1047386" customFormat="false" ht="12.8" hidden="false" customHeight="true" outlineLevel="0" collapsed="false"/>
    <row r="1047387" customFormat="false" ht="12.8" hidden="false" customHeight="true" outlineLevel="0" collapsed="false"/>
    <row r="1047388" customFormat="false" ht="12.8" hidden="false" customHeight="true" outlineLevel="0" collapsed="false"/>
    <row r="1047389" customFormat="false" ht="12.8" hidden="false" customHeight="true" outlineLevel="0" collapsed="false"/>
    <row r="1047390" customFormat="false" ht="12.8" hidden="false" customHeight="true" outlineLevel="0" collapsed="false"/>
    <row r="1047391" customFormat="false" ht="12.8" hidden="false" customHeight="true" outlineLevel="0" collapsed="false"/>
    <row r="1047392" customFormat="false" ht="12.8" hidden="false" customHeight="true" outlineLevel="0" collapsed="false"/>
    <row r="1047393" customFormat="false" ht="12.8" hidden="false" customHeight="true" outlineLevel="0" collapsed="false"/>
    <row r="1047394" customFormat="false" ht="12.8" hidden="false" customHeight="true" outlineLevel="0" collapsed="false"/>
    <row r="1047395" customFormat="false" ht="12.8" hidden="false" customHeight="true" outlineLevel="0" collapsed="false"/>
    <row r="1047396" customFormat="false" ht="12.8" hidden="false" customHeight="true" outlineLevel="0" collapsed="false"/>
    <row r="1047397" customFormat="false" ht="12.8" hidden="false" customHeight="true" outlineLevel="0" collapsed="false"/>
    <row r="1047398" customFormat="false" ht="12.8" hidden="false" customHeight="true" outlineLevel="0" collapsed="false"/>
    <row r="1047399" customFormat="false" ht="12.8" hidden="false" customHeight="true" outlineLevel="0" collapsed="false"/>
    <row r="1047400" customFormat="false" ht="12.8" hidden="false" customHeight="true" outlineLevel="0" collapsed="false"/>
    <row r="1047401" customFormat="false" ht="12.8" hidden="false" customHeight="true" outlineLevel="0" collapsed="false"/>
    <row r="1047402" customFormat="false" ht="12.8" hidden="false" customHeight="true" outlineLevel="0" collapsed="false"/>
    <row r="1047403" customFormat="false" ht="12.8" hidden="false" customHeight="true" outlineLevel="0" collapsed="false"/>
    <row r="1047404" customFormat="false" ht="12.8" hidden="false" customHeight="true" outlineLevel="0" collapsed="false"/>
    <row r="1047405" customFormat="false" ht="12.8" hidden="false" customHeight="true" outlineLevel="0" collapsed="false"/>
    <row r="1047406" customFormat="false" ht="12.8" hidden="false" customHeight="true" outlineLevel="0" collapsed="false"/>
    <row r="1047407" customFormat="false" ht="12.8" hidden="false" customHeight="true" outlineLevel="0" collapsed="false"/>
    <row r="1047408" customFormat="false" ht="12.8" hidden="false" customHeight="true" outlineLevel="0" collapsed="false"/>
    <row r="1047409" customFormat="false" ht="12.8" hidden="false" customHeight="true" outlineLevel="0" collapsed="false"/>
    <row r="1047410" customFormat="false" ht="12.8" hidden="false" customHeight="true" outlineLevel="0" collapsed="false"/>
    <row r="1047411" customFormat="false" ht="12.8" hidden="false" customHeight="true" outlineLevel="0" collapsed="false"/>
    <row r="1047412" customFormat="false" ht="12.8" hidden="false" customHeight="true" outlineLevel="0" collapsed="false"/>
    <row r="1047413" customFormat="false" ht="12.8" hidden="false" customHeight="true" outlineLevel="0" collapsed="false"/>
    <row r="1047414" customFormat="false" ht="12.8" hidden="false" customHeight="true" outlineLevel="0" collapsed="false"/>
    <row r="1047415" customFormat="false" ht="12.8" hidden="false" customHeight="true" outlineLevel="0" collapsed="false"/>
    <row r="1047416" customFormat="false" ht="12.8" hidden="false" customHeight="true" outlineLevel="0" collapsed="false"/>
    <row r="1047417" customFormat="false" ht="12.8" hidden="false" customHeight="true" outlineLevel="0" collapsed="false"/>
    <row r="1047418" customFormat="false" ht="12.8" hidden="false" customHeight="true" outlineLevel="0" collapsed="false"/>
    <row r="1047419" customFormat="false" ht="12.8" hidden="false" customHeight="true" outlineLevel="0" collapsed="false"/>
    <row r="1047420" customFormat="false" ht="12.8" hidden="false" customHeight="true" outlineLevel="0" collapsed="false"/>
    <row r="1047421" customFormat="false" ht="12.8" hidden="false" customHeight="true" outlineLevel="0" collapsed="false"/>
    <row r="1047422" customFormat="false" ht="12.8" hidden="false" customHeight="true" outlineLevel="0" collapsed="false"/>
    <row r="1047423" customFormat="false" ht="12.8" hidden="false" customHeight="true" outlineLevel="0" collapsed="false"/>
    <row r="1047424" customFormat="false" ht="12.8" hidden="false" customHeight="true" outlineLevel="0" collapsed="false"/>
    <row r="1047425" customFormat="false" ht="12.8" hidden="false" customHeight="true" outlineLevel="0" collapsed="false"/>
    <row r="1047426" customFormat="false" ht="12.8" hidden="false" customHeight="true" outlineLevel="0" collapsed="false"/>
    <row r="1047427" customFormat="false" ht="12.8" hidden="false" customHeight="true" outlineLevel="0" collapsed="false"/>
    <row r="1047428" customFormat="false" ht="12.8" hidden="false" customHeight="true" outlineLevel="0" collapsed="false"/>
    <row r="1047429" customFormat="false" ht="12.8" hidden="false" customHeight="true" outlineLevel="0" collapsed="false"/>
    <row r="1047430" customFormat="false" ht="12.8" hidden="false" customHeight="true" outlineLevel="0" collapsed="false"/>
    <row r="1047431" customFormat="false" ht="12.8" hidden="false" customHeight="true" outlineLevel="0" collapsed="false"/>
    <row r="1047432" customFormat="false" ht="12.8" hidden="false" customHeight="true" outlineLevel="0" collapsed="false"/>
    <row r="1047433" customFormat="false" ht="12.8" hidden="false" customHeight="true" outlineLevel="0" collapsed="false"/>
    <row r="1047434" customFormat="false" ht="12.8" hidden="false" customHeight="true" outlineLevel="0" collapsed="false"/>
    <row r="1047435" customFormat="false" ht="12.8" hidden="false" customHeight="true" outlineLevel="0" collapsed="false"/>
    <row r="1047436" customFormat="false" ht="12.8" hidden="false" customHeight="true" outlineLevel="0" collapsed="false"/>
    <row r="1047437" customFormat="false" ht="12.8" hidden="false" customHeight="true" outlineLevel="0" collapsed="false"/>
    <row r="1047438" customFormat="false" ht="12.8" hidden="false" customHeight="true" outlineLevel="0" collapsed="false"/>
    <row r="1047439" customFormat="false" ht="12.8" hidden="false" customHeight="true" outlineLevel="0" collapsed="false"/>
    <row r="1047440" customFormat="false" ht="12.8" hidden="false" customHeight="true" outlineLevel="0" collapsed="false"/>
    <row r="1047441" customFormat="false" ht="12.8" hidden="false" customHeight="true" outlineLevel="0" collapsed="false"/>
    <row r="1047442" customFormat="false" ht="12.8" hidden="false" customHeight="true" outlineLevel="0" collapsed="false"/>
    <row r="1047443" customFormat="false" ht="12.8" hidden="false" customHeight="true" outlineLevel="0" collapsed="false"/>
    <row r="1047444" customFormat="false" ht="12.8" hidden="false" customHeight="true" outlineLevel="0" collapsed="false"/>
    <row r="1047445" customFormat="false" ht="12.8" hidden="false" customHeight="true" outlineLevel="0" collapsed="false"/>
    <row r="1047446" customFormat="false" ht="12.8" hidden="false" customHeight="true" outlineLevel="0" collapsed="false"/>
    <row r="1047447" customFormat="false" ht="12.8" hidden="false" customHeight="true" outlineLevel="0" collapsed="false"/>
    <row r="1047448" customFormat="false" ht="12.8" hidden="false" customHeight="true" outlineLevel="0" collapsed="false"/>
    <row r="1047449" customFormat="false" ht="12.8" hidden="false" customHeight="true" outlineLevel="0" collapsed="false"/>
    <row r="1047450" customFormat="false" ht="12.8" hidden="false" customHeight="true" outlineLevel="0" collapsed="false"/>
    <row r="1047451" customFormat="false" ht="12.8" hidden="false" customHeight="true" outlineLevel="0" collapsed="false"/>
    <row r="1047452" customFormat="false" ht="12.8" hidden="false" customHeight="true" outlineLevel="0" collapsed="false"/>
    <row r="1047453" customFormat="false" ht="12.8" hidden="false" customHeight="true" outlineLevel="0" collapsed="false"/>
    <row r="1047454" customFormat="false" ht="12.8" hidden="false" customHeight="true" outlineLevel="0" collapsed="false"/>
    <row r="1047455" customFormat="false" ht="12.8" hidden="false" customHeight="true" outlineLevel="0" collapsed="false"/>
    <row r="1047456" customFormat="false" ht="12.8" hidden="false" customHeight="true" outlineLevel="0" collapsed="false"/>
    <row r="1047457" customFormat="false" ht="12.8" hidden="false" customHeight="true" outlineLevel="0" collapsed="false"/>
    <row r="1047458" customFormat="false" ht="12.8" hidden="false" customHeight="true" outlineLevel="0" collapsed="false"/>
    <row r="1047459" customFormat="false" ht="12.8" hidden="false" customHeight="true" outlineLevel="0" collapsed="false"/>
    <row r="1047460" customFormat="false" ht="12.8" hidden="false" customHeight="true" outlineLevel="0" collapsed="false"/>
    <row r="1047461" customFormat="false" ht="12.8" hidden="false" customHeight="true" outlineLevel="0" collapsed="false"/>
    <row r="1047462" customFormat="false" ht="12.8" hidden="false" customHeight="true" outlineLevel="0" collapsed="false"/>
    <row r="1047463" customFormat="false" ht="12.8" hidden="false" customHeight="true" outlineLevel="0" collapsed="false"/>
    <row r="1047464" customFormat="false" ht="12.8" hidden="false" customHeight="true" outlineLevel="0" collapsed="false"/>
    <row r="1047465" customFormat="false" ht="12.8" hidden="false" customHeight="true" outlineLevel="0" collapsed="false"/>
    <row r="1047466" customFormat="false" ht="12.8" hidden="false" customHeight="true" outlineLevel="0" collapsed="false"/>
    <row r="1047467" customFormat="false" ht="12.8" hidden="false" customHeight="true" outlineLevel="0" collapsed="false"/>
    <row r="1047468" customFormat="false" ht="12.8" hidden="false" customHeight="true" outlineLevel="0" collapsed="false"/>
    <row r="1047469" customFormat="false" ht="12.8" hidden="false" customHeight="true" outlineLevel="0" collapsed="false"/>
    <row r="1047470" customFormat="false" ht="12.8" hidden="false" customHeight="true" outlineLevel="0" collapsed="false"/>
    <row r="1047471" customFormat="false" ht="12.8" hidden="false" customHeight="true" outlineLevel="0" collapsed="false"/>
    <row r="1047472" customFormat="false" ht="12.8" hidden="false" customHeight="true" outlineLevel="0" collapsed="false"/>
    <row r="1047473" customFormat="false" ht="12.8" hidden="false" customHeight="true" outlineLevel="0" collapsed="false"/>
    <row r="1047474" customFormat="false" ht="12.8" hidden="false" customHeight="true" outlineLevel="0" collapsed="false"/>
    <row r="1047475" customFormat="false" ht="12.8" hidden="false" customHeight="true" outlineLevel="0" collapsed="false"/>
    <row r="1047476" customFormat="false" ht="12.8" hidden="false" customHeight="true" outlineLevel="0" collapsed="false"/>
    <row r="1047477" customFormat="false" ht="12.8" hidden="false" customHeight="true" outlineLevel="0" collapsed="false"/>
    <row r="1047478" customFormat="false" ht="12.8" hidden="false" customHeight="true" outlineLevel="0" collapsed="false"/>
    <row r="1047479" customFormat="false" ht="12.8" hidden="false" customHeight="true" outlineLevel="0" collapsed="false"/>
    <row r="1047480" customFormat="false" ht="12.8" hidden="false" customHeight="true" outlineLevel="0" collapsed="false"/>
    <row r="1047481" customFormat="false" ht="12.8" hidden="false" customHeight="true" outlineLevel="0" collapsed="false"/>
    <row r="1047482" customFormat="false" ht="12.8" hidden="false" customHeight="true" outlineLevel="0" collapsed="false"/>
    <row r="1047483" customFormat="false" ht="12.8" hidden="false" customHeight="true" outlineLevel="0" collapsed="false"/>
    <row r="1047484" customFormat="false" ht="12.8" hidden="false" customHeight="true" outlineLevel="0" collapsed="false"/>
    <row r="1047485" customFormat="false" ht="12.8" hidden="false" customHeight="true" outlineLevel="0" collapsed="false"/>
    <row r="1047486" customFormat="false" ht="12.8" hidden="false" customHeight="true" outlineLevel="0" collapsed="false"/>
    <row r="1047487" customFormat="false" ht="12.8" hidden="false" customHeight="true" outlineLevel="0" collapsed="false"/>
    <row r="1047488" customFormat="false" ht="12.8" hidden="false" customHeight="true" outlineLevel="0" collapsed="false"/>
    <row r="1047489" customFormat="false" ht="12.8" hidden="false" customHeight="true" outlineLevel="0" collapsed="false"/>
    <row r="1047490" customFormat="false" ht="12.8" hidden="false" customHeight="true" outlineLevel="0" collapsed="false"/>
    <row r="1047491" customFormat="false" ht="12.8" hidden="false" customHeight="true" outlineLevel="0" collapsed="false"/>
    <row r="1047492" customFormat="false" ht="12.8" hidden="false" customHeight="true" outlineLevel="0" collapsed="false"/>
    <row r="1047493" customFormat="false" ht="12.8" hidden="false" customHeight="true" outlineLevel="0" collapsed="false"/>
    <row r="1047494" customFormat="false" ht="12.8" hidden="false" customHeight="true" outlineLevel="0" collapsed="false"/>
    <row r="1047495" customFormat="false" ht="12.8" hidden="false" customHeight="true" outlineLevel="0" collapsed="false"/>
    <row r="1047496" customFormat="false" ht="12.8" hidden="false" customHeight="true" outlineLevel="0" collapsed="false"/>
    <row r="1047497" customFormat="false" ht="12.8" hidden="false" customHeight="true" outlineLevel="0" collapsed="false"/>
    <row r="1047498" customFormat="false" ht="12.8" hidden="false" customHeight="true" outlineLevel="0" collapsed="false"/>
    <row r="1047499" customFormat="false" ht="12.8" hidden="false" customHeight="true" outlineLevel="0" collapsed="false"/>
    <row r="1047500" customFormat="false" ht="12.8" hidden="false" customHeight="true" outlineLevel="0" collapsed="false"/>
    <row r="1047501" customFormat="false" ht="12.8" hidden="false" customHeight="true" outlineLevel="0" collapsed="false"/>
    <row r="1047502" customFormat="false" ht="12.8" hidden="false" customHeight="true" outlineLevel="0" collapsed="false"/>
    <row r="1047503" customFormat="false" ht="12.8" hidden="false" customHeight="true" outlineLevel="0" collapsed="false"/>
    <row r="1047504" customFormat="false" ht="12.8" hidden="false" customHeight="true" outlineLevel="0" collapsed="false"/>
    <row r="1047505" customFormat="false" ht="12.8" hidden="false" customHeight="true" outlineLevel="0" collapsed="false"/>
    <row r="1047506" customFormat="false" ht="12.8" hidden="false" customHeight="true" outlineLevel="0" collapsed="false"/>
    <row r="1047507" customFormat="false" ht="12.8" hidden="false" customHeight="true" outlineLevel="0" collapsed="false"/>
    <row r="1047508" customFormat="false" ht="12.8" hidden="false" customHeight="true" outlineLevel="0" collapsed="false"/>
    <row r="1047509" customFormat="false" ht="12.8" hidden="false" customHeight="true" outlineLevel="0" collapsed="false"/>
    <row r="1047510" customFormat="false" ht="12.8" hidden="false" customHeight="true" outlineLevel="0" collapsed="false"/>
    <row r="1047511" customFormat="false" ht="12.8" hidden="false" customHeight="true" outlineLevel="0" collapsed="false"/>
    <row r="1047512" customFormat="false" ht="12.8" hidden="false" customHeight="true" outlineLevel="0" collapsed="false"/>
    <row r="1047513" customFormat="false" ht="12.8" hidden="false" customHeight="true" outlineLevel="0" collapsed="false"/>
    <row r="1047514" customFormat="false" ht="12.8" hidden="false" customHeight="true" outlineLevel="0" collapsed="false"/>
    <row r="1047515" customFormat="false" ht="12.8" hidden="false" customHeight="true" outlineLevel="0" collapsed="false"/>
    <row r="1047516" customFormat="false" ht="12.8" hidden="false" customHeight="true" outlineLevel="0" collapsed="false"/>
    <row r="1047517" customFormat="false" ht="12.8" hidden="false" customHeight="true" outlineLevel="0" collapsed="false"/>
    <row r="1047518" customFormat="false" ht="12.8" hidden="false" customHeight="true" outlineLevel="0" collapsed="false"/>
    <row r="1047519" customFormat="false" ht="12.8" hidden="false" customHeight="true" outlineLevel="0" collapsed="false"/>
    <row r="1047520" customFormat="false" ht="12.8" hidden="false" customHeight="true" outlineLevel="0" collapsed="false"/>
    <row r="1047521" customFormat="false" ht="12.8" hidden="false" customHeight="true" outlineLevel="0" collapsed="false"/>
    <row r="1047522" customFormat="false" ht="12.8" hidden="false" customHeight="true" outlineLevel="0" collapsed="false"/>
    <row r="1047523" customFormat="false" ht="12.8" hidden="false" customHeight="true" outlineLevel="0" collapsed="false"/>
    <row r="1047524" customFormat="false" ht="12.8" hidden="false" customHeight="true" outlineLevel="0" collapsed="false"/>
    <row r="1047525" customFormat="false" ht="12.8" hidden="false" customHeight="true" outlineLevel="0" collapsed="false"/>
    <row r="1047526" customFormat="false" ht="12.8" hidden="false" customHeight="true" outlineLevel="0" collapsed="false"/>
    <row r="1047527" customFormat="false" ht="12.8" hidden="false" customHeight="true" outlineLevel="0" collapsed="false"/>
    <row r="1047528" customFormat="false" ht="12.8" hidden="false" customHeight="true" outlineLevel="0" collapsed="false"/>
    <row r="1047529" customFormat="false" ht="12.8" hidden="false" customHeight="true" outlineLevel="0" collapsed="false"/>
    <row r="1047530" customFormat="false" ht="12.8" hidden="false" customHeight="true" outlineLevel="0" collapsed="false"/>
    <row r="1047531" customFormat="false" ht="12.8" hidden="false" customHeight="true" outlineLevel="0" collapsed="false"/>
    <row r="1047532" customFormat="false" ht="12.8" hidden="false" customHeight="true" outlineLevel="0" collapsed="false"/>
    <row r="1047533" customFormat="false" ht="12.8" hidden="false" customHeight="true" outlineLevel="0" collapsed="false"/>
    <row r="1047534" customFormat="false" ht="12.8" hidden="false" customHeight="true" outlineLevel="0" collapsed="false"/>
    <row r="1047535" customFormat="false" ht="12.8" hidden="false" customHeight="true" outlineLevel="0" collapsed="false"/>
    <row r="1047536" customFormat="false" ht="12.8" hidden="false" customHeight="true" outlineLevel="0" collapsed="false"/>
    <row r="1047537" customFormat="false" ht="12.8" hidden="false" customHeight="true" outlineLevel="0" collapsed="false"/>
    <row r="1047538" customFormat="false" ht="12.8" hidden="false" customHeight="true" outlineLevel="0" collapsed="false"/>
    <row r="1047539" customFormat="false" ht="12.8" hidden="false" customHeight="true" outlineLevel="0" collapsed="false"/>
    <row r="1047540" customFormat="false" ht="12.8" hidden="false" customHeight="true" outlineLevel="0" collapsed="false"/>
    <row r="1047541" customFormat="false" ht="12.8" hidden="false" customHeight="true" outlineLevel="0" collapsed="false"/>
    <row r="1047542" customFormat="false" ht="12.8" hidden="false" customHeight="true" outlineLevel="0" collapsed="false"/>
    <row r="1047543" customFormat="false" ht="12.8" hidden="false" customHeight="true" outlineLevel="0" collapsed="false"/>
    <row r="1047544" customFormat="false" ht="12.8" hidden="false" customHeight="true" outlineLevel="0" collapsed="false"/>
    <row r="1047545" customFormat="false" ht="12.8" hidden="false" customHeight="true" outlineLevel="0" collapsed="false"/>
    <row r="1047546" customFormat="false" ht="12.8" hidden="false" customHeight="true" outlineLevel="0" collapsed="false"/>
    <row r="1047547" customFormat="false" ht="12.8" hidden="false" customHeight="true" outlineLevel="0" collapsed="false"/>
    <row r="1047548" customFormat="false" ht="12.8" hidden="false" customHeight="true" outlineLevel="0" collapsed="false"/>
    <row r="1047549" customFormat="false" ht="12.8" hidden="false" customHeight="true" outlineLevel="0" collapsed="false"/>
    <row r="1047550" customFormat="false" ht="12.8" hidden="false" customHeight="true" outlineLevel="0" collapsed="false"/>
    <row r="1047551" customFormat="false" ht="12.8" hidden="false" customHeight="true" outlineLevel="0" collapsed="false"/>
    <row r="1047552" customFormat="false" ht="12.8" hidden="false" customHeight="true" outlineLevel="0" collapsed="false"/>
    <row r="1047553" customFormat="false" ht="12.8" hidden="false" customHeight="true" outlineLevel="0" collapsed="false"/>
    <row r="1047554" customFormat="false" ht="12.8" hidden="false" customHeight="true" outlineLevel="0" collapsed="false"/>
    <row r="1047555" customFormat="false" ht="12.8" hidden="false" customHeight="true" outlineLevel="0" collapsed="false"/>
    <row r="1047556" customFormat="false" ht="12.8" hidden="false" customHeight="true" outlineLevel="0" collapsed="false"/>
    <row r="1047557" customFormat="false" ht="12.8" hidden="false" customHeight="true" outlineLevel="0" collapsed="false"/>
    <row r="1047558" customFormat="false" ht="12.8" hidden="false" customHeight="true" outlineLevel="0" collapsed="false"/>
    <row r="1047559" customFormat="false" ht="12.8" hidden="false" customHeight="true" outlineLevel="0" collapsed="false"/>
    <row r="1047560" customFormat="false" ht="12.8" hidden="false" customHeight="true" outlineLevel="0" collapsed="false"/>
    <row r="1047561" customFormat="false" ht="12.8" hidden="false" customHeight="true" outlineLevel="0" collapsed="false"/>
    <row r="1047562" customFormat="false" ht="12.8" hidden="false" customHeight="true" outlineLevel="0" collapsed="false"/>
    <row r="1047563" customFormat="false" ht="12.8" hidden="false" customHeight="true" outlineLevel="0" collapsed="false"/>
    <row r="1047564" customFormat="false" ht="12.8" hidden="false" customHeight="true" outlineLevel="0" collapsed="false"/>
    <row r="1047565" customFormat="false" ht="12.8" hidden="false" customHeight="true" outlineLevel="0" collapsed="false"/>
    <row r="1047566" customFormat="false" ht="12.8" hidden="false" customHeight="true" outlineLevel="0" collapsed="false"/>
    <row r="1047567" customFormat="false" ht="12.8" hidden="false" customHeight="true" outlineLevel="0" collapsed="false"/>
    <row r="1047568" customFormat="false" ht="12.8" hidden="false" customHeight="true" outlineLevel="0" collapsed="false"/>
    <row r="1047569" customFormat="false" ht="12.8" hidden="false" customHeight="true" outlineLevel="0" collapsed="false"/>
    <row r="1047570" customFormat="false" ht="12.8" hidden="false" customHeight="true" outlineLevel="0" collapsed="false"/>
    <row r="1047571" customFormat="false" ht="12.8" hidden="false" customHeight="true" outlineLevel="0" collapsed="false"/>
    <row r="1047572" customFormat="false" ht="12.8" hidden="false" customHeight="true" outlineLevel="0" collapsed="false"/>
    <row r="1047573" customFormat="false" ht="12.8" hidden="false" customHeight="true" outlineLevel="0" collapsed="false"/>
    <row r="1047574" customFormat="false" ht="12.8" hidden="false" customHeight="true" outlineLevel="0" collapsed="false"/>
    <row r="1047575" customFormat="false" ht="12.8" hidden="false" customHeight="true" outlineLevel="0" collapsed="false"/>
    <row r="1047576" customFormat="false" ht="12.8" hidden="false" customHeight="true" outlineLevel="0" collapsed="false"/>
    <row r="1047577" customFormat="false" ht="12.8" hidden="false" customHeight="true" outlineLevel="0" collapsed="false"/>
    <row r="1047578" customFormat="false" ht="12.8" hidden="false" customHeight="true" outlineLevel="0" collapsed="false"/>
    <row r="1047579" customFormat="false" ht="12.8" hidden="false" customHeight="true" outlineLevel="0" collapsed="false"/>
    <row r="1047580" customFormat="false" ht="12.8" hidden="false" customHeight="true" outlineLevel="0" collapsed="false"/>
    <row r="1047581" customFormat="false" ht="12.8" hidden="false" customHeight="true" outlineLevel="0" collapsed="false"/>
    <row r="1047582" customFormat="false" ht="12.8" hidden="false" customHeight="true" outlineLevel="0" collapsed="false"/>
    <row r="1047583" customFormat="false" ht="12.8" hidden="false" customHeight="true" outlineLevel="0" collapsed="false"/>
    <row r="1047584" customFormat="false" ht="12.8" hidden="false" customHeight="true" outlineLevel="0" collapsed="false"/>
    <row r="1047585" customFormat="false" ht="12.8" hidden="false" customHeight="true" outlineLevel="0" collapsed="false"/>
    <row r="1047586" customFormat="false" ht="12.8" hidden="false" customHeight="true" outlineLevel="0" collapsed="false"/>
    <row r="1047587" customFormat="false" ht="12.8" hidden="false" customHeight="true" outlineLevel="0" collapsed="false"/>
    <row r="1047588" customFormat="false" ht="12.8" hidden="false" customHeight="true" outlineLevel="0" collapsed="false"/>
    <row r="1047589" customFormat="false" ht="12.8" hidden="false" customHeight="true" outlineLevel="0" collapsed="false"/>
    <row r="1047590" customFormat="false" ht="12.8" hidden="false" customHeight="true" outlineLevel="0" collapsed="false"/>
    <row r="1047591" customFormat="false" ht="12.8" hidden="false" customHeight="true" outlineLevel="0" collapsed="false"/>
    <row r="1047592" customFormat="false" ht="12.8" hidden="false" customHeight="true" outlineLevel="0" collapsed="false"/>
    <row r="1047593" customFormat="false" ht="12.8" hidden="false" customHeight="true" outlineLevel="0" collapsed="false"/>
    <row r="1047594" customFormat="false" ht="12.8" hidden="false" customHeight="true" outlineLevel="0" collapsed="false"/>
    <row r="1047595" customFormat="false" ht="12.8" hidden="false" customHeight="true" outlineLevel="0" collapsed="false"/>
    <row r="1047596" customFormat="false" ht="12.8" hidden="false" customHeight="true" outlineLevel="0" collapsed="false"/>
    <row r="1047597" customFormat="false" ht="12.8" hidden="false" customHeight="true" outlineLevel="0" collapsed="false"/>
    <row r="1047598" customFormat="false" ht="12.8" hidden="false" customHeight="true" outlineLevel="0" collapsed="false"/>
    <row r="1047599" customFormat="false" ht="12.8" hidden="false" customHeight="true" outlineLevel="0" collapsed="false"/>
    <row r="1047600" customFormat="false" ht="12.8" hidden="false" customHeight="true" outlineLevel="0" collapsed="false"/>
    <row r="1047601" customFormat="false" ht="12.8" hidden="false" customHeight="true" outlineLevel="0" collapsed="false"/>
    <row r="1047602" customFormat="false" ht="12.8" hidden="false" customHeight="true" outlineLevel="0" collapsed="false"/>
    <row r="1047603" customFormat="false" ht="12.8" hidden="false" customHeight="true" outlineLevel="0" collapsed="false"/>
    <row r="1047604" customFormat="false" ht="12.8" hidden="false" customHeight="true" outlineLevel="0" collapsed="false"/>
    <row r="1047605" customFormat="false" ht="12.8" hidden="false" customHeight="true" outlineLevel="0" collapsed="false"/>
    <row r="1047606" customFormat="false" ht="12.8" hidden="false" customHeight="true" outlineLevel="0" collapsed="false"/>
    <row r="1047607" customFormat="false" ht="12.8" hidden="false" customHeight="true" outlineLevel="0" collapsed="false"/>
    <row r="1047608" customFormat="false" ht="12.8" hidden="false" customHeight="true" outlineLevel="0" collapsed="false"/>
    <row r="1047609" customFormat="false" ht="12.8" hidden="false" customHeight="true" outlineLevel="0" collapsed="false"/>
    <row r="1047610" customFormat="false" ht="12.8" hidden="false" customHeight="true" outlineLevel="0" collapsed="false"/>
    <row r="1047611" customFormat="false" ht="12.8" hidden="false" customHeight="true" outlineLevel="0" collapsed="false"/>
    <row r="1047612" customFormat="false" ht="12.8" hidden="false" customHeight="true" outlineLevel="0" collapsed="false"/>
    <row r="1047613" customFormat="false" ht="12.8" hidden="false" customHeight="true" outlineLevel="0" collapsed="false"/>
    <row r="1047614" customFormat="false" ht="12.8" hidden="false" customHeight="true" outlineLevel="0" collapsed="false"/>
    <row r="1047615" customFormat="false" ht="12.8" hidden="false" customHeight="true" outlineLevel="0" collapsed="false"/>
    <row r="1047616" customFormat="false" ht="12.8" hidden="false" customHeight="true" outlineLevel="0" collapsed="false"/>
    <row r="1047617" customFormat="false" ht="12.8" hidden="false" customHeight="true" outlineLevel="0" collapsed="false"/>
    <row r="1047618" customFormat="false" ht="12.8" hidden="false" customHeight="true" outlineLevel="0" collapsed="false"/>
    <row r="1047619" customFormat="false" ht="12.8" hidden="false" customHeight="true" outlineLevel="0" collapsed="false"/>
    <row r="1047620" customFormat="false" ht="12.8" hidden="false" customHeight="true" outlineLevel="0" collapsed="false"/>
    <row r="1047621" customFormat="false" ht="12.8" hidden="false" customHeight="true" outlineLevel="0" collapsed="false"/>
    <row r="1047622" customFormat="false" ht="12.8" hidden="false" customHeight="true" outlineLevel="0" collapsed="false"/>
    <row r="1047623" customFormat="false" ht="12.8" hidden="false" customHeight="true" outlineLevel="0" collapsed="false"/>
    <row r="1047624" customFormat="false" ht="12.8" hidden="false" customHeight="true" outlineLevel="0" collapsed="false"/>
    <row r="1047625" customFormat="false" ht="12.8" hidden="false" customHeight="true" outlineLevel="0" collapsed="false"/>
    <row r="1047626" customFormat="false" ht="12.8" hidden="false" customHeight="true" outlineLevel="0" collapsed="false"/>
    <row r="1047627" customFormat="false" ht="12.8" hidden="false" customHeight="true" outlineLevel="0" collapsed="false"/>
    <row r="1047628" customFormat="false" ht="12.8" hidden="false" customHeight="true" outlineLevel="0" collapsed="false"/>
    <row r="1047629" customFormat="false" ht="12.8" hidden="false" customHeight="true" outlineLevel="0" collapsed="false"/>
    <row r="1047630" customFormat="false" ht="12.8" hidden="false" customHeight="true" outlineLevel="0" collapsed="false"/>
    <row r="1047631" customFormat="false" ht="12.8" hidden="false" customHeight="true" outlineLevel="0" collapsed="false"/>
    <row r="1047632" customFormat="false" ht="12.8" hidden="false" customHeight="true" outlineLevel="0" collapsed="false"/>
    <row r="1047633" customFormat="false" ht="12.8" hidden="false" customHeight="true" outlineLevel="0" collapsed="false"/>
    <row r="1047634" customFormat="false" ht="12.8" hidden="false" customHeight="true" outlineLevel="0" collapsed="false"/>
    <row r="1047635" customFormat="false" ht="12.8" hidden="false" customHeight="true" outlineLevel="0" collapsed="false"/>
    <row r="1047636" customFormat="false" ht="12.8" hidden="false" customHeight="true" outlineLevel="0" collapsed="false"/>
    <row r="1047637" customFormat="false" ht="12.8" hidden="false" customHeight="true" outlineLevel="0" collapsed="false"/>
    <row r="1047638" customFormat="false" ht="12.8" hidden="false" customHeight="true" outlineLevel="0" collapsed="false"/>
    <row r="1047639" customFormat="false" ht="12.8" hidden="false" customHeight="true" outlineLevel="0" collapsed="false"/>
    <row r="1047640" customFormat="false" ht="12.8" hidden="false" customHeight="true" outlineLevel="0" collapsed="false"/>
    <row r="1047641" customFormat="false" ht="12.8" hidden="false" customHeight="true" outlineLevel="0" collapsed="false"/>
    <row r="1047642" customFormat="false" ht="12.8" hidden="false" customHeight="true" outlineLevel="0" collapsed="false"/>
    <row r="1047643" customFormat="false" ht="12.8" hidden="false" customHeight="true" outlineLevel="0" collapsed="false"/>
    <row r="1047644" customFormat="false" ht="12.8" hidden="false" customHeight="true" outlineLevel="0" collapsed="false"/>
    <row r="1047645" customFormat="false" ht="12.8" hidden="false" customHeight="true" outlineLevel="0" collapsed="false"/>
    <row r="1047646" customFormat="false" ht="12.8" hidden="false" customHeight="true" outlineLevel="0" collapsed="false"/>
    <row r="1047647" customFormat="false" ht="12.8" hidden="false" customHeight="true" outlineLevel="0" collapsed="false"/>
    <row r="1047648" customFormat="false" ht="12.8" hidden="false" customHeight="true" outlineLevel="0" collapsed="false"/>
    <row r="1047649" customFormat="false" ht="12.8" hidden="false" customHeight="true" outlineLevel="0" collapsed="false"/>
    <row r="1047650" customFormat="false" ht="12.8" hidden="false" customHeight="true" outlineLevel="0" collapsed="false"/>
    <row r="1047651" customFormat="false" ht="12.8" hidden="false" customHeight="true" outlineLevel="0" collapsed="false"/>
    <row r="1047652" customFormat="false" ht="12.8" hidden="false" customHeight="true" outlineLevel="0" collapsed="false"/>
    <row r="1047653" customFormat="false" ht="12.8" hidden="false" customHeight="true" outlineLevel="0" collapsed="false"/>
    <row r="1047654" customFormat="false" ht="12.8" hidden="false" customHeight="true" outlineLevel="0" collapsed="false"/>
    <row r="1047655" customFormat="false" ht="12.8" hidden="false" customHeight="true" outlineLevel="0" collapsed="false"/>
    <row r="1047656" customFormat="false" ht="12.8" hidden="false" customHeight="true" outlineLevel="0" collapsed="false"/>
    <row r="1047657" customFormat="false" ht="12.8" hidden="false" customHeight="true" outlineLevel="0" collapsed="false"/>
    <row r="1047658" customFormat="false" ht="12.8" hidden="false" customHeight="true" outlineLevel="0" collapsed="false"/>
    <row r="1047659" customFormat="false" ht="12.8" hidden="false" customHeight="true" outlineLevel="0" collapsed="false"/>
    <row r="1047660" customFormat="false" ht="12.8" hidden="false" customHeight="true" outlineLevel="0" collapsed="false"/>
    <row r="1047661" customFormat="false" ht="12.8" hidden="false" customHeight="true" outlineLevel="0" collapsed="false"/>
    <row r="1047662" customFormat="false" ht="12.8" hidden="false" customHeight="true" outlineLevel="0" collapsed="false"/>
    <row r="1047663" customFormat="false" ht="12.8" hidden="false" customHeight="true" outlineLevel="0" collapsed="false"/>
    <row r="1047664" customFormat="false" ht="12.8" hidden="false" customHeight="true" outlineLevel="0" collapsed="false"/>
    <row r="1047665" customFormat="false" ht="12.8" hidden="false" customHeight="true" outlineLevel="0" collapsed="false"/>
    <row r="1047666" customFormat="false" ht="12.8" hidden="false" customHeight="true" outlineLevel="0" collapsed="false"/>
    <row r="1047667" customFormat="false" ht="12.8" hidden="false" customHeight="true" outlineLevel="0" collapsed="false"/>
    <row r="1047668" customFormat="false" ht="12.8" hidden="false" customHeight="true" outlineLevel="0" collapsed="false"/>
    <row r="1047669" customFormat="false" ht="12.8" hidden="false" customHeight="true" outlineLevel="0" collapsed="false"/>
    <row r="1047670" customFormat="false" ht="12.8" hidden="false" customHeight="true" outlineLevel="0" collapsed="false"/>
    <row r="1047671" customFormat="false" ht="12.8" hidden="false" customHeight="true" outlineLevel="0" collapsed="false"/>
    <row r="1047672" customFormat="false" ht="12.8" hidden="false" customHeight="true" outlineLevel="0" collapsed="false"/>
    <row r="1047673" customFormat="false" ht="12.8" hidden="false" customHeight="true" outlineLevel="0" collapsed="false"/>
    <row r="1047674" customFormat="false" ht="12.8" hidden="false" customHeight="true" outlineLevel="0" collapsed="false"/>
    <row r="1047675" customFormat="false" ht="12.8" hidden="false" customHeight="true" outlineLevel="0" collapsed="false"/>
    <row r="1047676" customFormat="false" ht="12.8" hidden="false" customHeight="true" outlineLevel="0" collapsed="false"/>
    <row r="1047677" customFormat="false" ht="12.8" hidden="false" customHeight="true" outlineLevel="0" collapsed="false"/>
    <row r="1047678" customFormat="false" ht="12.8" hidden="false" customHeight="true" outlineLevel="0" collapsed="false"/>
    <row r="1047679" customFormat="false" ht="12.8" hidden="false" customHeight="true" outlineLevel="0" collapsed="false"/>
    <row r="1047680" customFormat="false" ht="12.8" hidden="false" customHeight="true" outlineLevel="0" collapsed="false"/>
    <row r="1047681" customFormat="false" ht="12.8" hidden="false" customHeight="true" outlineLevel="0" collapsed="false"/>
    <row r="1047682" customFormat="false" ht="12.8" hidden="false" customHeight="true" outlineLevel="0" collapsed="false"/>
    <row r="1047683" customFormat="false" ht="12.8" hidden="false" customHeight="true" outlineLevel="0" collapsed="false"/>
    <row r="1047684" customFormat="false" ht="12.8" hidden="false" customHeight="true" outlineLevel="0" collapsed="false"/>
    <row r="1047685" customFormat="false" ht="12.8" hidden="false" customHeight="true" outlineLevel="0" collapsed="false"/>
    <row r="1047686" customFormat="false" ht="12.8" hidden="false" customHeight="true" outlineLevel="0" collapsed="false"/>
    <row r="1047687" customFormat="false" ht="12.8" hidden="false" customHeight="true" outlineLevel="0" collapsed="false"/>
    <row r="1047688" customFormat="false" ht="12.8" hidden="false" customHeight="true" outlineLevel="0" collapsed="false"/>
    <row r="1047689" customFormat="false" ht="12.8" hidden="false" customHeight="true" outlineLevel="0" collapsed="false"/>
    <row r="1047690" customFormat="false" ht="12.8" hidden="false" customHeight="true" outlineLevel="0" collapsed="false"/>
    <row r="1047691" customFormat="false" ht="12.8" hidden="false" customHeight="true" outlineLevel="0" collapsed="false"/>
    <row r="1047692" customFormat="false" ht="12.8" hidden="false" customHeight="true" outlineLevel="0" collapsed="false"/>
    <row r="1047693" customFormat="false" ht="12.8" hidden="false" customHeight="true" outlineLevel="0" collapsed="false"/>
    <row r="1047694" customFormat="false" ht="12.8" hidden="false" customHeight="true" outlineLevel="0" collapsed="false"/>
    <row r="1047695" customFormat="false" ht="12.8" hidden="false" customHeight="true" outlineLevel="0" collapsed="false"/>
    <row r="1047696" customFormat="false" ht="12.8" hidden="false" customHeight="true" outlineLevel="0" collapsed="false"/>
    <row r="1047697" customFormat="false" ht="12.8" hidden="false" customHeight="true" outlineLevel="0" collapsed="false"/>
    <row r="1047698" customFormat="false" ht="12.8" hidden="false" customHeight="true" outlineLevel="0" collapsed="false"/>
    <row r="1047699" customFormat="false" ht="12.8" hidden="false" customHeight="true" outlineLevel="0" collapsed="false"/>
    <row r="1047700" customFormat="false" ht="12.8" hidden="false" customHeight="true" outlineLevel="0" collapsed="false"/>
    <row r="1047701" customFormat="false" ht="12.8" hidden="false" customHeight="true" outlineLevel="0" collapsed="false"/>
    <row r="1047702" customFormat="false" ht="12.8" hidden="false" customHeight="true" outlineLevel="0" collapsed="false"/>
    <row r="1047703" customFormat="false" ht="12.8" hidden="false" customHeight="true" outlineLevel="0" collapsed="false"/>
    <row r="1047704" customFormat="false" ht="12.8" hidden="false" customHeight="true" outlineLevel="0" collapsed="false"/>
    <row r="1047705" customFormat="false" ht="12.8" hidden="false" customHeight="true" outlineLevel="0" collapsed="false"/>
    <row r="1047706" customFormat="false" ht="12.8" hidden="false" customHeight="true" outlineLevel="0" collapsed="false"/>
    <row r="1047707" customFormat="false" ht="12.8" hidden="false" customHeight="true" outlineLevel="0" collapsed="false"/>
    <row r="1047708" customFormat="false" ht="12.8" hidden="false" customHeight="true" outlineLevel="0" collapsed="false"/>
    <row r="1047709" customFormat="false" ht="12.8" hidden="false" customHeight="true" outlineLevel="0" collapsed="false"/>
    <row r="1047710" customFormat="false" ht="12.8" hidden="false" customHeight="true" outlineLevel="0" collapsed="false"/>
    <row r="1047711" customFormat="false" ht="12.8" hidden="false" customHeight="true" outlineLevel="0" collapsed="false"/>
    <row r="1047712" customFormat="false" ht="12.8" hidden="false" customHeight="true" outlineLevel="0" collapsed="false"/>
    <row r="1047713" customFormat="false" ht="12.8" hidden="false" customHeight="true" outlineLevel="0" collapsed="false"/>
    <row r="1047714" customFormat="false" ht="12.8" hidden="false" customHeight="true" outlineLevel="0" collapsed="false"/>
    <row r="1047715" customFormat="false" ht="12.8" hidden="false" customHeight="true" outlineLevel="0" collapsed="false"/>
    <row r="1047716" customFormat="false" ht="12.8" hidden="false" customHeight="true" outlineLevel="0" collapsed="false"/>
    <row r="1047717" customFormat="false" ht="12.8" hidden="false" customHeight="true" outlineLevel="0" collapsed="false"/>
    <row r="1047718" customFormat="false" ht="12.8" hidden="false" customHeight="true" outlineLevel="0" collapsed="false"/>
    <row r="1047719" customFormat="false" ht="12.8" hidden="false" customHeight="true" outlineLevel="0" collapsed="false"/>
    <row r="1047720" customFormat="false" ht="12.8" hidden="false" customHeight="true" outlineLevel="0" collapsed="false"/>
    <row r="1047721" customFormat="false" ht="12.8" hidden="false" customHeight="true" outlineLevel="0" collapsed="false"/>
    <row r="1047722" customFormat="false" ht="12.8" hidden="false" customHeight="true" outlineLevel="0" collapsed="false"/>
    <row r="1047723" customFormat="false" ht="12.8" hidden="false" customHeight="true" outlineLevel="0" collapsed="false"/>
    <row r="1047724" customFormat="false" ht="12.8" hidden="false" customHeight="true" outlineLevel="0" collapsed="false"/>
    <row r="1047725" customFormat="false" ht="12.8" hidden="false" customHeight="true" outlineLevel="0" collapsed="false"/>
    <row r="1047726" customFormat="false" ht="12.8" hidden="false" customHeight="true" outlineLevel="0" collapsed="false"/>
    <row r="1047727" customFormat="false" ht="12.8" hidden="false" customHeight="true" outlineLevel="0" collapsed="false"/>
    <row r="1047728" customFormat="false" ht="12.8" hidden="false" customHeight="true" outlineLevel="0" collapsed="false"/>
    <row r="1047729" customFormat="false" ht="12.8" hidden="false" customHeight="true" outlineLevel="0" collapsed="false"/>
    <row r="1047730" customFormat="false" ht="12.8" hidden="false" customHeight="true" outlineLevel="0" collapsed="false"/>
    <row r="1047731" customFormat="false" ht="12.8" hidden="false" customHeight="true" outlineLevel="0" collapsed="false"/>
    <row r="1047732" customFormat="false" ht="12.8" hidden="false" customHeight="true" outlineLevel="0" collapsed="false"/>
    <row r="1047733" customFormat="false" ht="12.8" hidden="false" customHeight="true" outlineLevel="0" collapsed="false"/>
    <row r="1047734" customFormat="false" ht="12.8" hidden="false" customHeight="true" outlineLevel="0" collapsed="false"/>
    <row r="1047735" customFormat="false" ht="12.8" hidden="false" customHeight="true" outlineLevel="0" collapsed="false"/>
    <row r="1047736" customFormat="false" ht="12.8" hidden="false" customHeight="true" outlineLevel="0" collapsed="false"/>
    <row r="1047737" customFormat="false" ht="12.8" hidden="false" customHeight="true" outlineLevel="0" collapsed="false"/>
    <row r="1047738" customFormat="false" ht="12.8" hidden="false" customHeight="true" outlineLevel="0" collapsed="false"/>
    <row r="1047739" customFormat="false" ht="12.8" hidden="false" customHeight="true" outlineLevel="0" collapsed="false"/>
    <row r="1047740" customFormat="false" ht="12.8" hidden="false" customHeight="true" outlineLevel="0" collapsed="false"/>
    <row r="1047741" customFormat="false" ht="12.8" hidden="false" customHeight="true" outlineLevel="0" collapsed="false"/>
    <row r="1047742" customFormat="false" ht="12.8" hidden="false" customHeight="true" outlineLevel="0" collapsed="false"/>
    <row r="1047743" customFormat="false" ht="12.8" hidden="false" customHeight="true" outlineLevel="0" collapsed="false"/>
    <row r="1047744" customFormat="false" ht="12.8" hidden="false" customHeight="true" outlineLevel="0" collapsed="false"/>
    <row r="1047745" customFormat="false" ht="12.8" hidden="false" customHeight="true" outlineLevel="0" collapsed="false"/>
    <row r="1047746" customFormat="false" ht="12.8" hidden="false" customHeight="true" outlineLevel="0" collapsed="false"/>
    <row r="1047747" customFormat="false" ht="12.8" hidden="false" customHeight="true" outlineLevel="0" collapsed="false"/>
    <row r="1047748" customFormat="false" ht="12.8" hidden="false" customHeight="true" outlineLevel="0" collapsed="false"/>
    <row r="1047749" customFormat="false" ht="12.8" hidden="false" customHeight="true" outlineLevel="0" collapsed="false"/>
    <row r="1047750" customFormat="false" ht="12.8" hidden="false" customHeight="true" outlineLevel="0" collapsed="false"/>
    <row r="1047751" customFormat="false" ht="12.8" hidden="false" customHeight="true" outlineLevel="0" collapsed="false"/>
    <row r="1047752" customFormat="false" ht="12.8" hidden="false" customHeight="true" outlineLevel="0" collapsed="false"/>
    <row r="1047753" customFormat="false" ht="12.8" hidden="false" customHeight="true" outlineLevel="0" collapsed="false"/>
    <row r="1047754" customFormat="false" ht="12.8" hidden="false" customHeight="true" outlineLevel="0" collapsed="false"/>
    <row r="1047755" customFormat="false" ht="12.8" hidden="false" customHeight="true" outlineLevel="0" collapsed="false"/>
    <row r="1047756" customFormat="false" ht="12.8" hidden="false" customHeight="true" outlineLevel="0" collapsed="false"/>
    <row r="1047757" customFormat="false" ht="12.8" hidden="false" customHeight="true" outlineLevel="0" collapsed="false"/>
    <row r="1047758" customFormat="false" ht="12.8" hidden="false" customHeight="true" outlineLevel="0" collapsed="false"/>
    <row r="1047759" customFormat="false" ht="12.8" hidden="false" customHeight="true" outlineLevel="0" collapsed="false"/>
    <row r="1047760" customFormat="false" ht="12.8" hidden="false" customHeight="true" outlineLevel="0" collapsed="false"/>
    <row r="1047761" customFormat="false" ht="12.8" hidden="false" customHeight="true" outlineLevel="0" collapsed="false"/>
    <row r="1047762" customFormat="false" ht="12.8" hidden="false" customHeight="true" outlineLevel="0" collapsed="false"/>
    <row r="1047763" customFormat="false" ht="12.8" hidden="false" customHeight="true" outlineLevel="0" collapsed="false"/>
    <row r="1047764" customFormat="false" ht="12.8" hidden="false" customHeight="true" outlineLevel="0" collapsed="false"/>
    <row r="1047765" customFormat="false" ht="12.8" hidden="false" customHeight="true" outlineLevel="0" collapsed="false"/>
    <row r="1047766" customFormat="false" ht="12.8" hidden="false" customHeight="true" outlineLevel="0" collapsed="false"/>
    <row r="1047767" customFormat="false" ht="12.8" hidden="false" customHeight="true" outlineLevel="0" collapsed="false"/>
    <row r="1047768" customFormat="false" ht="12.8" hidden="false" customHeight="true" outlineLevel="0" collapsed="false"/>
    <row r="1047769" customFormat="false" ht="12.8" hidden="false" customHeight="true" outlineLevel="0" collapsed="false"/>
    <row r="1047770" customFormat="false" ht="12.8" hidden="false" customHeight="true" outlineLevel="0" collapsed="false"/>
    <row r="1047771" customFormat="false" ht="12.8" hidden="false" customHeight="true" outlineLevel="0" collapsed="false"/>
    <row r="1047772" customFormat="false" ht="12.8" hidden="false" customHeight="true" outlineLevel="0" collapsed="false"/>
    <row r="1047773" customFormat="false" ht="12.8" hidden="false" customHeight="true" outlineLevel="0" collapsed="false"/>
    <row r="1047774" customFormat="false" ht="12.8" hidden="false" customHeight="true" outlineLevel="0" collapsed="false"/>
    <row r="1047775" customFormat="false" ht="12.8" hidden="false" customHeight="true" outlineLevel="0" collapsed="false"/>
    <row r="1047776" customFormat="false" ht="12.8" hidden="false" customHeight="true" outlineLevel="0" collapsed="false"/>
    <row r="1047777" customFormat="false" ht="12.8" hidden="false" customHeight="true" outlineLevel="0" collapsed="false"/>
    <row r="1047778" customFormat="false" ht="12.8" hidden="false" customHeight="true" outlineLevel="0" collapsed="false"/>
    <row r="1047779" customFormat="false" ht="12.8" hidden="false" customHeight="true" outlineLevel="0" collapsed="false"/>
    <row r="1047780" customFormat="false" ht="12.8" hidden="false" customHeight="true" outlineLevel="0" collapsed="false"/>
    <row r="1047781" customFormat="false" ht="12.8" hidden="false" customHeight="true" outlineLevel="0" collapsed="false"/>
    <row r="1047782" customFormat="false" ht="12.8" hidden="false" customHeight="true" outlineLevel="0" collapsed="false"/>
    <row r="1047783" customFormat="false" ht="12.8" hidden="false" customHeight="true" outlineLevel="0" collapsed="false"/>
    <row r="1047784" customFormat="false" ht="12.8" hidden="false" customHeight="true" outlineLevel="0" collapsed="false"/>
    <row r="1047785" customFormat="false" ht="12.8" hidden="false" customHeight="true" outlineLevel="0" collapsed="false"/>
    <row r="1047786" customFormat="false" ht="12.8" hidden="false" customHeight="true" outlineLevel="0" collapsed="false"/>
    <row r="1047787" customFormat="false" ht="12.8" hidden="false" customHeight="true" outlineLevel="0" collapsed="false"/>
    <row r="1047788" customFormat="false" ht="12.8" hidden="false" customHeight="true" outlineLevel="0" collapsed="false"/>
    <row r="1047789" customFormat="false" ht="12.8" hidden="false" customHeight="true" outlineLevel="0" collapsed="false"/>
    <row r="1047790" customFormat="false" ht="12.8" hidden="false" customHeight="true" outlineLevel="0" collapsed="false"/>
    <row r="1047791" customFormat="false" ht="12.8" hidden="false" customHeight="true" outlineLevel="0" collapsed="false"/>
    <row r="1047792" customFormat="false" ht="12.8" hidden="false" customHeight="true" outlineLevel="0" collapsed="false"/>
    <row r="1047793" customFormat="false" ht="12.8" hidden="false" customHeight="true" outlineLevel="0" collapsed="false"/>
    <row r="1047794" customFormat="false" ht="12.8" hidden="false" customHeight="true" outlineLevel="0" collapsed="false"/>
    <row r="1047795" customFormat="false" ht="12.8" hidden="false" customHeight="true" outlineLevel="0" collapsed="false"/>
    <row r="1047796" customFormat="false" ht="12.8" hidden="false" customHeight="true" outlineLevel="0" collapsed="false"/>
    <row r="1047797" customFormat="false" ht="12.8" hidden="false" customHeight="true" outlineLevel="0" collapsed="false"/>
    <row r="1047798" customFormat="false" ht="12.8" hidden="false" customHeight="true" outlineLevel="0" collapsed="false"/>
    <row r="1047799" customFormat="false" ht="12.8" hidden="false" customHeight="true" outlineLevel="0" collapsed="false"/>
    <row r="1047800" customFormat="false" ht="12.8" hidden="false" customHeight="true" outlineLevel="0" collapsed="false"/>
    <row r="1047801" customFormat="false" ht="12.8" hidden="false" customHeight="true" outlineLevel="0" collapsed="false"/>
    <row r="1047802" customFormat="false" ht="12.8" hidden="false" customHeight="true" outlineLevel="0" collapsed="false"/>
    <row r="1047803" customFormat="false" ht="12.8" hidden="false" customHeight="true" outlineLevel="0" collapsed="false"/>
    <row r="1047804" customFormat="false" ht="12.8" hidden="false" customHeight="true" outlineLevel="0" collapsed="false"/>
    <row r="1047805" customFormat="false" ht="12.8" hidden="false" customHeight="true" outlineLevel="0" collapsed="false"/>
    <row r="1047806" customFormat="false" ht="12.8" hidden="false" customHeight="true" outlineLevel="0" collapsed="false"/>
    <row r="1047807" customFormat="false" ht="12.8" hidden="false" customHeight="true" outlineLevel="0" collapsed="false"/>
    <row r="1047808" customFormat="false" ht="12.8" hidden="false" customHeight="true" outlineLevel="0" collapsed="false"/>
    <row r="1047809" customFormat="false" ht="12.8" hidden="false" customHeight="true" outlineLevel="0" collapsed="false"/>
    <row r="1047810" customFormat="false" ht="12.8" hidden="false" customHeight="true" outlineLevel="0" collapsed="false"/>
    <row r="1047811" customFormat="false" ht="12.8" hidden="false" customHeight="true" outlineLevel="0" collapsed="false"/>
    <row r="1047812" customFormat="false" ht="12.8" hidden="false" customHeight="true" outlineLevel="0" collapsed="false"/>
    <row r="1047813" customFormat="false" ht="12.8" hidden="false" customHeight="true" outlineLevel="0" collapsed="false"/>
    <row r="1047814" customFormat="false" ht="12.8" hidden="false" customHeight="true" outlineLevel="0" collapsed="false"/>
    <row r="1047815" customFormat="false" ht="12.8" hidden="false" customHeight="true" outlineLevel="0" collapsed="false"/>
    <row r="1047816" customFormat="false" ht="12.8" hidden="false" customHeight="true" outlineLevel="0" collapsed="false"/>
    <row r="1047817" customFormat="false" ht="12.8" hidden="false" customHeight="true" outlineLevel="0" collapsed="false"/>
    <row r="1047818" customFormat="false" ht="12.8" hidden="false" customHeight="true" outlineLevel="0" collapsed="false"/>
    <row r="1047819" customFormat="false" ht="12.8" hidden="false" customHeight="true" outlineLevel="0" collapsed="false"/>
    <row r="1047820" customFormat="false" ht="12.8" hidden="false" customHeight="true" outlineLevel="0" collapsed="false"/>
    <row r="1047821" customFormat="false" ht="12.8" hidden="false" customHeight="true" outlineLevel="0" collapsed="false"/>
    <row r="1047822" customFormat="false" ht="12.8" hidden="false" customHeight="true" outlineLevel="0" collapsed="false"/>
    <row r="1047823" customFormat="false" ht="12.8" hidden="false" customHeight="true" outlineLevel="0" collapsed="false"/>
    <row r="1047824" customFormat="false" ht="12.8" hidden="false" customHeight="true" outlineLevel="0" collapsed="false"/>
    <row r="1047825" customFormat="false" ht="12.8" hidden="false" customHeight="true" outlineLevel="0" collapsed="false"/>
    <row r="1047826" customFormat="false" ht="12.8" hidden="false" customHeight="true" outlineLevel="0" collapsed="false"/>
    <row r="1047827" customFormat="false" ht="12.8" hidden="false" customHeight="true" outlineLevel="0" collapsed="false"/>
    <row r="1047828" customFormat="false" ht="12.8" hidden="false" customHeight="true" outlineLevel="0" collapsed="false"/>
    <row r="1047829" customFormat="false" ht="12.8" hidden="false" customHeight="true" outlineLevel="0" collapsed="false"/>
    <row r="1047830" customFormat="false" ht="12.8" hidden="false" customHeight="true" outlineLevel="0" collapsed="false"/>
    <row r="1047831" customFormat="false" ht="12.8" hidden="false" customHeight="true" outlineLevel="0" collapsed="false"/>
    <row r="1047832" customFormat="false" ht="12.8" hidden="false" customHeight="true" outlineLevel="0" collapsed="false"/>
    <row r="1047833" customFormat="false" ht="12.8" hidden="false" customHeight="true" outlineLevel="0" collapsed="false"/>
    <row r="1047834" customFormat="false" ht="12.8" hidden="false" customHeight="true" outlineLevel="0" collapsed="false"/>
    <row r="1047835" customFormat="false" ht="12.8" hidden="false" customHeight="true" outlineLevel="0" collapsed="false"/>
    <row r="1047836" customFormat="false" ht="12.8" hidden="false" customHeight="true" outlineLevel="0" collapsed="false"/>
    <row r="1047837" customFormat="false" ht="12.8" hidden="false" customHeight="true" outlineLevel="0" collapsed="false"/>
    <row r="1047838" customFormat="false" ht="12.8" hidden="false" customHeight="true" outlineLevel="0" collapsed="false"/>
    <row r="1047839" customFormat="false" ht="12.8" hidden="false" customHeight="true" outlineLevel="0" collapsed="false"/>
    <row r="1047840" customFormat="false" ht="12.8" hidden="false" customHeight="true" outlineLevel="0" collapsed="false"/>
    <row r="1047841" customFormat="false" ht="12.8" hidden="false" customHeight="true" outlineLevel="0" collapsed="false"/>
    <row r="1047842" customFormat="false" ht="12.8" hidden="false" customHeight="true" outlineLevel="0" collapsed="false"/>
    <row r="1047843" customFormat="false" ht="12.8" hidden="false" customHeight="true" outlineLevel="0" collapsed="false"/>
    <row r="1047844" customFormat="false" ht="12.8" hidden="false" customHeight="true" outlineLevel="0" collapsed="false"/>
    <row r="1047845" customFormat="false" ht="12.8" hidden="false" customHeight="true" outlineLevel="0" collapsed="false"/>
    <row r="1047846" customFormat="false" ht="12.8" hidden="false" customHeight="true" outlineLevel="0" collapsed="false"/>
    <row r="1047847" customFormat="false" ht="12.8" hidden="false" customHeight="true" outlineLevel="0" collapsed="false"/>
    <row r="1047848" customFormat="false" ht="12.8" hidden="false" customHeight="true" outlineLevel="0" collapsed="false"/>
    <row r="1047849" customFormat="false" ht="12.8" hidden="false" customHeight="true" outlineLevel="0" collapsed="false"/>
    <row r="1047850" customFormat="false" ht="12.8" hidden="false" customHeight="true" outlineLevel="0" collapsed="false"/>
    <row r="1047851" customFormat="false" ht="12.8" hidden="false" customHeight="true" outlineLevel="0" collapsed="false"/>
    <row r="1047852" customFormat="false" ht="12.8" hidden="false" customHeight="true" outlineLevel="0" collapsed="false"/>
    <row r="1047853" customFormat="false" ht="12.8" hidden="false" customHeight="true" outlineLevel="0" collapsed="false"/>
    <row r="1047854" customFormat="false" ht="12.8" hidden="false" customHeight="true" outlineLevel="0" collapsed="false"/>
    <row r="1047855" customFormat="false" ht="12.8" hidden="false" customHeight="true" outlineLevel="0" collapsed="false"/>
    <row r="1047856" customFormat="false" ht="12.8" hidden="false" customHeight="true" outlineLevel="0" collapsed="false"/>
    <row r="1047857" customFormat="false" ht="12.8" hidden="false" customHeight="true" outlineLevel="0" collapsed="false"/>
    <row r="1047858" customFormat="false" ht="12.8" hidden="false" customHeight="true" outlineLevel="0" collapsed="false"/>
    <row r="1047859" customFormat="false" ht="12.8" hidden="false" customHeight="true" outlineLevel="0" collapsed="false"/>
    <row r="1047860" customFormat="false" ht="12.8" hidden="false" customHeight="true" outlineLevel="0" collapsed="false"/>
    <row r="1047861" customFormat="false" ht="12.8" hidden="false" customHeight="true" outlineLevel="0" collapsed="false"/>
    <row r="1047862" customFormat="false" ht="12.8" hidden="false" customHeight="true" outlineLevel="0" collapsed="false"/>
    <row r="1047863" customFormat="false" ht="12.8" hidden="false" customHeight="true" outlineLevel="0" collapsed="false"/>
    <row r="1047864" customFormat="false" ht="12.8" hidden="false" customHeight="true" outlineLevel="0" collapsed="false"/>
    <row r="1047865" customFormat="false" ht="12.8" hidden="false" customHeight="true" outlineLevel="0" collapsed="false"/>
    <row r="1047866" customFormat="false" ht="12.8" hidden="false" customHeight="true" outlineLevel="0" collapsed="false"/>
    <row r="1047867" customFormat="false" ht="12.8" hidden="false" customHeight="true" outlineLevel="0" collapsed="false"/>
    <row r="1047868" customFormat="false" ht="12.8" hidden="false" customHeight="true" outlineLevel="0" collapsed="false"/>
    <row r="1047869" customFormat="false" ht="12.8" hidden="false" customHeight="true" outlineLevel="0" collapsed="false"/>
    <row r="1047870" customFormat="false" ht="12.8" hidden="false" customHeight="true" outlineLevel="0" collapsed="false"/>
    <row r="1047871" customFormat="false" ht="12.8" hidden="false" customHeight="true" outlineLevel="0" collapsed="false"/>
    <row r="1047872" customFormat="false" ht="12.8" hidden="false" customHeight="true" outlineLevel="0" collapsed="false"/>
    <row r="1047873" customFormat="false" ht="12.8" hidden="false" customHeight="true" outlineLevel="0" collapsed="false"/>
    <row r="1047874" customFormat="false" ht="12.8" hidden="false" customHeight="true" outlineLevel="0" collapsed="false"/>
    <row r="1047875" customFormat="false" ht="12.8" hidden="false" customHeight="true" outlineLevel="0" collapsed="false"/>
    <row r="1047876" customFormat="false" ht="12.8" hidden="false" customHeight="true" outlineLevel="0" collapsed="false"/>
    <row r="1047877" customFormat="false" ht="12.8" hidden="false" customHeight="true" outlineLevel="0" collapsed="false"/>
    <row r="1047878" customFormat="false" ht="12.8" hidden="false" customHeight="true" outlineLevel="0" collapsed="false"/>
    <row r="1047879" customFormat="false" ht="12.8" hidden="false" customHeight="true" outlineLevel="0" collapsed="false"/>
    <row r="1047880" customFormat="false" ht="12.8" hidden="false" customHeight="true" outlineLevel="0" collapsed="false"/>
    <row r="1047881" customFormat="false" ht="12.8" hidden="false" customHeight="true" outlineLevel="0" collapsed="false"/>
    <row r="1047882" customFormat="false" ht="12.8" hidden="false" customHeight="true" outlineLevel="0" collapsed="false"/>
    <row r="1047883" customFormat="false" ht="12.8" hidden="false" customHeight="true" outlineLevel="0" collapsed="false"/>
    <row r="1047884" customFormat="false" ht="12.8" hidden="false" customHeight="true" outlineLevel="0" collapsed="false"/>
    <row r="1047885" customFormat="false" ht="12.8" hidden="false" customHeight="true" outlineLevel="0" collapsed="false"/>
    <row r="1047886" customFormat="false" ht="12.8" hidden="false" customHeight="true" outlineLevel="0" collapsed="false"/>
    <row r="1047887" customFormat="false" ht="12.8" hidden="false" customHeight="true" outlineLevel="0" collapsed="false"/>
    <row r="1047888" customFormat="false" ht="12.8" hidden="false" customHeight="true" outlineLevel="0" collapsed="false"/>
    <row r="1047889" customFormat="false" ht="12.8" hidden="false" customHeight="true" outlineLevel="0" collapsed="false"/>
    <row r="1047890" customFormat="false" ht="12.8" hidden="false" customHeight="true" outlineLevel="0" collapsed="false"/>
    <row r="1047891" customFormat="false" ht="12.8" hidden="false" customHeight="true" outlineLevel="0" collapsed="false"/>
    <row r="1047892" customFormat="false" ht="12.8" hidden="false" customHeight="true" outlineLevel="0" collapsed="false"/>
    <row r="1047893" customFormat="false" ht="12.8" hidden="false" customHeight="true" outlineLevel="0" collapsed="false"/>
    <row r="1047894" customFormat="false" ht="12.8" hidden="false" customHeight="true" outlineLevel="0" collapsed="false"/>
    <row r="1047895" customFormat="false" ht="12.8" hidden="false" customHeight="true" outlineLevel="0" collapsed="false"/>
    <row r="1047896" customFormat="false" ht="12.8" hidden="false" customHeight="true" outlineLevel="0" collapsed="false"/>
    <row r="1047897" customFormat="false" ht="12.8" hidden="false" customHeight="true" outlineLevel="0" collapsed="false"/>
    <row r="1047898" customFormat="false" ht="12.8" hidden="false" customHeight="true" outlineLevel="0" collapsed="false"/>
    <row r="1047899" customFormat="false" ht="12.8" hidden="false" customHeight="true" outlineLevel="0" collapsed="false"/>
    <row r="1047900" customFormat="false" ht="12.8" hidden="false" customHeight="true" outlineLevel="0" collapsed="false"/>
    <row r="1047901" customFormat="false" ht="12.8" hidden="false" customHeight="true" outlineLevel="0" collapsed="false"/>
    <row r="1047902" customFormat="false" ht="12.8" hidden="false" customHeight="true" outlineLevel="0" collapsed="false"/>
    <row r="1047903" customFormat="false" ht="12.8" hidden="false" customHeight="true" outlineLevel="0" collapsed="false"/>
    <row r="1047904" customFormat="false" ht="12.8" hidden="false" customHeight="true" outlineLevel="0" collapsed="false"/>
    <row r="1047905" customFormat="false" ht="12.8" hidden="false" customHeight="true" outlineLevel="0" collapsed="false"/>
    <row r="1047906" customFormat="false" ht="12.8" hidden="false" customHeight="true" outlineLevel="0" collapsed="false"/>
    <row r="1047907" customFormat="false" ht="12.8" hidden="false" customHeight="true" outlineLevel="0" collapsed="false"/>
    <row r="1047908" customFormat="false" ht="12.8" hidden="false" customHeight="true" outlineLevel="0" collapsed="false"/>
    <row r="1047909" customFormat="false" ht="12.8" hidden="false" customHeight="true" outlineLevel="0" collapsed="false"/>
    <row r="1047910" customFormat="false" ht="12.8" hidden="false" customHeight="true" outlineLevel="0" collapsed="false"/>
    <row r="1047911" customFormat="false" ht="12.8" hidden="false" customHeight="true" outlineLevel="0" collapsed="false"/>
    <row r="1047912" customFormat="false" ht="12.8" hidden="false" customHeight="true" outlineLevel="0" collapsed="false"/>
    <row r="1047913" customFormat="false" ht="12.8" hidden="false" customHeight="true" outlineLevel="0" collapsed="false"/>
    <row r="1047914" customFormat="false" ht="12.8" hidden="false" customHeight="true" outlineLevel="0" collapsed="false"/>
    <row r="1047915" customFormat="false" ht="12.8" hidden="false" customHeight="true" outlineLevel="0" collapsed="false"/>
    <row r="1047916" customFormat="false" ht="12.8" hidden="false" customHeight="true" outlineLevel="0" collapsed="false"/>
    <row r="1047917" customFormat="false" ht="12.8" hidden="false" customHeight="true" outlineLevel="0" collapsed="false"/>
    <row r="1047918" customFormat="false" ht="12.8" hidden="false" customHeight="true" outlineLevel="0" collapsed="false"/>
    <row r="1047919" customFormat="false" ht="12.8" hidden="false" customHeight="true" outlineLevel="0" collapsed="false"/>
    <row r="1047920" customFormat="false" ht="12.8" hidden="false" customHeight="true" outlineLevel="0" collapsed="false"/>
    <row r="1047921" customFormat="false" ht="12.8" hidden="false" customHeight="true" outlineLevel="0" collapsed="false"/>
    <row r="1047922" customFormat="false" ht="12.8" hidden="false" customHeight="true" outlineLevel="0" collapsed="false"/>
    <row r="1047923" customFormat="false" ht="12.8" hidden="false" customHeight="true" outlineLevel="0" collapsed="false"/>
    <row r="1047924" customFormat="false" ht="12.8" hidden="false" customHeight="true" outlineLevel="0" collapsed="false"/>
    <row r="1047925" customFormat="false" ht="12.8" hidden="false" customHeight="true" outlineLevel="0" collapsed="false"/>
    <row r="1047926" customFormat="false" ht="12.8" hidden="false" customHeight="true" outlineLevel="0" collapsed="false"/>
    <row r="1047927" customFormat="false" ht="12.8" hidden="false" customHeight="true" outlineLevel="0" collapsed="false"/>
    <row r="1047928" customFormat="false" ht="12.8" hidden="false" customHeight="true" outlineLevel="0" collapsed="false"/>
    <row r="1047929" customFormat="false" ht="12.8" hidden="false" customHeight="true" outlineLevel="0" collapsed="false"/>
    <row r="1047930" customFormat="false" ht="12.8" hidden="false" customHeight="true" outlineLevel="0" collapsed="false"/>
    <row r="1047931" customFormat="false" ht="12.8" hidden="false" customHeight="true" outlineLevel="0" collapsed="false"/>
    <row r="1047932" customFormat="false" ht="12.8" hidden="false" customHeight="true" outlineLevel="0" collapsed="false"/>
    <row r="1047933" customFormat="false" ht="12.8" hidden="false" customHeight="true" outlineLevel="0" collapsed="false"/>
    <row r="1047934" customFormat="false" ht="12.8" hidden="false" customHeight="true" outlineLevel="0" collapsed="false"/>
    <row r="1047935" customFormat="false" ht="12.8" hidden="false" customHeight="true" outlineLevel="0" collapsed="false"/>
    <row r="1047936" customFormat="false" ht="12.8" hidden="false" customHeight="true" outlineLevel="0" collapsed="false"/>
    <row r="1047937" customFormat="false" ht="12.8" hidden="false" customHeight="true" outlineLevel="0" collapsed="false"/>
    <row r="1047938" customFormat="false" ht="12.8" hidden="false" customHeight="true" outlineLevel="0" collapsed="false"/>
    <row r="1047939" customFormat="false" ht="12.8" hidden="false" customHeight="true" outlineLevel="0" collapsed="false"/>
    <row r="1047940" customFormat="false" ht="12.8" hidden="false" customHeight="true" outlineLevel="0" collapsed="false"/>
    <row r="1047941" customFormat="false" ht="12.8" hidden="false" customHeight="true" outlineLevel="0" collapsed="false"/>
    <row r="1047942" customFormat="false" ht="12.8" hidden="false" customHeight="true" outlineLevel="0" collapsed="false"/>
    <row r="1047943" customFormat="false" ht="12.8" hidden="false" customHeight="true" outlineLevel="0" collapsed="false"/>
    <row r="1047944" customFormat="false" ht="12.8" hidden="false" customHeight="true" outlineLevel="0" collapsed="false"/>
    <row r="1047945" customFormat="false" ht="12.8" hidden="false" customHeight="true" outlineLevel="0" collapsed="false"/>
    <row r="1047946" customFormat="false" ht="12.8" hidden="false" customHeight="true" outlineLevel="0" collapsed="false"/>
    <row r="1047947" customFormat="false" ht="12.8" hidden="false" customHeight="true" outlineLevel="0" collapsed="false"/>
    <row r="1047948" customFormat="false" ht="12.8" hidden="false" customHeight="true" outlineLevel="0" collapsed="false"/>
    <row r="1047949" customFormat="false" ht="12.8" hidden="false" customHeight="true" outlineLevel="0" collapsed="false"/>
    <row r="1047950" customFormat="false" ht="12.8" hidden="false" customHeight="true" outlineLevel="0" collapsed="false"/>
    <row r="1047951" customFormat="false" ht="12.8" hidden="false" customHeight="true" outlineLevel="0" collapsed="false"/>
    <row r="1047952" customFormat="false" ht="12.8" hidden="false" customHeight="true" outlineLevel="0" collapsed="false"/>
    <row r="1047953" customFormat="false" ht="12.8" hidden="false" customHeight="true" outlineLevel="0" collapsed="false"/>
    <row r="1047954" customFormat="false" ht="12.8" hidden="false" customHeight="true" outlineLevel="0" collapsed="false"/>
    <row r="1047955" customFormat="false" ht="12.8" hidden="false" customHeight="true" outlineLevel="0" collapsed="false"/>
    <row r="1047956" customFormat="false" ht="12.8" hidden="false" customHeight="true" outlineLevel="0" collapsed="false"/>
    <row r="1047957" customFormat="false" ht="12.8" hidden="false" customHeight="true" outlineLevel="0" collapsed="false"/>
    <row r="1047958" customFormat="false" ht="12.8" hidden="false" customHeight="true" outlineLevel="0" collapsed="false"/>
    <row r="1047959" customFormat="false" ht="12.8" hidden="false" customHeight="true" outlineLevel="0" collapsed="false"/>
    <row r="1047960" customFormat="false" ht="12.8" hidden="false" customHeight="true" outlineLevel="0" collapsed="false"/>
    <row r="1047961" customFormat="false" ht="12.8" hidden="false" customHeight="true" outlineLevel="0" collapsed="false"/>
    <row r="1047962" customFormat="false" ht="12.8" hidden="false" customHeight="true" outlineLevel="0" collapsed="false"/>
    <row r="1047963" customFormat="false" ht="12.8" hidden="false" customHeight="true" outlineLevel="0" collapsed="false"/>
    <row r="1047964" customFormat="false" ht="12.8" hidden="false" customHeight="true" outlineLevel="0" collapsed="false"/>
    <row r="1047965" customFormat="false" ht="12.8" hidden="false" customHeight="true" outlineLevel="0" collapsed="false"/>
    <row r="1047966" customFormat="false" ht="12.8" hidden="false" customHeight="true" outlineLevel="0" collapsed="false"/>
    <row r="1047967" customFormat="false" ht="12.8" hidden="false" customHeight="true" outlineLevel="0" collapsed="false"/>
    <row r="1047968" customFormat="false" ht="12.8" hidden="false" customHeight="true" outlineLevel="0" collapsed="false"/>
    <row r="1047969" customFormat="false" ht="12.8" hidden="false" customHeight="true" outlineLevel="0" collapsed="false"/>
    <row r="1047970" customFormat="false" ht="12.8" hidden="false" customHeight="true" outlineLevel="0" collapsed="false"/>
    <row r="1047971" customFormat="false" ht="12.8" hidden="false" customHeight="true" outlineLevel="0" collapsed="false"/>
    <row r="1047972" customFormat="false" ht="12.8" hidden="false" customHeight="true" outlineLevel="0" collapsed="false"/>
    <row r="1047973" customFormat="false" ht="12.8" hidden="false" customHeight="true" outlineLevel="0" collapsed="false"/>
    <row r="1047974" customFormat="false" ht="12.8" hidden="false" customHeight="true" outlineLevel="0" collapsed="false"/>
    <row r="1047975" customFormat="false" ht="12.8" hidden="false" customHeight="true" outlineLevel="0" collapsed="false"/>
    <row r="1047976" customFormat="false" ht="12.8" hidden="false" customHeight="true" outlineLevel="0" collapsed="false"/>
    <row r="1047977" customFormat="false" ht="12.8" hidden="false" customHeight="true" outlineLevel="0" collapsed="false"/>
    <row r="1047978" customFormat="false" ht="12.8" hidden="false" customHeight="true" outlineLevel="0" collapsed="false"/>
    <row r="1047979" customFormat="false" ht="12.8" hidden="false" customHeight="true" outlineLevel="0" collapsed="false"/>
    <row r="1047980" customFormat="false" ht="12.8" hidden="false" customHeight="true" outlineLevel="0" collapsed="false"/>
    <row r="1047981" customFormat="false" ht="12.8" hidden="false" customHeight="true" outlineLevel="0" collapsed="false"/>
    <row r="1047982" customFormat="false" ht="12.8" hidden="false" customHeight="true" outlineLevel="0" collapsed="false"/>
    <row r="1047983" customFormat="false" ht="12.8" hidden="false" customHeight="true" outlineLevel="0" collapsed="false"/>
    <row r="1047984" customFormat="false" ht="12.8" hidden="false" customHeight="true" outlineLevel="0" collapsed="false"/>
    <row r="1047985" customFormat="false" ht="12.8" hidden="false" customHeight="true" outlineLevel="0" collapsed="false"/>
    <row r="1047986" customFormat="false" ht="12.8" hidden="false" customHeight="true" outlineLevel="0" collapsed="false"/>
    <row r="1047987" customFormat="false" ht="12.8" hidden="false" customHeight="true" outlineLevel="0" collapsed="false"/>
    <row r="1047988" customFormat="false" ht="12.8" hidden="false" customHeight="true" outlineLevel="0" collapsed="false"/>
    <row r="1047989" customFormat="false" ht="12.8" hidden="false" customHeight="true" outlineLevel="0" collapsed="false"/>
    <row r="1047990" customFormat="false" ht="12.8" hidden="false" customHeight="true" outlineLevel="0" collapsed="false"/>
    <row r="1047991" customFormat="false" ht="12.8" hidden="false" customHeight="true" outlineLevel="0" collapsed="false"/>
    <row r="1047992" customFormat="false" ht="12.8" hidden="false" customHeight="true" outlineLevel="0" collapsed="false"/>
    <row r="1047993" customFormat="false" ht="12.8" hidden="false" customHeight="true" outlineLevel="0" collapsed="false"/>
    <row r="1047994" customFormat="false" ht="12.8" hidden="false" customHeight="true" outlineLevel="0" collapsed="false"/>
    <row r="1047995" customFormat="false" ht="12.8" hidden="false" customHeight="true" outlineLevel="0" collapsed="false"/>
    <row r="1047996" customFormat="false" ht="12.8" hidden="false" customHeight="true" outlineLevel="0" collapsed="false"/>
    <row r="1047997" customFormat="false" ht="12.8" hidden="false" customHeight="true" outlineLevel="0" collapsed="false"/>
    <row r="1047998" customFormat="false" ht="12.8" hidden="false" customHeight="true" outlineLevel="0" collapsed="false"/>
    <row r="1047999" customFormat="false" ht="12.8" hidden="false" customHeight="true" outlineLevel="0" collapsed="false"/>
    <row r="1048000" customFormat="false" ht="12.8" hidden="false" customHeight="true" outlineLevel="0" collapsed="false"/>
    <row r="1048001" customFormat="false" ht="12.8" hidden="false" customHeight="true" outlineLevel="0" collapsed="false"/>
    <row r="1048002" customFormat="false" ht="12.8" hidden="false" customHeight="true" outlineLevel="0" collapsed="false"/>
    <row r="1048003" customFormat="false" ht="12.8" hidden="false" customHeight="true" outlineLevel="0" collapsed="false"/>
    <row r="1048004" customFormat="false" ht="12.8" hidden="false" customHeight="true" outlineLevel="0" collapsed="false"/>
    <row r="1048005" customFormat="false" ht="12.8" hidden="false" customHeight="true" outlineLevel="0" collapsed="false"/>
    <row r="1048006" customFormat="false" ht="12.8" hidden="false" customHeight="true" outlineLevel="0" collapsed="false"/>
    <row r="1048007" customFormat="false" ht="12.8" hidden="false" customHeight="true" outlineLevel="0" collapsed="false"/>
    <row r="1048008" customFormat="false" ht="12.8" hidden="false" customHeight="true" outlineLevel="0" collapsed="false"/>
    <row r="1048009" customFormat="false" ht="12.8" hidden="false" customHeight="true" outlineLevel="0" collapsed="false"/>
    <row r="1048010" customFormat="false" ht="12.8" hidden="false" customHeight="true" outlineLevel="0" collapsed="false"/>
    <row r="1048011" customFormat="false" ht="12.8" hidden="false" customHeight="true" outlineLevel="0" collapsed="false"/>
    <row r="1048012" customFormat="false" ht="12.8" hidden="false" customHeight="true" outlineLevel="0" collapsed="false"/>
    <row r="1048013" customFormat="false" ht="12.8" hidden="false" customHeight="true" outlineLevel="0" collapsed="false"/>
    <row r="1048014" customFormat="false" ht="12.8" hidden="false" customHeight="true" outlineLevel="0" collapsed="false"/>
    <row r="1048015" customFormat="false" ht="12.8" hidden="false" customHeight="true" outlineLevel="0" collapsed="false"/>
    <row r="1048016" customFormat="false" ht="12.8" hidden="false" customHeight="true" outlineLevel="0" collapsed="false"/>
    <row r="1048017" customFormat="false" ht="12.8" hidden="false" customHeight="true" outlineLevel="0" collapsed="false"/>
    <row r="1048018" customFormat="false" ht="12.8" hidden="false" customHeight="true" outlineLevel="0" collapsed="false"/>
    <row r="1048019" customFormat="false" ht="12.8" hidden="false" customHeight="true" outlineLevel="0" collapsed="false"/>
    <row r="1048020" customFormat="false" ht="12.8" hidden="false" customHeight="true" outlineLevel="0" collapsed="false"/>
    <row r="1048021" customFormat="false" ht="12.8" hidden="false" customHeight="true" outlineLevel="0" collapsed="false"/>
    <row r="1048022" customFormat="false" ht="12.8" hidden="false" customHeight="true" outlineLevel="0" collapsed="false"/>
    <row r="1048023" customFormat="false" ht="12.8" hidden="false" customHeight="true" outlineLevel="0" collapsed="false"/>
    <row r="1048024" customFormat="false" ht="12.8" hidden="false" customHeight="true" outlineLevel="0" collapsed="false"/>
    <row r="1048025" customFormat="false" ht="12.8" hidden="false" customHeight="true" outlineLevel="0" collapsed="false"/>
    <row r="1048026" customFormat="false" ht="12.8" hidden="false" customHeight="true" outlineLevel="0" collapsed="false"/>
    <row r="1048027" customFormat="false" ht="12.8" hidden="false" customHeight="true" outlineLevel="0" collapsed="false"/>
    <row r="1048028" customFormat="false" ht="12.8" hidden="false" customHeight="true" outlineLevel="0" collapsed="false"/>
    <row r="1048029" customFormat="false" ht="12.8" hidden="false" customHeight="true" outlineLevel="0" collapsed="false"/>
    <row r="1048030" customFormat="false" ht="12.8" hidden="false" customHeight="true" outlineLevel="0" collapsed="false"/>
    <row r="1048031" customFormat="false" ht="12.8" hidden="false" customHeight="true" outlineLevel="0" collapsed="false"/>
    <row r="1048032" customFormat="false" ht="12.8" hidden="false" customHeight="true" outlineLevel="0" collapsed="false"/>
    <row r="1048033" customFormat="false" ht="12.8" hidden="false" customHeight="true" outlineLevel="0" collapsed="false"/>
    <row r="1048034" customFormat="false" ht="12.8" hidden="false" customHeight="true" outlineLevel="0" collapsed="false"/>
    <row r="1048035" customFormat="false" ht="12.8" hidden="false" customHeight="true" outlineLevel="0" collapsed="false"/>
    <row r="1048036" customFormat="false" ht="12.8" hidden="false" customHeight="true" outlineLevel="0" collapsed="false"/>
    <row r="1048037" customFormat="false" ht="12.8" hidden="false" customHeight="true" outlineLevel="0" collapsed="false"/>
    <row r="1048038" customFormat="false" ht="12.8" hidden="false" customHeight="true" outlineLevel="0" collapsed="false"/>
    <row r="1048039" customFormat="false" ht="12.8" hidden="false" customHeight="true" outlineLevel="0" collapsed="false"/>
    <row r="1048040" customFormat="false" ht="12.8" hidden="false" customHeight="true" outlineLevel="0" collapsed="false"/>
    <row r="1048041" customFormat="false" ht="12.8" hidden="false" customHeight="true" outlineLevel="0" collapsed="false"/>
    <row r="1048042" customFormat="false" ht="12.8" hidden="false" customHeight="true" outlineLevel="0" collapsed="false"/>
    <row r="1048043" customFormat="false" ht="12.8" hidden="false" customHeight="true" outlineLevel="0" collapsed="false"/>
    <row r="1048044" customFormat="false" ht="12.8" hidden="false" customHeight="true" outlineLevel="0" collapsed="false"/>
    <row r="1048045" customFormat="false" ht="12.8" hidden="false" customHeight="true" outlineLevel="0" collapsed="false"/>
    <row r="1048046" customFormat="false" ht="12.8" hidden="false" customHeight="true" outlineLevel="0" collapsed="false"/>
    <row r="1048047" customFormat="false" ht="12.8" hidden="false" customHeight="true" outlineLevel="0" collapsed="false"/>
    <row r="1048048" customFormat="false" ht="12.8" hidden="false" customHeight="true" outlineLevel="0" collapsed="false"/>
    <row r="1048049" customFormat="false" ht="12.8" hidden="false" customHeight="true" outlineLevel="0" collapsed="false"/>
    <row r="1048050" customFormat="false" ht="12.8" hidden="false" customHeight="true" outlineLevel="0" collapsed="false"/>
    <row r="1048051" customFormat="false" ht="12.8" hidden="false" customHeight="true" outlineLevel="0" collapsed="false"/>
    <row r="1048052" customFormat="false" ht="12.8" hidden="false" customHeight="true" outlineLevel="0" collapsed="false"/>
    <row r="1048053" customFormat="false" ht="12.8" hidden="false" customHeight="true" outlineLevel="0" collapsed="false"/>
    <row r="1048054" customFormat="false" ht="12.8" hidden="false" customHeight="true" outlineLevel="0" collapsed="false"/>
    <row r="1048055" customFormat="false" ht="12.8" hidden="false" customHeight="true" outlineLevel="0" collapsed="false"/>
    <row r="1048056" customFormat="false" ht="12.8" hidden="false" customHeight="true" outlineLevel="0" collapsed="false"/>
    <row r="1048057" customFormat="false" ht="12.8" hidden="false" customHeight="true" outlineLevel="0" collapsed="false"/>
    <row r="1048058" customFormat="false" ht="12.8" hidden="false" customHeight="true" outlineLevel="0" collapsed="false"/>
    <row r="1048059" customFormat="false" ht="12.8" hidden="false" customHeight="true" outlineLevel="0" collapsed="false"/>
    <row r="1048060" customFormat="false" ht="12.8" hidden="false" customHeight="true" outlineLevel="0" collapsed="false"/>
    <row r="1048061" customFormat="false" ht="12.8" hidden="false" customHeight="true" outlineLevel="0" collapsed="false"/>
    <row r="1048062" customFormat="false" ht="12.8" hidden="false" customHeight="true" outlineLevel="0" collapsed="false"/>
    <row r="1048063" customFormat="false" ht="12.8" hidden="false" customHeight="true" outlineLevel="0" collapsed="false"/>
    <row r="1048064" customFormat="false" ht="12.8" hidden="false" customHeight="true" outlineLevel="0" collapsed="false"/>
    <row r="1048065" customFormat="false" ht="12.8" hidden="false" customHeight="true" outlineLevel="0" collapsed="false"/>
    <row r="1048066" customFormat="false" ht="12.8" hidden="false" customHeight="true" outlineLevel="0" collapsed="false"/>
    <row r="1048067" customFormat="false" ht="12.8" hidden="false" customHeight="true" outlineLevel="0" collapsed="false"/>
    <row r="1048068" customFormat="false" ht="12.8" hidden="false" customHeight="true" outlineLevel="0" collapsed="false"/>
    <row r="1048069" customFormat="false" ht="12.8" hidden="false" customHeight="true" outlineLevel="0" collapsed="false"/>
    <row r="1048070" customFormat="false" ht="12.8" hidden="false" customHeight="true" outlineLevel="0" collapsed="false"/>
    <row r="1048071" customFormat="false" ht="12.8" hidden="false" customHeight="true" outlineLevel="0" collapsed="false"/>
    <row r="1048072" customFormat="false" ht="12.8" hidden="false" customHeight="true" outlineLevel="0" collapsed="false"/>
    <row r="1048073" customFormat="false" ht="12.8" hidden="false" customHeight="true" outlineLevel="0" collapsed="false"/>
    <row r="1048074" customFormat="false" ht="12.8" hidden="false" customHeight="true" outlineLevel="0" collapsed="false"/>
    <row r="1048075" customFormat="false" ht="12.8" hidden="false" customHeight="true" outlineLevel="0" collapsed="false"/>
    <row r="1048076" customFormat="false" ht="12.8" hidden="false" customHeight="true" outlineLevel="0" collapsed="false"/>
    <row r="1048077" customFormat="false" ht="12.8" hidden="false" customHeight="true" outlineLevel="0" collapsed="false"/>
    <row r="1048078" customFormat="false" ht="12.8" hidden="false" customHeight="true" outlineLevel="0" collapsed="false"/>
    <row r="1048079" customFormat="false" ht="12.8" hidden="false" customHeight="true" outlineLevel="0" collapsed="false"/>
    <row r="1048080" customFormat="false" ht="12.8" hidden="false" customHeight="true" outlineLevel="0" collapsed="false"/>
    <row r="1048081" customFormat="false" ht="12.8" hidden="false" customHeight="true" outlineLevel="0" collapsed="false"/>
    <row r="1048082" customFormat="false" ht="12.8" hidden="false" customHeight="true" outlineLevel="0" collapsed="false"/>
    <row r="1048083" customFormat="false" ht="12.8" hidden="false" customHeight="true" outlineLevel="0" collapsed="false"/>
    <row r="1048084" customFormat="false" ht="12.8" hidden="false" customHeight="true" outlineLevel="0" collapsed="false"/>
    <row r="1048085" customFormat="false" ht="12.8" hidden="false" customHeight="true" outlineLevel="0" collapsed="false"/>
    <row r="1048086" customFormat="false" ht="12.8" hidden="false" customHeight="true" outlineLevel="0" collapsed="false"/>
    <row r="1048087" customFormat="false" ht="12.8" hidden="false" customHeight="true" outlineLevel="0" collapsed="false"/>
    <row r="1048088" customFormat="false" ht="12.8" hidden="false" customHeight="true" outlineLevel="0" collapsed="false"/>
    <row r="1048089" customFormat="false" ht="12.8" hidden="false" customHeight="true" outlineLevel="0" collapsed="false"/>
    <row r="1048090" customFormat="false" ht="12.8" hidden="false" customHeight="true" outlineLevel="0" collapsed="false"/>
    <row r="1048091" customFormat="false" ht="12.8" hidden="false" customHeight="true" outlineLevel="0" collapsed="false"/>
    <row r="1048092" customFormat="false" ht="12.8" hidden="false" customHeight="true" outlineLevel="0" collapsed="false"/>
    <row r="1048093" customFormat="false" ht="12.8" hidden="false" customHeight="true" outlineLevel="0" collapsed="false"/>
    <row r="1048094" customFormat="false" ht="12.8" hidden="false" customHeight="true" outlineLevel="0" collapsed="false"/>
    <row r="1048095" customFormat="false" ht="12.8" hidden="false" customHeight="true" outlineLevel="0" collapsed="false"/>
    <row r="1048096" customFormat="false" ht="12.8" hidden="false" customHeight="true" outlineLevel="0" collapsed="false"/>
    <row r="1048097" customFormat="false" ht="12.8" hidden="false" customHeight="true" outlineLevel="0" collapsed="false"/>
    <row r="1048098" customFormat="false" ht="12.8" hidden="false" customHeight="true" outlineLevel="0" collapsed="false"/>
    <row r="1048099" customFormat="false" ht="12.8" hidden="false" customHeight="true" outlineLevel="0" collapsed="false"/>
    <row r="1048100" customFormat="false" ht="12.8" hidden="false" customHeight="true" outlineLevel="0" collapsed="false"/>
    <row r="1048101" customFormat="false" ht="12.8" hidden="false" customHeight="true" outlineLevel="0" collapsed="false"/>
    <row r="1048102" customFormat="false" ht="12.8" hidden="false" customHeight="true" outlineLevel="0" collapsed="false"/>
    <row r="1048103" customFormat="false" ht="12.8" hidden="false" customHeight="true" outlineLevel="0" collapsed="false"/>
    <row r="1048104" customFormat="false" ht="12.8" hidden="false" customHeight="true" outlineLevel="0" collapsed="false"/>
    <row r="1048105" customFormat="false" ht="12.8" hidden="false" customHeight="true" outlineLevel="0" collapsed="false"/>
    <row r="1048106" customFormat="false" ht="12.8" hidden="false" customHeight="true" outlineLevel="0" collapsed="false"/>
    <row r="1048107" customFormat="false" ht="12.8" hidden="false" customHeight="true" outlineLevel="0" collapsed="false"/>
    <row r="1048108" customFormat="false" ht="12.8" hidden="false" customHeight="true" outlineLevel="0" collapsed="false"/>
    <row r="1048109" customFormat="false" ht="12.8" hidden="false" customHeight="true" outlineLevel="0" collapsed="false"/>
    <row r="1048110" customFormat="false" ht="12.8" hidden="false" customHeight="true" outlineLevel="0" collapsed="false"/>
    <row r="1048111" customFormat="false" ht="12.8" hidden="false" customHeight="true" outlineLevel="0" collapsed="false"/>
    <row r="1048112" customFormat="false" ht="12.8" hidden="false" customHeight="true" outlineLevel="0" collapsed="false"/>
    <row r="1048113" customFormat="false" ht="12.8" hidden="false" customHeight="true" outlineLevel="0" collapsed="false"/>
    <row r="1048114" customFormat="false" ht="12.8" hidden="false" customHeight="true" outlineLevel="0" collapsed="false"/>
    <row r="1048115" customFormat="false" ht="12.8" hidden="false" customHeight="true" outlineLevel="0" collapsed="false"/>
    <row r="1048116" customFormat="false" ht="12.8" hidden="false" customHeight="true" outlineLevel="0" collapsed="false"/>
    <row r="1048117" customFormat="false" ht="12.8" hidden="false" customHeight="true" outlineLevel="0" collapsed="false"/>
    <row r="1048118" customFormat="false" ht="12.8" hidden="false" customHeight="true" outlineLevel="0" collapsed="false"/>
    <row r="1048119" customFormat="false" ht="12.8" hidden="false" customHeight="true" outlineLevel="0" collapsed="false"/>
    <row r="1048120" customFormat="false" ht="12.8" hidden="false" customHeight="true" outlineLevel="0" collapsed="false"/>
    <row r="1048121" customFormat="false" ht="12.8" hidden="false" customHeight="true" outlineLevel="0" collapsed="false"/>
    <row r="1048122" customFormat="false" ht="12.8" hidden="false" customHeight="true" outlineLevel="0" collapsed="false"/>
    <row r="1048123" customFormat="false" ht="12.8" hidden="false" customHeight="true" outlineLevel="0" collapsed="false"/>
    <row r="1048124" customFormat="false" ht="12.8" hidden="false" customHeight="true" outlineLevel="0" collapsed="false"/>
    <row r="1048125" customFormat="false" ht="12.8" hidden="false" customHeight="true" outlineLevel="0" collapsed="false"/>
    <row r="1048126" customFormat="false" ht="12.8" hidden="false" customHeight="true" outlineLevel="0" collapsed="false"/>
    <row r="1048127" customFormat="false" ht="12.8" hidden="false" customHeight="true" outlineLevel="0" collapsed="false"/>
    <row r="1048128" customFormat="false" ht="12.8" hidden="false" customHeight="true" outlineLevel="0" collapsed="false"/>
    <row r="1048129" customFormat="false" ht="12.8" hidden="false" customHeight="true" outlineLevel="0" collapsed="false"/>
    <row r="1048130" customFormat="false" ht="12.8" hidden="false" customHeight="true" outlineLevel="0" collapsed="false"/>
    <row r="1048131" customFormat="false" ht="12.8" hidden="false" customHeight="true" outlineLevel="0" collapsed="false"/>
    <row r="1048132" customFormat="false" ht="12.8" hidden="false" customHeight="true" outlineLevel="0" collapsed="false"/>
    <row r="1048133" customFormat="false" ht="12.8" hidden="false" customHeight="true" outlineLevel="0" collapsed="false"/>
    <row r="1048134" customFormat="false" ht="12.8" hidden="false" customHeight="true" outlineLevel="0" collapsed="false"/>
    <row r="1048135" customFormat="false" ht="12.8" hidden="false" customHeight="true" outlineLevel="0" collapsed="false"/>
    <row r="1048136" customFormat="false" ht="12.8" hidden="false" customHeight="true" outlineLevel="0" collapsed="false"/>
    <row r="1048137" customFormat="false" ht="12.8" hidden="false" customHeight="true" outlineLevel="0" collapsed="false"/>
    <row r="1048138" customFormat="false" ht="12.8" hidden="false" customHeight="true" outlineLevel="0" collapsed="false"/>
    <row r="1048139" customFormat="false" ht="12.8" hidden="false" customHeight="true" outlineLevel="0" collapsed="false"/>
    <row r="1048140" customFormat="false" ht="12.8" hidden="false" customHeight="true" outlineLevel="0" collapsed="false"/>
    <row r="1048141" customFormat="false" ht="12.8" hidden="false" customHeight="true" outlineLevel="0" collapsed="false"/>
    <row r="1048142" customFormat="false" ht="12.8" hidden="false" customHeight="true" outlineLevel="0" collapsed="false"/>
    <row r="1048143" customFormat="false" ht="12.8" hidden="false" customHeight="true" outlineLevel="0" collapsed="false"/>
    <row r="1048144" customFormat="false" ht="12.8" hidden="false" customHeight="true" outlineLevel="0" collapsed="false"/>
    <row r="1048145" customFormat="false" ht="12.8" hidden="false" customHeight="true" outlineLevel="0" collapsed="false"/>
    <row r="1048146" customFormat="false" ht="12.8" hidden="false" customHeight="true" outlineLevel="0" collapsed="false"/>
    <row r="1048147" customFormat="false" ht="12.8" hidden="false" customHeight="true" outlineLevel="0" collapsed="false"/>
    <row r="1048148" customFormat="false" ht="12.8" hidden="false" customHeight="true" outlineLevel="0" collapsed="false"/>
    <row r="1048149" customFormat="false" ht="12.8" hidden="false" customHeight="true" outlineLevel="0" collapsed="false"/>
    <row r="1048150" customFormat="false" ht="12.8" hidden="false" customHeight="true" outlineLevel="0" collapsed="false"/>
    <row r="1048151" customFormat="false" ht="12.8" hidden="false" customHeight="true" outlineLevel="0" collapsed="false"/>
    <row r="1048152" customFormat="false" ht="12.8" hidden="false" customHeight="true" outlineLevel="0" collapsed="false"/>
    <row r="1048153" customFormat="false" ht="12.8" hidden="false" customHeight="true" outlineLevel="0" collapsed="false"/>
    <row r="1048154" customFormat="false" ht="12.8" hidden="false" customHeight="true" outlineLevel="0" collapsed="false"/>
    <row r="1048155" customFormat="false" ht="12.8" hidden="false" customHeight="true" outlineLevel="0" collapsed="false"/>
    <row r="1048156" customFormat="false" ht="12.8" hidden="false" customHeight="true" outlineLevel="0" collapsed="false"/>
    <row r="1048157" customFormat="false" ht="12.8" hidden="false" customHeight="true" outlineLevel="0" collapsed="false"/>
    <row r="1048158" customFormat="false" ht="12.8" hidden="false" customHeight="true" outlineLevel="0" collapsed="false"/>
    <row r="1048159" customFormat="false" ht="12.8" hidden="false" customHeight="true" outlineLevel="0" collapsed="false"/>
    <row r="1048160" customFormat="false" ht="12.8" hidden="false" customHeight="true" outlineLevel="0" collapsed="false"/>
    <row r="1048161" customFormat="false" ht="12.8" hidden="false" customHeight="true" outlineLevel="0" collapsed="false"/>
    <row r="1048162" customFormat="false" ht="12.8" hidden="false" customHeight="true" outlineLevel="0" collapsed="false"/>
    <row r="1048163" customFormat="false" ht="12.8" hidden="false" customHeight="true" outlineLevel="0" collapsed="false"/>
    <row r="1048164" customFormat="false" ht="12.8" hidden="false" customHeight="true" outlineLevel="0" collapsed="false"/>
    <row r="1048165" customFormat="false" ht="12.8" hidden="false" customHeight="true" outlineLevel="0" collapsed="false"/>
    <row r="1048166" customFormat="false" ht="12.8" hidden="false" customHeight="true" outlineLevel="0" collapsed="false"/>
    <row r="1048167" customFormat="false" ht="12.8" hidden="false" customHeight="true" outlineLevel="0" collapsed="false"/>
    <row r="1048168" customFormat="false" ht="12.8" hidden="false" customHeight="true" outlineLevel="0" collapsed="false"/>
    <row r="1048169" customFormat="false" ht="12.8" hidden="false" customHeight="true" outlineLevel="0" collapsed="false"/>
    <row r="1048170" customFormat="false" ht="12.8" hidden="false" customHeight="true" outlineLevel="0" collapsed="false"/>
    <row r="1048171" customFormat="false" ht="12.8" hidden="false" customHeight="true" outlineLevel="0" collapsed="false"/>
    <row r="1048172" customFormat="false" ht="12.8" hidden="false" customHeight="true" outlineLevel="0" collapsed="false"/>
    <row r="1048173" customFormat="false" ht="12.8" hidden="false" customHeight="true" outlineLevel="0" collapsed="false"/>
    <row r="1048174" customFormat="false" ht="12.8" hidden="false" customHeight="true" outlineLevel="0" collapsed="false"/>
    <row r="1048175" customFormat="false" ht="12.8" hidden="false" customHeight="true" outlineLevel="0" collapsed="false"/>
    <row r="1048176" customFormat="false" ht="12.8" hidden="false" customHeight="true" outlineLevel="0" collapsed="false"/>
    <row r="1048177" customFormat="false" ht="12.8" hidden="false" customHeight="true" outlineLevel="0" collapsed="false"/>
    <row r="1048178" customFormat="false" ht="12.8" hidden="false" customHeight="true" outlineLevel="0" collapsed="false"/>
    <row r="1048179" customFormat="false" ht="12.8" hidden="false" customHeight="true" outlineLevel="0" collapsed="false"/>
    <row r="1048180" customFormat="false" ht="12.8" hidden="false" customHeight="true" outlineLevel="0" collapsed="false"/>
    <row r="1048181" customFormat="false" ht="12.8" hidden="false" customHeight="true" outlineLevel="0" collapsed="false"/>
    <row r="1048182" customFormat="false" ht="12.8" hidden="false" customHeight="true" outlineLevel="0" collapsed="false"/>
    <row r="1048183" customFormat="false" ht="12.8" hidden="false" customHeight="true" outlineLevel="0" collapsed="false"/>
    <row r="1048184" customFormat="false" ht="12.8" hidden="false" customHeight="true" outlineLevel="0" collapsed="false"/>
    <row r="1048185" customFormat="false" ht="12.8" hidden="false" customHeight="true" outlineLevel="0" collapsed="false"/>
    <row r="1048186" customFormat="false" ht="12.8" hidden="false" customHeight="true" outlineLevel="0" collapsed="false"/>
    <row r="1048187" customFormat="false" ht="12.8" hidden="false" customHeight="true" outlineLevel="0" collapsed="false"/>
    <row r="1048188" customFormat="false" ht="12.8" hidden="false" customHeight="true" outlineLevel="0" collapsed="false"/>
    <row r="1048189" customFormat="false" ht="12.8" hidden="false" customHeight="true" outlineLevel="0" collapsed="false"/>
    <row r="1048190" customFormat="false" ht="12.8" hidden="false" customHeight="true" outlineLevel="0" collapsed="false"/>
    <row r="1048191" customFormat="false" ht="12.8" hidden="false" customHeight="true" outlineLevel="0" collapsed="false"/>
    <row r="1048192" customFormat="false" ht="12.8" hidden="false" customHeight="true" outlineLevel="0" collapsed="false"/>
    <row r="1048193" customFormat="false" ht="12.8" hidden="false" customHeight="true" outlineLevel="0" collapsed="false"/>
    <row r="1048194" customFormat="false" ht="12.8" hidden="false" customHeight="true" outlineLevel="0" collapsed="false"/>
    <row r="1048195" customFormat="false" ht="12.8" hidden="false" customHeight="true" outlineLevel="0" collapsed="false"/>
    <row r="1048196" customFormat="false" ht="12.8" hidden="false" customHeight="true" outlineLevel="0" collapsed="false"/>
    <row r="1048197" customFormat="false" ht="12.8" hidden="false" customHeight="true" outlineLevel="0" collapsed="false"/>
    <row r="1048198" customFormat="false" ht="12.8" hidden="false" customHeight="true" outlineLevel="0" collapsed="false"/>
    <row r="1048199" customFormat="false" ht="12.8" hidden="false" customHeight="true" outlineLevel="0" collapsed="false"/>
    <row r="1048200" customFormat="false" ht="12.8" hidden="false" customHeight="true" outlineLevel="0" collapsed="false"/>
    <row r="1048201" customFormat="false" ht="12.8" hidden="false" customHeight="true" outlineLevel="0" collapsed="false"/>
    <row r="1048202" customFormat="false" ht="12.8" hidden="false" customHeight="true" outlineLevel="0" collapsed="false"/>
    <row r="1048203" customFormat="false" ht="12.8" hidden="false" customHeight="true" outlineLevel="0" collapsed="false"/>
    <row r="1048204" customFormat="false" ht="12.8" hidden="false" customHeight="true" outlineLevel="0" collapsed="false"/>
    <row r="1048205" customFormat="false" ht="12.8" hidden="false" customHeight="true" outlineLevel="0" collapsed="false"/>
    <row r="1048206" customFormat="false" ht="12.8" hidden="false" customHeight="true" outlineLevel="0" collapsed="false"/>
    <row r="1048207" customFormat="false" ht="12.8" hidden="false" customHeight="true" outlineLevel="0" collapsed="false"/>
    <row r="1048208" customFormat="false" ht="12.8" hidden="false" customHeight="true" outlineLevel="0" collapsed="false"/>
    <row r="1048209" customFormat="false" ht="12.8" hidden="false" customHeight="true" outlineLevel="0" collapsed="false"/>
    <row r="1048210" customFormat="false" ht="12.8" hidden="false" customHeight="true" outlineLevel="0" collapsed="false"/>
    <row r="1048211" customFormat="false" ht="12.8" hidden="false" customHeight="true" outlineLevel="0" collapsed="false"/>
    <row r="1048212" customFormat="false" ht="12.8" hidden="false" customHeight="true" outlineLevel="0" collapsed="false"/>
    <row r="1048213" customFormat="false" ht="12.8" hidden="false" customHeight="true" outlineLevel="0" collapsed="false"/>
    <row r="1048214" customFormat="false" ht="12.8" hidden="false" customHeight="true" outlineLevel="0" collapsed="false"/>
    <row r="1048215" customFormat="false" ht="12.8" hidden="false" customHeight="true" outlineLevel="0" collapsed="false"/>
    <row r="1048216" customFormat="false" ht="12.8" hidden="false" customHeight="true" outlineLevel="0" collapsed="false"/>
    <row r="1048217" customFormat="false" ht="12.8" hidden="false" customHeight="true" outlineLevel="0" collapsed="false"/>
    <row r="1048218" customFormat="false" ht="12.8" hidden="false" customHeight="true" outlineLevel="0" collapsed="false"/>
    <row r="1048219" customFormat="false" ht="12.8" hidden="false" customHeight="true" outlineLevel="0" collapsed="false"/>
    <row r="1048220" customFormat="false" ht="12.8" hidden="false" customHeight="true" outlineLevel="0" collapsed="false"/>
    <row r="1048221" customFormat="false" ht="12.8" hidden="false" customHeight="true" outlineLevel="0" collapsed="false"/>
    <row r="1048222" customFormat="false" ht="12.8" hidden="false" customHeight="true" outlineLevel="0" collapsed="false"/>
    <row r="1048223" customFormat="false" ht="12.8" hidden="false" customHeight="true" outlineLevel="0" collapsed="false"/>
    <row r="1048224" customFormat="false" ht="12.8" hidden="false" customHeight="true" outlineLevel="0" collapsed="false"/>
    <row r="1048225" customFormat="false" ht="12.8" hidden="false" customHeight="true" outlineLevel="0" collapsed="false"/>
    <row r="1048226" customFormat="false" ht="12.8" hidden="false" customHeight="true" outlineLevel="0" collapsed="false"/>
    <row r="1048227" customFormat="false" ht="12.8" hidden="false" customHeight="true" outlineLevel="0" collapsed="false"/>
    <row r="1048228" customFormat="false" ht="12.8" hidden="false" customHeight="true" outlineLevel="0" collapsed="false"/>
    <row r="1048229" customFormat="false" ht="12.8" hidden="false" customHeight="true" outlineLevel="0" collapsed="false"/>
    <row r="1048230" customFormat="false" ht="12.8" hidden="false" customHeight="true" outlineLevel="0" collapsed="false"/>
    <row r="1048231" customFormat="false" ht="12.8" hidden="false" customHeight="true" outlineLevel="0" collapsed="false"/>
    <row r="1048232" customFormat="false" ht="12.8" hidden="false" customHeight="true" outlineLevel="0" collapsed="false"/>
    <row r="1048233" customFormat="false" ht="12.8" hidden="false" customHeight="true" outlineLevel="0" collapsed="false"/>
    <row r="1048234" customFormat="false" ht="12.8" hidden="false" customHeight="true" outlineLevel="0" collapsed="false"/>
    <row r="1048235" customFormat="false" ht="12.8" hidden="false" customHeight="true" outlineLevel="0" collapsed="false"/>
    <row r="1048236" customFormat="false" ht="12.8" hidden="false" customHeight="true" outlineLevel="0" collapsed="false"/>
    <row r="1048237" customFormat="false" ht="12.8" hidden="false" customHeight="true" outlineLevel="0" collapsed="false"/>
    <row r="1048238" customFormat="false" ht="12.8" hidden="false" customHeight="true" outlineLevel="0" collapsed="false"/>
    <row r="1048239" customFormat="false" ht="12.8" hidden="false" customHeight="true" outlineLevel="0" collapsed="false"/>
    <row r="1048240" customFormat="false" ht="12.8" hidden="false" customHeight="true" outlineLevel="0" collapsed="false"/>
    <row r="1048241" customFormat="false" ht="12.8" hidden="false" customHeight="true" outlineLevel="0" collapsed="false"/>
    <row r="1048242" customFormat="false" ht="12.8" hidden="false" customHeight="true" outlineLevel="0" collapsed="false"/>
    <row r="1048243" customFormat="false" ht="12.8" hidden="false" customHeight="true" outlineLevel="0" collapsed="false"/>
    <row r="1048244" customFormat="false" ht="12.8" hidden="false" customHeight="true" outlineLevel="0" collapsed="false"/>
    <row r="1048245" customFormat="false" ht="12.8" hidden="false" customHeight="true" outlineLevel="0" collapsed="false"/>
    <row r="1048246" customFormat="false" ht="12.8" hidden="false" customHeight="true" outlineLevel="0" collapsed="false"/>
    <row r="1048247" customFormat="false" ht="12.8" hidden="false" customHeight="true" outlineLevel="0" collapsed="false"/>
    <row r="1048248" customFormat="false" ht="12.8" hidden="false" customHeight="true" outlineLevel="0" collapsed="false"/>
    <row r="1048249" customFormat="false" ht="12.8" hidden="false" customHeight="true" outlineLevel="0" collapsed="false"/>
    <row r="1048250" customFormat="false" ht="12.8" hidden="false" customHeight="true" outlineLevel="0" collapsed="false"/>
    <row r="1048251" customFormat="false" ht="12.8" hidden="false" customHeight="true" outlineLevel="0" collapsed="false"/>
    <row r="1048252" customFormat="false" ht="12.8" hidden="false" customHeight="true" outlineLevel="0" collapsed="false"/>
    <row r="1048253" customFormat="false" ht="12.8" hidden="false" customHeight="true" outlineLevel="0" collapsed="false"/>
    <row r="1048254" customFormat="false" ht="12.8" hidden="false" customHeight="true" outlineLevel="0" collapsed="false"/>
    <row r="1048255" customFormat="false" ht="12.8" hidden="false" customHeight="true" outlineLevel="0" collapsed="false"/>
    <row r="1048256" customFormat="false" ht="12.8" hidden="false" customHeight="true" outlineLevel="0" collapsed="false"/>
    <row r="1048257" customFormat="false" ht="12.8" hidden="false" customHeight="true" outlineLevel="0" collapsed="false"/>
    <row r="1048258" customFormat="false" ht="12.8" hidden="false" customHeight="true" outlineLevel="0" collapsed="false"/>
    <row r="1048259" customFormat="false" ht="12.8" hidden="false" customHeight="true" outlineLevel="0" collapsed="false"/>
    <row r="1048260" customFormat="false" ht="12.8" hidden="false" customHeight="true" outlineLevel="0" collapsed="false"/>
    <row r="1048261" customFormat="false" ht="12.8" hidden="false" customHeight="true" outlineLevel="0" collapsed="false"/>
    <row r="1048262" customFormat="false" ht="12.8" hidden="false" customHeight="true" outlineLevel="0" collapsed="false"/>
    <row r="1048263" customFormat="false" ht="12.8" hidden="false" customHeight="true" outlineLevel="0" collapsed="false"/>
    <row r="1048264" customFormat="false" ht="12.8" hidden="false" customHeight="true" outlineLevel="0" collapsed="false"/>
    <row r="1048265" customFormat="false" ht="12.8" hidden="false" customHeight="true" outlineLevel="0" collapsed="false"/>
    <row r="1048266" customFormat="false" ht="12.8" hidden="false" customHeight="true" outlineLevel="0" collapsed="false"/>
    <row r="1048267" customFormat="false" ht="12.8" hidden="false" customHeight="true" outlineLevel="0" collapsed="false"/>
    <row r="1048268" customFormat="false" ht="12.8" hidden="false" customHeight="true" outlineLevel="0" collapsed="false"/>
    <row r="1048269" customFormat="false" ht="12.8" hidden="false" customHeight="true" outlineLevel="0" collapsed="false"/>
    <row r="1048270" customFormat="false" ht="12.8" hidden="false" customHeight="true" outlineLevel="0" collapsed="false"/>
    <row r="1048271" customFormat="false" ht="12.8" hidden="false" customHeight="true" outlineLevel="0" collapsed="false"/>
    <row r="1048272" customFormat="false" ht="12.8" hidden="false" customHeight="true" outlineLevel="0" collapsed="false"/>
    <row r="1048273" customFormat="false" ht="12.8" hidden="false" customHeight="true" outlineLevel="0" collapsed="false"/>
    <row r="1048274" customFormat="false" ht="12.8" hidden="false" customHeight="true" outlineLevel="0" collapsed="false"/>
    <row r="1048275" customFormat="false" ht="12.8" hidden="false" customHeight="true" outlineLevel="0" collapsed="false"/>
    <row r="1048276" customFormat="false" ht="12.8" hidden="false" customHeight="true" outlineLevel="0" collapsed="false"/>
    <row r="1048277" customFormat="false" ht="12.8" hidden="false" customHeight="true" outlineLevel="0" collapsed="false"/>
    <row r="1048278" customFormat="false" ht="12.8" hidden="false" customHeight="true" outlineLevel="0" collapsed="false"/>
    <row r="1048279" customFormat="false" ht="12.8" hidden="false" customHeight="true" outlineLevel="0" collapsed="false"/>
    <row r="1048280" customFormat="false" ht="12.8" hidden="false" customHeight="true" outlineLevel="0" collapsed="false"/>
    <row r="1048281" customFormat="false" ht="12.8" hidden="false" customHeight="true" outlineLevel="0" collapsed="false"/>
    <row r="1048282" customFormat="false" ht="12.8" hidden="false" customHeight="true" outlineLevel="0" collapsed="false"/>
    <row r="1048283" customFormat="false" ht="12.8" hidden="false" customHeight="true" outlineLevel="0" collapsed="false"/>
    <row r="1048284" customFormat="false" ht="12.8" hidden="false" customHeight="true" outlineLevel="0" collapsed="false"/>
    <row r="1048285" customFormat="false" ht="12.8" hidden="false" customHeight="true" outlineLevel="0" collapsed="false"/>
    <row r="1048286" customFormat="false" ht="12.8" hidden="false" customHeight="true" outlineLevel="0" collapsed="false"/>
    <row r="1048287" customFormat="false" ht="12.8" hidden="false" customHeight="true" outlineLevel="0" collapsed="false"/>
    <row r="1048288" customFormat="false" ht="12.8" hidden="false" customHeight="true" outlineLevel="0" collapsed="false"/>
    <row r="1048289" customFormat="false" ht="12.8" hidden="false" customHeight="true" outlineLevel="0" collapsed="false"/>
    <row r="1048290" customFormat="false" ht="12.8" hidden="false" customHeight="true" outlineLevel="0" collapsed="false"/>
    <row r="1048291" customFormat="false" ht="12.8" hidden="false" customHeight="true" outlineLevel="0" collapsed="false"/>
    <row r="1048292" customFormat="false" ht="12.8" hidden="false" customHeight="true" outlineLevel="0" collapsed="false"/>
    <row r="1048293" customFormat="false" ht="12.8" hidden="false" customHeight="true" outlineLevel="0" collapsed="false"/>
    <row r="1048294" customFormat="false" ht="12.8" hidden="false" customHeight="true" outlineLevel="0" collapsed="false"/>
    <row r="1048295" customFormat="false" ht="12.8" hidden="false" customHeight="true" outlineLevel="0" collapsed="false"/>
    <row r="1048296" customFormat="false" ht="12.8" hidden="false" customHeight="true" outlineLevel="0" collapsed="false"/>
    <row r="1048297" customFormat="false" ht="12.8" hidden="false" customHeight="true" outlineLevel="0" collapsed="false"/>
    <row r="1048298" customFormat="false" ht="12.8" hidden="false" customHeight="true" outlineLevel="0" collapsed="false"/>
    <row r="1048299" customFormat="false" ht="12.8" hidden="false" customHeight="true" outlineLevel="0" collapsed="false"/>
    <row r="1048300" customFormat="false" ht="12.8" hidden="false" customHeight="true" outlineLevel="0" collapsed="false"/>
    <row r="1048301" customFormat="false" ht="12.8" hidden="false" customHeight="true" outlineLevel="0" collapsed="false"/>
    <row r="1048302" customFormat="false" ht="12.8" hidden="false" customHeight="true" outlineLevel="0" collapsed="false"/>
    <row r="1048303" customFormat="false" ht="12.8" hidden="false" customHeight="true" outlineLevel="0" collapsed="false"/>
    <row r="1048304" customFormat="false" ht="12.8" hidden="false" customHeight="true" outlineLevel="0" collapsed="false"/>
    <row r="1048305" customFormat="false" ht="12.8" hidden="false" customHeight="true" outlineLevel="0" collapsed="false"/>
    <row r="1048306" customFormat="false" ht="12.8" hidden="false" customHeight="true" outlineLevel="0" collapsed="false"/>
    <row r="1048307" customFormat="false" ht="12.8" hidden="false" customHeight="true" outlineLevel="0" collapsed="false"/>
    <row r="1048308" customFormat="false" ht="12.8" hidden="false" customHeight="true" outlineLevel="0" collapsed="false"/>
    <row r="1048309" customFormat="false" ht="12.8" hidden="false" customHeight="true" outlineLevel="0" collapsed="false"/>
    <row r="1048310" customFormat="false" ht="12.8" hidden="false" customHeight="true" outlineLevel="0" collapsed="false"/>
    <row r="1048311" customFormat="false" ht="12.8" hidden="false" customHeight="true" outlineLevel="0" collapsed="false"/>
    <row r="1048312" customFormat="false" ht="12.8" hidden="false" customHeight="true" outlineLevel="0" collapsed="false"/>
    <row r="1048313" customFormat="false" ht="12.8" hidden="false" customHeight="true" outlineLevel="0" collapsed="false"/>
    <row r="1048314" customFormat="false" ht="12.8" hidden="false" customHeight="true" outlineLevel="0" collapsed="false"/>
    <row r="1048315" customFormat="false" ht="12.8" hidden="false" customHeight="true" outlineLevel="0" collapsed="false"/>
    <row r="1048316" customFormat="false" ht="12.8" hidden="false" customHeight="true" outlineLevel="0" collapsed="false"/>
    <row r="1048317" customFormat="false" ht="12.8" hidden="false" customHeight="true" outlineLevel="0" collapsed="false"/>
    <row r="1048318" customFormat="false" ht="12.8" hidden="false" customHeight="true" outlineLevel="0" collapsed="false"/>
    <row r="1048319" customFormat="false" ht="12.8" hidden="false" customHeight="true" outlineLevel="0" collapsed="false"/>
    <row r="1048320" customFormat="false" ht="12.8" hidden="false" customHeight="true" outlineLevel="0" collapsed="false"/>
    <row r="1048321" customFormat="false" ht="12.8" hidden="false" customHeight="true" outlineLevel="0" collapsed="false"/>
    <row r="1048322" customFormat="false" ht="12.8" hidden="false" customHeight="true" outlineLevel="0" collapsed="false"/>
    <row r="1048323" customFormat="false" ht="12.8" hidden="false" customHeight="true" outlineLevel="0" collapsed="false"/>
    <row r="1048324" customFormat="false" ht="12.8" hidden="false" customHeight="true" outlineLevel="0" collapsed="false"/>
    <row r="1048325" customFormat="false" ht="12.8" hidden="false" customHeight="true" outlineLevel="0" collapsed="false"/>
    <row r="1048326" customFormat="false" ht="12.8" hidden="false" customHeight="true" outlineLevel="0" collapsed="false"/>
    <row r="1048327" customFormat="false" ht="12.8" hidden="false" customHeight="true" outlineLevel="0" collapsed="false"/>
    <row r="1048328" customFormat="false" ht="12.8" hidden="false" customHeight="true" outlineLevel="0" collapsed="false"/>
    <row r="1048329" customFormat="false" ht="12.8" hidden="false" customHeight="true" outlineLevel="0" collapsed="false"/>
    <row r="1048330" customFormat="false" ht="12.8" hidden="false" customHeight="true" outlineLevel="0" collapsed="false"/>
    <row r="1048331" customFormat="false" ht="12.8" hidden="false" customHeight="true" outlineLevel="0" collapsed="false"/>
    <row r="1048332" customFormat="false" ht="12.8" hidden="false" customHeight="true" outlineLevel="0" collapsed="false"/>
    <row r="1048333" customFormat="false" ht="12.8" hidden="false" customHeight="true" outlineLevel="0" collapsed="false"/>
    <row r="1048334" customFormat="false" ht="12.8" hidden="false" customHeight="true" outlineLevel="0" collapsed="false"/>
    <row r="1048335" customFormat="false" ht="12.8" hidden="false" customHeight="true" outlineLevel="0" collapsed="false"/>
    <row r="1048336" customFormat="false" ht="12.8" hidden="false" customHeight="true" outlineLevel="0" collapsed="false"/>
    <row r="1048337" customFormat="false" ht="12.8" hidden="false" customHeight="true" outlineLevel="0" collapsed="false"/>
    <row r="1048338" customFormat="false" ht="12.8" hidden="false" customHeight="true" outlineLevel="0" collapsed="false"/>
    <row r="1048339" customFormat="false" ht="12.8" hidden="false" customHeight="true" outlineLevel="0" collapsed="false"/>
    <row r="1048340" customFormat="false" ht="12.8" hidden="false" customHeight="true" outlineLevel="0" collapsed="false"/>
    <row r="1048341" customFormat="false" ht="12.8" hidden="false" customHeight="true" outlineLevel="0" collapsed="false"/>
    <row r="1048342" customFormat="false" ht="12.8" hidden="false" customHeight="true" outlineLevel="0" collapsed="false"/>
    <row r="1048343" customFormat="false" ht="12.8" hidden="false" customHeight="true" outlineLevel="0" collapsed="false"/>
    <row r="1048344" customFormat="false" ht="12.8" hidden="false" customHeight="true" outlineLevel="0" collapsed="false"/>
    <row r="1048345" customFormat="false" ht="12.8" hidden="false" customHeight="true" outlineLevel="0" collapsed="false"/>
    <row r="1048346" customFormat="false" ht="12.8" hidden="false" customHeight="true" outlineLevel="0" collapsed="false"/>
    <row r="1048347" customFormat="false" ht="12.8" hidden="false" customHeight="true" outlineLevel="0" collapsed="false"/>
    <row r="1048348" customFormat="false" ht="12.8" hidden="false" customHeight="true" outlineLevel="0" collapsed="false"/>
    <row r="1048349" customFormat="false" ht="12.8" hidden="false" customHeight="true" outlineLevel="0" collapsed="false"/>
    <row r="1048350" customFormat="false" ht="12.8" hidden="false" customHeight="true" outlineLevel="0" collapsed="false"/>
    <row r="1048351" customFormat="false" ht="12.8" hidden="false" customHeight="true" outlineLevel="0" collapsed="false"/>
    <row r="1048352" customFormat="false" ht="12.8" hidden="false" customHeight="true" outlineLevel="0" collapsed="false"/>
    <row r="1048353" customFormat="false" ht="12.8" hidden="false" customHeight="true" outlineLevel="0" collapsed="false"/>
    <row r="1048354" customFormat="false" ht="12.8" hidden="false" customHeight="true" outlineLevel="0" collapsed="false"/>
    <row r="1048355" customFormat="false" ht="12.8" hidden="false" customHeight="true" outlineLevel="0" collapsed="false"/>
    <row r="1048356" customFormat="false" ht="12.8" hidden="false" customHeight="true" outlineLevel="0" collapsed="false"/>
    <row r="1048357" customFormat="false" ht="12.8" hidden="false" customHeight="true" outlineLevel="0" collapsed="false"/>
    <row r="1048358" customFormat="false" ht="12.8" hidden="false" customHeight="true" outlineLevel="0" collapsed="false"/>
    <row r="1048359" customFormat="false" ht="12.8" hidden="false" customHeight="true" outlineLevel="0" collapsed="false"/>
    <row r="1048360" customFormat="false" ht="12.8" hidden="false" customHeight="true" outlineLevel="0" collapsed="false"/>
    <row r="1048361" customFormat="false" ht="12.8" hidden="false" customHeight="true" outlineLevel="0" collapsed="false"/>
    <row r="1048362" customFormat="false" ht="12.8" hidden="false" customHeight="true" outlineLevel="0" collapsed="false"/>
    <row r="1048363" customFormat="false" ht="12.8" hidden="false" customHeight="true" outlineLevel="0" collapsed="false"/>
    <row r="1048364" customFormat="false" ht="12.8" hidden="false" customHeight="true" outlineLevel="0" collapsed="false"/>
    <row r="1048365" customFormat="false" ht="12.8" hidden="false" customHeight="true" outlineLevel="0" collapsed="false"/>
    <row r="1048366" customFormat="false" ht="12.8" hidden="false" customHeight="true" outlineLevel="0" collapsed="false"/>
    <row r="1048367" customFormat="false" ht="12.8" hidden="false" customHeight="true" outlineLevel="0" collapsed="false"/>
    <row r="1048368" customFormat="false" ht="12.8" hidden="false" customHeight="true" outlineLevel="0" collapsed="false"/>
    <row r="1048369" customFormat="false" ht="12.8" hidden="false" customHeight="true" outlineLevel="0" collapsed="false"/>
    <row r="1048370" customFormat="false" ht="12.8" hidden="false" customHeight="true" outlineLevel="0" collapsed="false"/>
    <row r="1048371" customFormat="false" ht="12.8" hidden="false" customHeight="true" outlineLevel="0" collapsed="false"/>
    <row r="1048372" customFormat="false" ht="12.8" hidden="false" customHeight="true" outlineLevel="0" collapsed="false"/>
    <row r="1048373" customFormat="false" ht="12.8" hidden="false" customHeight="true" outlineLevel="0" collapsed="false"/>
    <row r="1048374" customFormat="false" ht="12.8" hidden="false" customHeight="true" outlineLevel="0" collapsed="false"/>
    <row r="1048375" customFormat="false" ht="12.8" hidden="false" customHeight="true" outlineLevel="0" collapsed="false"/>
    <row r="1048376" customFormat="false" ht="12.8" hidden="false" customHeight="true" outlineLevel="0" collapsed="false"/>
    <row r="1048377" customFormat="false" ht="12.8" hidden="false" customHeight="true" outlineLevel="0" collapsed="false"/>
    <row r="1048378" customFormat="false" ht="12.8" hidden="false" customHeight="true" outlineLevel="0" collapsed="false"/>
    <row r="1048379" customFormat="false" ht="12.8" hidden="false" customHeight="true" outlineLevel="0" collapsed="false"/>
    <row r="1048380" customFormat="false" ht="12.8" hidden="false" customHeight="true" outlineLevel="0" collapsed="false"/>
    <row r="1048381" customFormat="false" ht="12.8" hidden="false" customHeight="true" outlineLevel="0" collapsed="false"/>
    <row r="1048382" customFormat="false" ht="12.8" hidden="false" customHeight="true" outlineLevel="0" collapsed="false"/>
    <row r="1048383" customFormat="false" ht="12.8" hidden="false" customHeight="true" outlineLevel="0" collapsed="false"/>
    <row r="1048384" customFormat="false" ht="12.8" hidden="false" customHeight="true" outlineLevel="0" collapsed="false"/>
    <row r="1048385" customFormat="false" ht="12.8" hidden="false" customHeight="true" outlineLevel="0" collapsed="false"/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2025-11-27T04:06:55Z</dcterms:modified>
  <cp:revision>6</cp:revision>
  <dc:subject/>
  <dc:title/>
</cp:coreProperties>
</file>